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
    </mc:Choice>
  </mc:AlternateContent>
  <xr:revisionPtr revIDLastSave="0" documentId="13_ncr:1_{804D92A2-7A35-4494-9585-D5D609517053}" xr6:coauthVersionLast="36" xr6:coauthVersionMax="36" xr10:uidLastSave="{00000000-0000-0000-0000-000000000000}"/>
  <workbookProtection workbookPassword="F6CE" lockStructure="1"/>
  <bookViews>
    <workbookView xWindow="-110" yWindow="-110" windowWidth="23250" windowHeight="12570" firstSheet="6" activeTab="6"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TW-Working" sheetId="21" r:id="rId7"/>
    <sheet name="TW" sheetId="20" r:id="rId8"/>
    <sheet name="MC" sheetId="13" r:id="rId9"/>
    <sheet name="MC-Working" sheetId="4" r:id="rId10"/>
    <sheet name="NITF" sheetId="23" state="hidden" r:id="rId11"/>
    <sheet name="MC-TW New Premiums" sheetId="22" state="hidden" r:id="rId12"/>
  </sheets>
  <externalReferences>
    <externalReference r:id="rId13"/>
  </externalReferences>
  <definedNames>
    <definedName name="_xlnm._FilterDatabase" localSheetId="0" hidden="1">Administration!$I$7:$I$18</definedName>
    <definedName name="_xlnm._FilterDatabase" localSheetId="3" hidden="1">'Administration (2)'!$I$7:$I$18</definedName>
    <definedName name="_xlnm._FilterDatabase" localSheetId="8" hidden="1">MC!$C$12:$Y$59</definedName>
    <definedName name="_xlnm._FilterDatabase" localSheetId="9" hidden="1">'MC-Working'!$M$71:$M$71</definedName>
    <definedName name="_xlnm._FilterDatabase" localSheetId="7" hidden="1">TW!$C$12:$Y$59</definedName>
    <definedName name="_xlnm._FilterDatabase" localSheetId="6" hidden="1">'TW-Working'!$M$71:$M$71</definedName>
    <definedName name="_PAB2">'TW-Working'!$AJ$24:$AJ$45</definedName>
    <definedName name="Birthyear">'[1]Data Entry'!$AI$5:$AI$84</definedName>
    <definedName name="Branch">Administration!$O$4:$O$31</definedName>
    <definedName name="Branch2">'Administration (2)'!$O$4:$O$31</definedName>
    <definedName name="BRANCHES">'MC-Working'!$AK$42:$AK$43</definedName>
    <definedName name="Branches2">'TW-Working'!$AK$42:$AK$43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'MC-Working'!$AJ$24:$AJ$45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MC!$A$1:$S$61</definedName>
    <definedName name="_xlnm.Print_Area" localSheetId="9">'MC-Working'!$D$1:$M$73</definedName>
    <definedName name="_xlnm.Print_Area" localSheetId="1">Rates!$A$1:$P$55</definedName>
    <definedName name="_xlnm.Print_Area" localSheetId="4">'Rates (2)'!$A$1:$P$55</definedName>
    <definedName name="_xlnm.Print_Area" localSheetId="7">TW!$A$1:$S$61</definedName>
    <definedName name="_xlnm.Print_Area" localSheetId="6">'TW-Working'!$D$1:$M$73</definedName>
    <definedName name="usage">Administration!$G$20:$G$24</definedName>
    <definedName name="usage2">'Administration (2)'!$G$20:$G$24</definedName>
    <definedName name="usages">'MC-Working'!$AP$6:$AP$10</definedName>
    <definedName name="VEHICLE">'MC-Working'!$AM$6:$AM$13</definedName>
    <definedName name="vehicles">Administration!$G$7:$G$19</definedName>
    <definedName name="YOM">'MC-Working'!$AU$8:$AU$86</definedName>
  </definedNames>
  <calcPr calcId="191029"/>
</workbook>
</file>

<file path=xl/calcChain.xml><?xml version="1.0" encoding="utf-8"?>
<calcChain xmlns="http://schemas.openxmlformats.org/spreadsheetml/2006/main">
  <c r="L24" i="13" l="1"/>
  <c r="L24" i="20"/>
  <c r="L23" i="20"/>
  <c r="L23" i="13"/>
  <c r="C9" i="23"/>
  <c r="C10" i="23" s="1"/>
  <c r="G9" i="23"/>
  <c r="G10" i="23" s="1"/>
  <c r="H10" i="23" s="1"/>
  <c r="I1" i="23"/>
  <c r="A1" i="23"/>
  <c r="D7" i="23" s="1"/>
  <c r="G4" i="23"/>
  <c r="G5" i="23" s="1"/>
  <c r="G6" i="23" s="1"/>
  <c r="C4" i="23"/>
  <c r="C5" i="23" s="1"/>
  <c r="J34" i="22"/>
  <c r="K34" i="22" s="1"/>
  <c r="M34" i="22" s="1"/>
  <c r="D34" i="22"/>
  <c r="F34" i="22" s="1"/>
  <c r="J33" i="22"/>
  <c r="K33" i="22" s="1"/>
  <c r="M33" i="22" s="1"/>
  <c r="D33" i="22"/>
  <c r="J32" i="22"/>
  <c r="K32" i="22" s="1"/>
  <c r="M32" i="22" s="1"/>
  <c r="D32" i="22"/>
  <c r="J31" i="22"/>
  <c r="K31" i="22" s="1"/>
  <c r="N31" i="22" s="1"/>
  <c r="D31" i="22"/>
  <c r="J30" i="22"/>
  <c r="K30" i="22"/>
  <c r="D30" i="22"/>
  <c r="J29" i="22"/>
  <c r="K29" i="22"/>
  <c r="F29" i="22"/>
  <c r="D29" i="22"/>
  <c r="G29" i="22" s="1"/>
  <c r="J28" i="22"/>
  <c r="K28" i="22" s="1"/>
  <c r="D28" i="22"/>
  <c r="F28" i="22" s="1"/>
  <c r="J27" i="22"/>
  <c r="K27" i="22" s="1"/>
  <c r="D27" i="22"/>
  <c r="J26" i="22"/>
  <c r="K26" i="22" s="1"/>
  <c r="D26" i="22"/>
  <c r="J25" i="22"/>
  <c r="K25" i="22" s="1"/>
  <c r="M25" i="22" s="1"/>
  <c r="D25" i="22"/>
  <c r="F25" i="22" s="1"/>
  <c r="J24" i="22"/>
  <c r="K24" i="22" s="1"/>
  <c r="D24" i="22"/>
  <c r="G24" i="22" s="1"/>
  <c r="J23" i="22"/>
  <c r="K23" i="22"/>
  <c r="D23" i="22"/>
  <c r="J22" i="22"/>
  <c r="K22" i="22" s="1"/>
  <c r="D22" i="22"/>
  <c r="N23" i="22"/>
  <c r="N27" i="22"/>
  <c r="K14" i="22"/>
  <c r="C14" i="22"/>
  <c r="D14" i="22"/>
  <c r="K13" i="22"/>
  <c r="M13" i="22" s="1"/>
  <c r="C13" i="22"/>
  <c r="D13" i="22" s="1"/>
  <c r="K12" i="22"/>
  <c r="C12" i="22"/>
  <c r="D12" i="22" s="1"/>
  <c r="K11" i="22"/>
  <c r="C11" i="22"/>
  <c r="D11" i="22" s="1"/>
  <c r="J10" i="22"/>
  <c r="K10" i="22" s="1"/>
  <c r="C10" i="22"/>
  <c r="D10" i="22" s="1"/>
  <c r="J9" i="22"/>
  <c r="K9" i="22" s="1"/>
  <c r="C9" i="22"/>
  <c r="D9" i="22"/>
  <c r="G9" i="22" s="1"/>
  <c r="J8" i="22"/>
  <c r="K8" i="22" s="1"/>
  <c r="C8" i="22"/>
  <c r="D8" i="22" s="1"/>
  <c r="J7" i="22"/>
  <c r="K7" i="22" s="1"/>
  <c r="M7" i="22" s="1"/>
  <c r="C7" i="22"/>
  <c r="D7" i="22"/>
  <c r="J6" i="22"/>
  <c r="K6" i="22" s="1"/>
  <c r="C6" i="22"/>
  <c r="D6" i="22" s="1"/>
  <c r="F6" i="22" s="1"/>
  <c r="J5" i="22"/>
  <c r="K5" i="22" s="1"/>
  <c r="C5" i="22"/>
  <c r="D5" i="22"/>
  <c r="J4" i="22"/>
  <c r="K4" i="22" s="1"/>
  <c r="C4" i="22"/>
  <c r="D4" i="22" s="1"/>
  <c r="F4" i="22" s="1"/>
  <c r="J3" i="22"/>
  <c r="K3" i="22" s="1"/>
  <c r="M3" i="22" s="1"/>
  <c r="C3" i="22"/>
  <c r="D3" i="22" s="1"/>
  <c r="M43" i="20"/>
  <c r="M43" i="13"/>
  <c r="H49" i="21"/>
  <c r="O49" i="21" s="1"/>
  <c r="D30" i="20"/>
  <c r="M51"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R81" i="21"/>
  <c r="R80" i="21"/>
  <c r="F71" i="21"/>
  <c r="AW46" i="21" s="1"/>
  <c r="K67" i="21"/>
  <c r="K62" i="21"/>
  <c r="Q61" i="21"/>
  <c r="O59" i="21"/>
  <c r="U41" i="20" s="1"/>
  <c r="M41" i="20" s="1"/>
  <c r="M59" i="21"/>
  <c r="H59" i="21"/>
  <c r="O58" i="21"/>
  <c r="T41" i="20" s="1"/>
  <c r="D41" i="20" s="1"/>
  <c r="M58" i="21"/>
  <c r="H58" i="21"/>
  <c r="B56" i="21"/>
  <c r="R61" i="21" s="1"/>
  <c r="B55" i="21"/>
  <c r="U43" i="20" s="1"/>
  <c r="M40" i="20" s="1"/>
  <c r="O54" i="21"/>
  <c r="U42" i="20" s="1"/>
  <c r="P53" i="21"/>
  <c r="O53" i="21"/>
  <c r="Q52" i="21"/>
  <c r="P52" i="21"/>
  <c r="B52" i="21"/>
  <c r="Q51" i="21"/>
  <c r="O51" i="21"/>
  <c r="Q50" i="21" s="1"/>
  <c r="O50" i="21"/>
  <c r="U39" i="20" s="1"/>
  <c r="O48" i="21"/>
  <c r="O47" i="21"/>
  <c r="B46" i="21"/>
  <c r="O46" i="21" s="1"/>
  <c r="R45" i="21"/>
  <c r="O45" i="21"/>
  <c r="Y43" i="20" s="1"/>
  <c r="B45" i="21"/>
  <c r="R44" i="21"/>
  <c r="O44" i="21"/>
  <c r="P38" i="21" s="1"/>
  <c r="W43" i="21"/>
  <c r="T43" i="21"/>
  <c r="Q43" i="21"/>
  <c r="W42" i="21"/>
  <c r="T42" i="21"/>
  <c r="Q42" i="21"/>
  <c r="C42" i="21"/>
  <c r="B41" i="21" s="1"/>
  <c r="Q39" i="21" s="1"/>
  <c r="K41" i="21"/>
  <c r="H41" i="21"/>
  <c r="B40" i="21"/>
  <c r="B39" i="21"/>
  <c r="U33" i="20" s="1"/>
  <c r="C36" i="21"/>
  <c r="E34" i="21"/>
  <c r="E33" i="21"/>
  <c r="W32" i="21"/>
  <c r="E32" i="21"/>
  <c r="Q31" i="21"/>
  <c r="O31" i="21"/>
  <c r="T30" i="21"/>
  <c r="O30" i="21"/>
  <c r="U44" i="20" s="1"/>
  <c r="H29" i="21"/>
  <c r="L26" i="21"/>
  <c r="G26" i="21"/>
  <c r="E26" i="21"/>
  <c r="Y25" i="21"/>
  <c r="C24" i="21"/>
  <c r="Q23" i="21"/>
  <c r="I22" i="21"/>
  <c r="M22" i="21" s="1"/>
  <c r="AM17" i="21"/>
  <c r="Z15" i="21"/>
  <c r="H15" i="21"/>
  <c r="K61" i="21" s="1"/>
  <c r="M61" i="21" s="1"/>
  <c r="K14" i="21"/>
  <c r="H14" i="21"/>
  <c r="N8" i="21" s="1"/>
  <c r="H13" i="21"/>
  <c r="V2" i="21" s="1"/>
  <c r="M12" i="21"/>
  <c r="J12" i="21"/>
  <c r="C12" i="21"/>
  <c r="M11" i="21"/>
  <c r="H11" i="21"/>
  <c r="S2" i="21" s="1"/>
  <c r="L10" i="21"/>
  <c r="H10" i="21"/>
  <c r="AU9" i="21"/>
  <c r="AU10" i="21" s="1"/>
  <c r="AU11" i="21" s="1"/>
  <c r="AU12" i="2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F5" i="21" s="1"/>
  <c r="AA2" i="21"/>
  <c r="X2" i="21"/>
  <c r="R2" i="21"/>
  <c r="N2" i="21"/>
  <c r="I101" i="20"/>
  <c r="V56" i="20"/>
  <c r="C48" i="20"/>
  <c r="B46" i="20"/>
  <c r="W44" i="20"/>
  <c r="R24" i="20"/>
  <c r="Q24" i="20"/>
  <c r="L22" i="20"/>
  <c r="C17" i="20"/>
  <c r="I16" i="20"/>
  <c r="F16" i="20"/>
  <c r="T13" i="20"/>
  <c r="B13" i="20"/>
  <c r="V12" i="20"/>
  <c r="AB4" i="20"/>
  <c r="AA4" i="20"/>
  <c r="P4" i="20"/>
  <c r="M2" i="20"/>
  <c r="L19" i="19"/>
  <c r="X11" i="19"/>
  <c r="Q6" i="19"/>
  <c r="P6" i="19" s="1"/>
  <c r="O6" i="19" s="1"/>
  <c r="V5" i="19"/>
  <c r="U5" i="19"/>
  <c r="I5" i="19"/>
  <c r="V4" i="19"/>
  <c r="W5" i="19" s="1"/>
  <c r="U4" i="19"/>
  <c r="Q3" i="19"/>
  <c r="P3" i="19"/>
  <c r="W2" i="19"/>
  <c r="I3" i="19" s="1"/>
  <c r="V2" i="19"/>
  <c r="J3" i="19" s="1"/>
  <c r="Q4" i="19" s="1"/>
  <c r="U2" i="19"/>
  <c r="K3" i="19" s="1"/>
  <c r="S2" i="19"/>
  <c r="Q13" i="19" s="1"/>
  <c r="F92" i="18"/>
  <c r="D92" i="18"/>
  <c r="B52" i="18"/>
  <c r="E29" i="18"/>
  <c r="I21" i="18"/>
  <c r="I22" i="18" s="1"/>
  <c r="G20" i="18"/>
  <c r="I12" i="18"/>
  <c r="I13" i="18" s="1"/>
  <c r="I14" i="18" s="1"/>
  <c r="I15" i="18" s="1"/>
  <c r="I16" i="18" s="1"/>
  <c r="D10" i="18"/>
  <c r="I5" i="18"/>
  <c r="I7" i="18"/>
  <c r="A4" i="18"/>
  <c r="A5" i="18" s="1"/>
  <c r="A6" i="18" s="1"/>
  <c r="A7" i="18" s="1"/>
  <c r="A8" i="18" s="1"/>
  <c r="A9" i="18" s="1"/>
  <c r="A10" i="18" s="1"/>
  <c r="A11" i="18" s="1"/>
  <c r="A12" i="18"/>
  <c r="A13" i="18" s="1"/>
  <c r="A14" i="18" s="1"/>
  <c r="A15" i="18" s="1"/>
  <c r="A16" i="18" s="1"/>
  <c r="B1" i="18"/>
  <c r="A1" i="18" s="1"/>
  <c r="A32" i="17"/>
  <c r="G24" i="17"/>
  <c r="G23" i="17"/>
  <c r="G22" i="17"/>
  <c r="G21" i="17"/>
  <c r="G20" i="17"/>
  <c r="I20" i="17"/>
  <c r="AP6" i="21" s="1"/>
  <c r="H17" i="17"/>
  <c r="G17" i="17"/>
  <c r="AM16" i="21" s="1"/>
  <c r="H16" i="17"/>
  <c r="G16" i="17"/>
  <c r="AM15" i="21"/>
  <c r="H15" i="17"/>
  <c r="G15" i="17"/>
  <c r="AM13" i="21" s="1"/>
  <c r="H14" i="17"/>
  <c r="G14" i="17"/>
  <c r="AM12" i="21" s="1"/>
  <c r="H13" i="17"/>
  <c r="G13" i="17"/>
  <c r="AM14" i="21"/>
  <c r="H12" i="17"/>
  <c r="G12" i="17"/>
  <c r="AM11" i="21" s="1"/>
  <c r="H11" i="17"/>
  <c r="G11" i="17"/>
  <c r="AM10" i="21" s="1"/>
  <c r="H10" i="17"/>
  <c r="G10" i="17"/>
  <c r="AM9" i="21" s="1"/>
  <c r="H9" i="17"/>
  <c r="G9" i="17"/>
  <c r="AM8" i="21"/>
  <c r="H8" i="17"/>
  <c r="G8" i="17"/>
  <c r="AM7" i="21" s="1"/>
  <c r="H7" i="17"/>
  <c r="I7" i="17" s="1"/>
  <c r="G7" i="17"/>
  <c r="AM6" i="21"/>
  <c r="Q5" i="17"/>
  <c r="Q6" i="17" s="1"/>
  <c r="Q7" i="17" s="1"/>
  <c r="Q8" i="17" s="1"/>
  <c r="Q9" i="17" s="1"/>
  <c r="Q10" i="17" s="1"/>
  <c r="Q11" i="17" s="1"/>
  <c r="Q12" i="17" s="1"/>
  <c r="Q13" i="17"/>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s="1"/>
  <c r="C5" i="17" s="1"/>
  <c r="H3" i="17"/>
  <c r="G3" i="17"/>
  <c r="Q34" i="17" s="1"/>
  <c r="H48" i="4"/>
  <c r="O48" i="4" s="1"/>
  <c r="K26" i="4"/>
  <c r="F26" i="4"/>
  <c r="M12" i="4"/>
  <c r="N7" i="4" s="1"/>
  <c r="I37" i="13"/>
  <c r="I38" i="13"/>
  <c r="T13" i="13"/>
  <c r="B13" i="13"/>
  <c r="M15" i="4" s="1"/>
  <c r="I101" i="13"/>
  <c r="O49" i="4"/>
  <c r="L6" i="4"/>
  <c r="H7" i="4"/>
  <c r="L10" i="4"/>
  <c r="H10" i="4"/>
  <c r="H13" i="4"/>
  <c r="H11" i="4"/>
  <c r="M8" i="4" s="1"/>
  <c r="K14" i="4"/>
  <c r="H14" i="4"/>
  <c r="C21" i="4" s="1"/>
  <c r="B21" i="4" s="1"/>
  <c r="H36" i="4"/>
  <c r="C42" i="4"/>
  <c r="B41" i="4" s="1"/>
  <c r="U37" i="13" s="1"/>
  <c r="H15" i="4"/>
  <c r="M64" i="4" s="1"/>
  <c r="J12" i="4"/>
  <c r="M18" i="10"/>
  <c r="E34" i="4"/>
  <c r="O45" i="4"/>
  <c r="Y43" i="13" s="1"/>
  <c r="B45" i="4"/>
  <c r="B46" i="4"/>
  <c r="O46" i="4" s="1"/>
  <c r="C12"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C48" i="13"/>
  <c r="F92" i="10"/>
  <c r="D92" i="10"/>
  <c r="P6" i="4"/>
  <c r="N5" i="4"/>
  <c r="AB4" i="13"/>
  <c r="P4" i="13"/>
  <c r="AA4" i="13"/>
  <c r="V12" i="13"/>
  <c r="I16" i="13"/>
  <c r="C17" i="13"/>
  <c r="L22" i="13"/>
  <c r="B46" i="13"/>
  <c r="V56" i="13"/>
  <c r="N2" i="4"/>
  <c r="R2" i="4"/>
  <c r="X2" i="4"/>
  <c r="AA2" i="4"/>
  <c r="D3" i="4"/>
  <c r="L3" i="4" s="1"/>
  <c r="O3" i="4"/>
  <c r="N4" i="4"/>
  <c r="T7" i="4"/>
  <c r="U7" i="4"/>
  <c r="W7" i="4"/>
  <c r="L8" i="4"/>
  <c r="O8" i="4"/>
  <c r="AU9" i="4"/>
  <c r="AU10" i="4" s="1"/>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C24" i="4"/>
  <c r="Y25" i="4"/>
  <c r="E26" i="4"/>
  <c r="G26" i="4"/>
  <c r="L26" i="4"/>
  <c r="O30" i="4"/>
  <c r="U44" i="13" s="1"/>
  <c r="T30" i="4"/>
  <c r="O31" i="4"/>
  <c r="E31" i="4" s="1"/>
  <c r="Q31" i="4"/>
  <c r="E32" i="4"/>
  <c r="W32" i="4"/>
  <c r="E33" i="4"/>
  <c r="Q33" i="4"/>
  <c r="Q32" i="4" s="1"/>
  <c r="I32" i="4" s="1"/>
  <c r="C36" i="4"/>
  <c r="B39" i="4"/>
  <c r="U33" i="13" s="1"/>
  <c r="B40" i="4"/>
  <c r="O39" i="4"/>
  <c r="K41" i="4"/>
  <c r="Q42" i="4"/>
  <c r="T42" i="4"/>
  <c r="W42" i="4"/>
  <c r="Q43" i="4"/>
  <c r="T43" i="4"/>
  <c r="W43" i="4"/>
  <c r="R44" i="4"/>
  <c r="R45" i="4"/>
  <c r="O47" i="4"/>
  <c r="O50" i="4"/>
  <c r="U39" i="13"/>
  <c r="O51" i="4"/>
  <c r="Q51" i="4"/>
  <c r="B52" i="4"/>
  <c r="P52" i="4"/>
  <c r="Q52" i="4"/>
  <c r="O53" i="4"/>
  <c r="P53" i="4"/>
  <c r="O54" i="4"/>
  <c r="U42" i="13" s="1"/>
  <c r="B55" i="4"/>
  <c r="U43" i="13" s="1"/>
  <c r="M40" i="13" s="1"/>
  <c r="B56" i="4"/>
  <c r="Q56" i="4" s="1"/>
  <c r="H58" i="4"/>
  <c r="M58" i="4"/>
  <c r="O58" i="4"/>
  <c r="T41" i="13" s="1"/>
  <c r="D41" i="13" s="1"/>
  <c r="H59" i="4"/>
  <c r="M59" i="4"/>
  <c r="O59" i="4"/>
  <c r="U41" i="13" s="1"/>
  <c r="M41" i="13" s="1"/>
  <c r="Q61" i="4"/>
  <c r="K62" i="4"/>
  <c r="K67" i="4"/>
  <c r="F71" i="4"/>
  <c r="X15" i="4" s="1"/>
  <c r="R80" i="4"/>
  <c r="R81" i="4"/>
  <c r="S2" i="16"/>
  <c r="U2" i="16"/>
  <c r="K3" i="16" s="1"/>
  <c r="T2" i="16" s="1"/>
  <c r="V2" i="16"/>
  <c r="J3" i="16" s="1"/>
  <c r="Q4" i="16" s="1"/>
  <c r="W2" i="16"/>
  <c r="I3" i="16" s="1"/>
  <c r="P3" i="16"/>
  <c r="O3" i="16" s="1"/>
  <c r="U16" i="16" s="1"/>
  <c r="Q3" i="16"/>
  <c r="U4" i="16"/>
  <c r="V4" i="16"/>
  <c r="W4" i="16" s="1"/>
  <c r="I5" i="16"/>
  <c r="U5" i="16"/>
  <c r="V5" i="16"/>
  <c r="Q6" i="16"/>
  <c r="P6" i="16" s="1"/>
  <c r="O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s="1"/>
  <c r="I14" i="10" s="1"/>
  <c r="I15" i="10" s="1"/>
  <c r="I16" i="10" s="1"/>
  <c r="M17" i="10"/>
  <c r="G20" i="10"/>
  <c r="I21" i="10"/>
  <c r="I22" i="10" s="1"/>
  <c r="Q23" i="4"/>
  <c r="E29" i="10"/>
  <c r="B52" i="10"/>
  <c r="H3" i="14"/>
  <c r="G3" i="14"/>
  <c r="Q33" i="14" s="1"/>
  <c r="K5" i="14"/>
  <c r="J5" i="14" s="1"/>
  <c r="I5" i="14" s="1"/>
  <c r="H5" i="14" s="1"/>
  <c r="C5" i="14" s="1"/>
  <c r="Q5" i="14"/>
  <c r="Q6" i="14" s="1"/>
  <c r="Q7" i="14"/>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s="1"/>
  <c r="G8" i="14"/>
  <c r="AM7" i="4" s="1"/>
  <c r="H8" i="14"/>
  <c r="G9" i="14"/>
  <c r="AM8" i="4" s="1"/>
  <c r="H9" i="14"/>
  <c r="G10" i="14"/>
  <c r="AM9" i="4" s="1"/>
  <c r="H10" i="14"/>
  <c r="G11" i="14"/>
  <c r="AM10" i="4" s="1"/>
  <c r="H11" i="14"/>
  <c r="G12" i="14"/>
  <c r="AM11" i="4" s="1"/>
  <c r="H12" i="14"/>
  <c r="G13" i="14"/>
  <c r="AM14" i="4" s="1"/>
  <c r="H13" i="14"/>
  <c r="G14" i="14"/>
  <c r="AM12" i="4"/>
  <c r="H14" i="14"/>
  <c r="G15" i="14"/>
  <c r="AM13" i="4" s="1"/>
  <c r="H15" i="14"/>
  <c r="G16" i="14"/>
  <c r="AM15" i="4" s="1"/>
  <c r="H16" i="14"/>
  <c r="G17" i="14"/>
  <c r="AM16" i="4" s="1"/>
  <c r="H17" i="14"/>
  <c r="G20" i="14"/>
  <c r="I20" i="14" s="1"/>
  <c r="AP6" i="4" s="1"/>
  <c r="G21" i="14"/>
  <c r="G22" i="14"/>
  <c r="G23" i="14"/>
  <c r="G24" i="14"/>
  <c r="A32" i="14"/>
  <c r="F16" i="13"/>
  <c r="N3" i="4"/>
  <c r="H41" i="4"/>
  <c r="Y44" i="13"/>
  <c r="Q38" i="4"/>
  <c r="D30" i="13"/>
  <c r="S2" i="4"/>
  <c r="H26" i="4"/>
  <c r="P25" i="21"/>
  <c r="K26" i="21"/>
  <c r="H33" i="21"/>
  <c r="H26" i="21"/>
  <c r="U30" i="21"/>
  <c r="P39" i="21"/>
  <c r="F26" i="21"/>
  <c r="U40" i="20"/>
  <c r="U32" i="21"/>
  <c r="T32" i="21" s="1"/>
  <c r="G37" i="21"/>
  <c r="G36" i="21"/>
  <c r="H35" i="21"/>
  <c r="AC56" i="21" s="1"/>
  <c r="AB56" i="21" s="1"/>
  <c r="AA56" i="21" s="1"/>
  <c r="Z56" i="21" s="1"/>
  <c r="Y56" i="21" s="1"/>
  <c r="X56" i="21" s="1"/>
  <c r="W56" i="21" s="1"/>
  <c r="U56" i="21" s="1"/>
  <c r="U34" i="13"/>
  <c r="K43" i="4"/>
  <c r="K29" i="4"/>
  <c r="P29" i="4" s="1"/>
  <c r="Q39" i="4"/>
  <c r="F30" i="4"/>
  <c r="H34" i="4"/>
  <c r="P25" i="4"/>
  <c r="T31" i="4"/>
  <c r="I31" i="4" s="1"/>
  <c r="O22" i="4"/>
  <c r="W40" i="13" s="1"/>
  <c r="R97" i="4"/>
  <c r="M22" i="4"/>
  <c r="M15" i="21"/>
  <c r="H32" i="21"/>
  <c r="F34" i="21"/>
  <c r="U40" i="13"/>
  <c r="H32" i="4"/>
  <c r="H33" i="4"/>
  <c r="U30" i="4"/>
  <c r="H31" i="4"/>
  <c r="F34" i="4"/>
  <c r="I33" i="4"/>
  <c r="F5" i="4"/>
  <c r="W44" i="13"/>
  <c r="I34" i="4"/>
  <c r="O22" i="21"/>
  <c r="W40" i="20" s="1"/>
  <c r="U34" i="20"/>
  <c r="O39" i="21"/>
  <c r="Q38" i="21"/>
  <c r="Q55" i="4"/>
  <c r="T2" i="19"/>
  <c r="U12" i="16"/>
  <c r="U11" i="16"/>
  <c r="I21" i="17"/>
  <c r="I22" i="17" s="1"/>
  <c r="I14" i="21"/>
  <c r="F9" i="22"/>
  <c r="G13" i="22"/>
  <c r="F13" i="22"/>
  <c r="L3" i="22"/>
  <c r="O3" i="22" s="1"/>
  <c r="N3" i="22"/>
  <c r="L7" i="22"/>
  <c r="O7" i="22" s="1"/>
  <c r="N7" i="22"/>
  <c r="L13" i="22"/>
  <c r="O13" i="22" s="1"/>
  <c r="N13" i="22"/>
  <c r="K61" i="4" s="1"/>
  <c r="M61" i="4" s="1"/>
  <c r="G4" i="22"/>
  <c r="F12" i="22"/>
  <c r="G12" i="22"/>
  <c r="F14" i="22"/>
  <c r="G14" i="22"/>
  <c r="G7" i="22"/>
  <c r="F7" i="22"/>
  <c r="M5" i="22"/>
  <c r="N5" i="22"/>
  <c r="L5" i="22"/>
  <c r="O5" i="22" s="1"/>
  <c r="M9" i="22"/>
  <c r="N9" i="22"/>
  <c r="L9" i="22"/>
  <c r="O9" i="22" s="1"/>
  <c r="M11" i="22"/>
  <c r="L11" i="22"/>
  <c r="O11" i="22" s="1"/>
  <c r="N11" i="22"/>
  <c r="N4" i="22"/>
  <c r="M4" i="22"/>
  <c r="L4" i="22"/>
  <c r="O4" i="22" s="1"/>
  <c r="N6" i="22"/>
  <c r="M6" i="22"/>
  <c r="L6" i="22"/>
  <c r="O6" i="22" s="1"/>
  <c r="N8" i="22"/>
  <c r="M8" i="22"/>
  <c r="L8" i="22"/>
  <c r="O8" i="22" s="1"/>
  <c r="L10" i="22"/>
  <c r="O10" i="22"/>
  <c r="N10" i="22"/>
  <c r="M10" i="22"/>
  <c r="N12" i="22"/>
  <c r="M12" i="22"/>
  <c r="L12" i="22"/>
  <c r="O12" i="22" s="1"/>
  <c r="N14" i="22"/>
  <c r="M14" i="22"/>
  <c r="L14" i="22"/>
  <c r="O14" i="22" s="1"/>
  <c r="N8" i="4"/>
  <c r="I14" i="4"/>
  <c r="C9" i="13"/>
  <c r="I3" i="17"/>
  <c r="C68" i="21" s="1"/>
  <c r="G26" i="22"/>
  <c r="F26" i="22"/>
  <c r="N29" i="22"/>
  <c r="L29" i="22"/>
  <c r="O29" i="22" s="1"/>
  <c r="M29" i="22"/>
  <c r="S6" i="19"/>
  <c r="K5" i="21" s="1"/>
  <c r="Q13" i="16"/>
  <c r="M23" i="22"/>
  <c r="L23" i="22"/>
  <c r="O23" i="22" s="1"/>
  <c r="L26" i="22"/>
  <c r="O26" i="22"/>
  <c r="N26" i="22"/>
  <c r="M26" i="22"/>
  <c r="N28" i="22"/>
  <c r="G31" i="22"/>
  <c r="F31" i="22"/>
  <c r="C6" i="23"/>
  <c r="T56" i="21"/>
  <c r="R56" i="21" s="1"/>
  <c r="G6" i="22"/>
  <c r="G10" i="22"/>
  <c r="F10" i="22"/>
  <c r="AP7" i="21"/>
  <c r="Q50" i="4"/>
  <c r="U13" i="16"/>
  <c r="U10" i="16"/>
  <c r="U32" i="4"/>
  <c r="T32" i="4" s="1"/>
  <c r="F30" i="21"/>
  <c r="H31" i="21"/>
  <c r="Q33" i="21"/>
  <c r="Q32" i="21" s="1"/>
  <c r="U31" i="4"/>
  <c r="M31" i="22"/>
  <c r="L31" i="22"/>
  <c r="O31" i="22"/>
  <c r="G33" i="22"/>
  <c r="F33" i="22"/>
  <c r="N22" i="22"/>
  <c r="M22" i="22"/>
  <c r="L22" i="22"/>
  <c r="O22" i="22" s="1"/>
  <c r="N25" i="22"/>
  <c r="L25" i="22"/>
  <c r="O25" i="22"/>
  <c r="F32" i="22"/>
  <c r="G32" i="22"/>
  <c r="N33" i="22"/>
  <c r="L33" i="22"/>
  <c r="O33" i="22" s="1"/>
  <c r="F24" i="22"/>
  <c r="D5" i="23"/>
  <c r="D6" i="23"/>
  <c r="D4" i="23"/>
  <c r="D3" i="23"/>
  <c r="D4" i="10"/>
  <c r="H37" i="4"/>
  <c r="G36" i="4" s="1"/>
  <c r="F11" i="22" l="1"/>
  <c r="G11" i="22"/>
  <c r="G3" i="22"/>
  <c r="F3" i="22"/>
  <c r="N24" i="22"/>
  <c r="M24" i="22"/>
  <c r="L24" i="22"/>
  <c r="O24" i="22" s="1"/>
  <c r="I21" i="14"/>
  <c r="G28" i="22"/>
  <c r="D4" i="18"/>
  <c r="S3" i="16"/>
  <c r="K4" i="4" s="1"/>
  <c r="C21" i="21"/>
  <c r="B21" i="21" s="1"/>
  <c r="H21" i="21" s="1"/>
  <c r="F87" i="10"/>
  <c r="D87" i="10"/>
  <c r="H4" i="23"/>
  <c r="K3" i="17"/>
  <c r="L3" i="17" s="1"/>
  <c r="IR7" i="17"/>
  <c r="Q33" i="17"/>
  <c r="L27" i="4"/>
  <c r="Q25" i="4" s="1"/>
  <c r="R25" i="4" s="1"/>
  <c r="F4" i="4"/>
  <c r="H35" i="4"/>
  <c r="F88" i="10"/>
  <c r="D88" i="10"/>
  <c r="W5" i="16"/>
  <c r="I18" i="4"/>
  <c r="S6" i="16"/>
  <c r="K5" i="4" s="1"/>
  <c r="S1" i="16"/>
  <c r="T1" i="16" s="1"/>
  <c r="O16" i="21"/>
  <c r="Q55" i="21"/>
  <c r="D3" i="18"/>
  <c r="Y43" i="21"/>
  <c r="U38" i="20" s="1"/>
  <c r="M8" i="21"/>
  <c r="Y44" i="20"/>
  <c r="F88" i="18"/>
  <c r="I18" i="21"/>
  <c r="D87" i="18"/>
  <c r="L3" i="21"/>
  <c r="I56" i="21"/>
  <c r="Q56" i="21"/>
  <c r="O57" i="21"/>
  <c r="D88" i="18"/>
  <c r="F4" i="21"/>
  <c r="L27" i="21"/>
  <c r="Q25" i="21" s="1"/>
  <c r="R25" i="21" s="1"/>
  <c r="X7" i="21"/>
  <c r="R92" i="21"/>
  <c r="F87" i="18"/>
  <c r="R97" i="21"/>
  <c r="P4" i="19"/>
  <c r="O4" i="19" s="1"/>
  <c r="S3" i="19"/>
  <c r="K4" i="21" s="1"/>
  <c r="O3" i="19"/>
  <c r="P8" i="19" s="1"/>
  <c r="H9" i="19" s="1"/>
  <c r="I3" i="21" s="1"/>
  <c r="W57" i="21"/>
  <c r="Q57" i="21"/>
  <c r="O6" i="21" s="1"/>
  <c r="N16" i="21" s="1"/>
  <c r="I16" i="21" s="1"/>
  <c r="R91" i="21"/>
  <c r="AD42" i="21"/>
  <c r="R87" i="21"/>
  <c r="R89" i="21"/>
  <c r="R90" i="21"/>
  <c r="AB44" i="20"/>
  <c r="R86" i="21"/>
  <c r="Y2" i="21"/>
  <c r="K43" i="21"/>
  <c r="H43" i="21"/>
  <c r="W4" i="19"/>
  <c r="S4" i="19"/>
  <c r="W2" i="21"/>
  <c r="AJ25" i="21"/>
  <c r="AJ26" i="21" s="1"/>
  <c r="AJ27" i="21" s="1"/>
  <c r="AJ28" i="21" s="1"/>
  <c r="AJ29" i="21" s="1"/>
  <c r="AJ30" i="21" s="1"/>
  <c r="AJ31" i="21" s="1"/>
  <c r="AJ32" i="21" s="1"/>
  <c r="AJ33" i="21" s="1"/>
  <c r="AJ34" i="21" s="1"/>
  <c r="AJ35" i="21" s="1"/>
  <c r="AJ36" i="21" s="1"/>
  <c r="AJ38" i="21" s="1"/>
  <c r="AJ39" i="21" s="1"/>
  <c r="AJ40" i="21" s="1"/>
  <c r="AJ41" i="21" s="1"/>
  <c r="AJ42" i="21" s="1"/>
  <c r="AJ43" i="21" s="1"/>
  <c r="AJ44" i="21" s="1"/>
  <c r="AJ45" i="21" s="1"/>
  <c r="R88" i="21"/>
  <c r="Q12" i="21"/>
  <c r="C9" i="20"/>
  <c r="T57" i="21"/>
  <c r="U36" i="20"/>
  <c r="Q48" i="21"/>
  <c r="R48" i="21" s="1"/>
  <c r="M60" i="21"/>
  <c r="D76" i="18"/>
  <c r="U57" i="21"/>
  <c r="I13" i="21"/>
  <c r="Q2" i="21"/>
  <c r="K29" i="21"/>
  <c r="P29" i="21" s="1"/>
  <c r="R84" i="4"/>
  <c r="R89" i="4"/>
  <c r="W2" i="4"/>
  <c r="AA48" i="4"/>
  <c r="S52" i="4"/>
  <c r="R52" i="4" s="1"/>
  <c r="O2" i="4"/>
  <c r="R88" i="4"/>
  <c r="AA6" i="4"/>
  <c r="V29" i="4"/>
  <c r="R86" i="4"/>
  <c r="R92" i="4"/>
  <c r="AD42" i="4"/>
  <c r="R12" i="4"/>
  <c r="Q12" i="4"/>
  <c r="T12" i="4" s="1"/>
  <c r="Y2" i="4"/>
  <c r="Z6" i="4"/>
  <c r="Y6" i="4" s="1"/>
  <c r="X6" i="4" s="1"/>
  <c r="W6" i="4" s="1"/>
  <c r="U6" i="4" s="1"/>
  <c r="T6" i="4" s="1"/>
  <c r="R6" i="4" s="1"/>
  <c r="Q6" i="4" s="1"/>
  <c r="Q57" i="4"/>
  <c r="W57" i="4"/>
  <c r="R90" i="4"/>
  <c r="R91" i="4"/>
  <c r="AI6" i="4"/>
  <c r="AH6" i="4" s="1"/>
  <c r="R87" i="4"/>
  <c r="AB44" i="13"/>
  <c r="Q67" i="4"/>
  <c r="T57" i="4"/>
  <c r="Q44" i="4"/>
  <c r="O57" i="4"/>
  <c r="U62" i="4" s="1"/>
  <c r="R85" i="4"/>
  <c r="U50" i="13"/>
  <c r="T4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Q2" i="4"/>
  <c r="AG6" i="4"/>
  <c r="AF6" i="4" s="1"/>
  <c r="AE6" i="4" s="1"/>
  <c r="AD6" i="4" s="1"/>
  <c r="AC6" i="4" s="1"/>
  <c r="AB6" i="4" s="1"/>
  <c r="X7" i="4"/>
  <c r="Z2" i="4"/>
  <c r="H32" i="13"/>
  <c r="U32" i="13"/>
  <c r="Y4" i="13"/>
  <c r="Q21" i="4"/>
  <c r="H21" i="4"/>
  <c r="V13" i="13"/>
  <c r="Y15" i="4"/>
  <c r="R79" i="4" s="1"/>
  <c r="R82" i="4" s="1"/>
  <c r="I13" i="4"/>
  <c r="H43" i="4"/>
  <c r="L25" i="13"/>
  <c r="L7" i="4"/>
  <c r="D3" i="10"/>
  <c r="D76" i="10"/>
  <c r="E15" i="4"/>
  <c r="O16" i="4"/>
  <c r="I61" i="4"/>
  <c r="E15" i="21"/>
  <c r="O5" i="21"/>
  <c r="H5" i="23"/>
  <c r="M62" i="21"/>
  <c r="M66" i="21" s="1"/>
  <c r="M67" i="21" s="1"/>
  <c r="I61" i="21"/>
  <c r="H6" i="23"/>
  <c r="H7" i="23"/>
  <c r="H3" i="23"/>
  <c r="L7" i="21"/>
  <c r="O5" i="4"/>
  <c r="C71" i="21"/>
  <c r="AC56" i="4"/>
  <c r="AB56" i="4" s="1"/>
  <c r="AA56" i="4" s="1"/>
  <c r="Z56" i="4" s="1"/>
  <c r="Y56" i="4" s="1"/>
  <c r="X56" i="4" s="1"/>
  <c r="W56" i="4" s="1"/>
  <c r="U56" i="4" s="1"/>
  <c r="I29" i="4"/>
  <c r="G8" i="22"/>
  <c r="F8" i="22"/>
  <c r="I23" i="17"/>
  <c r="AP8" i="21"/>
  <c r="L46" i="13"/>
  <c r="Q46" i="13"/>
  <c r="G5" i="22"/>
  <c r="F5" i="22"/>
  <c r="N30" i="22"/>
  <c r="M30" i="22"/>
  <c r="L30" i="22"/>
  <c r="O30" i="22" s="1"/>
  <c r="T56" i="4"/>
  <c r="R56" i="4" s="1"/>
  <c r="G37" i="4"/>
  <c r="R31" i="21"/>
  <c r="I32" i="21"/>
  <c r="U32" i="20"/>
  <c r="H32" i="20"/>
  <c r="Q21" i="21"/>
  <c r="L46" i="20"/>
  <c r="Q46" i="20"/>
  <c r="G27" i="22"/>
  <c r="F27" i="22"/>
  <c r="X48" i="21"/>
  <c r="Y4" i="20"/>
  <c r="W11" i="16"/>
  <c r="U15" i="16"/>
  <c r="P8" i="16"/>
  <c r="U14" i="16"/>
  <c r="I6" i="16" s="1"/>
  <c r="O12" i="16" s="1"/>
  <c r="R31" i="4"/>
  <c r="I34" i="21"/>
  <c r="E31" i="21"/>
  <c r="H34" i="21"/>
  <c r="I33" i="21"/>
  <c r="T31" i="21"/>
  <c r="M28" i="22"/>
  <c r="L28" i="22"/>
  <c r="O28" i="22" s="1"/>
  <c r="N34" i="22"/>
  <c r="L34" i="22"/>
  <c r="O34" i="22" s="1"/>
  <c r="V13" i="20"/>
  <c r="G23" i="22"/>
  <c r="F23" i="22"/>
  <c r="Y6" i="21"/>
  <c r="X6" i="21" s="1"/>
  <c r="W6" i="21" s="1"/>
  <c r="U6" i="21" s="1"/>
  <c r="T6" i="21" s="1"/>
  <c r="R6" i="21" s="1"/>
  <c r="Q6" i="21" s="1"/>
  <c r="P4" i="16"/>
  <c r="V2" i="4"/>
  <c r="M60" i="4"/>
  <c r="M27" i="22"/>
  <c r="L27" i="22"/>
  <c r="O27" i="22" s="1"/>
  <c r="G34" i="22"/>
  <c r="I56" i="4"/>
  <c r="R61" i="4"/>
  <c r="G22" i="22"/>
  <c r="F22" i="22"/>
  <c r="N32" i="22"/>
  <c r="L32" i="22"/>
  <c r="O32" i="22" s="1"/>
  <c r="AU43" i="2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4" i="21" s="1"/>
  <c r="AU65"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6" i="21" s="1"/>
  <c r="AU107"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AU153" i="21" s="1"/>
  <c r="AU154" i="21" s="1"/>
  <c r="G25" i="22"/>
  <c r="G30" i="22"/>
  <c r="F30" i="22"/>
  <c r="X15" i="21"/>
  <c r="Y15" i="21" s="1"/>
  <c r="R79" i="21" s="1"/>
  <c r="R82" i="21"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4" i="4" s="1"/>
  <c r="AU65"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6" i="4" s="1"/>
  <c r="AU107"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U153" i="4" s="1"/>
  <c r="AU154" i="4" s="1"/>
  <c r="I3" i="14"/>
  <c r="K3" i="14" s="1"/>
  <c r="Q34" i="14"/>
  <c r="D10" i="23"/>
  <c r="M3" i="17" l="1"/>
  <c r="Q32" i="17" s="1"/>
  <c r="AE25" i="21"/>
  <c r="U13" i="19"/>
  <c r="AE25" i="4"/>
  <c r="AP7" i="4"/>
  <c r="I22" i="14"/>
  <c r="M62" i="4"/>
  <c r="T2" i="4"/>
  <c r="R93" i="4"/>
  <c r="R94" i="4" s="1"/>
  <c r="U62" i="21"/>
  <c r="R50" i="21"/>
  <c r="O11" i="21"/>
  <c r="R15" i="21" s="1"/>
  <c r="E16" i="21"/>
  <c r="AC25" i="21"/>
  <c r="R57" i="21"/>
  <c r="O56" i="21" s="1"/>
  <c r="W50" i="20" s="1"/>
  <c r="Z2" i="21"/>
  <c r="Q44" i="21"/>
  <c r="O72" i="21" s="1"/>
  <c r="F72" i="21" s="1"/>
  <c r="R84" i="21"/>
  <c r="Q67" i="21"/>
  <c r="S52" i="21"/>
  <c r="R52" i="21" s="1"/>
  <c r="R85" i="21"/>
  <c r="U50" i="20"/>
  <c r="V29" i="21"/>
  <c r="AI6" i="21"/>
  <c r="AH6" i="21" s="1"/>
  <c r="AG6" i="21" s="1"/>
  <c r="AF6" i="21" s="1"/>
  <c r="AE6" i="21" s="1"/>
  <c r="AD6" i="21" s="1"/>
  <c r="AC6" i="21" s="1"/>
  <c r="AB6" i="21" s="1"/>
  <c r="AA6" i="21" s="1"/>
  <c r="Z6" i="21" s="1"/>
  <c r="T47" i="21"/>
  <c r="AA48" i="21"/>
  <c r="O2" i="21"/>
  <c r="T2" i="21" s="1"/>
  <c r="R12" i="21"/>
  <c r="U14" i="19"/>
  <c r="U16" i="19"/>
  <c r="U18" i="19" s="1"/>
  <c r="W11" i="19"/>
  <c r="U12" i="19"/>
  <c r="U11" i="19"/>
  <c r="U15" i="19"/>
  <c r="S1" i="19"/>
  <c r="T1" i="19" s="1"/>
  <c r="H8" i="19" s="1"/>
  <c r="U10" i="19"/>
  <c r="O14" i="19"/>
  <c r="M13" i="21"/>
  <c r="T12" i="21"/>
  <c r="R13" i="20" s="1"/>
  <c r="I29" i="21"/>
  <c r="O8" i="19"/>
  <c r="O9" i="19" s="1"/>
  <c r="N11" i="19"/>
  <c r="U46" i="21"/>
  <c r="Q46" i="21" s="1"/>
  <c r="T48" i="21"/>
  <c r="W34" i="20" s="1"/>
  <c r="W25" i="21"/>
  <c r="AA25" i="21"/>
  <c r="M13" i="4"/>
  <c r="O6" i="4"/>
  <c r="N16" i="4" s="1"/>
  <c r="I16" i="4" s="1"/>
  <c r="R57" i="4"/>
  <c r="I52" i="4"/>
  <c r="U25" i="4"/>
  <c r="AA35" i="13"/>
  <c r="AB38" i="13"/>
  <c r="I53" i="4"/>
  <c r="R36" i="4"/>
  <c r="R23" i="4"/>
  <c r="T23" i="4" s="1"/>
  <c r="U23" i="4" s="1"/>
  <c r="G24" i="4" s="1"/>
  <c r="Q49" i="4"/>
  <c r="K47" i="4"/>
  <c r="O15" i="4"/>
  <c r="Q15" i="4" s="1"/>
  <c r="K15" i="4" s="1"/>
  <c r="Z48" i="4"/>
  <c r="O44" i="4"/>
  <c r="O72" i="4"/>
  <c r="F72" i="4" s="1"/>
  <c r="O56" i="4"/>
  <c r="W50" i="13" s="1"/>
  <c r="K9" i="4"/>
  <c r="R22" i="20"/>
  <c r="Q54" i="4"/>
  <c r="X48" i="4"/>
  <c r="U57" i="4"/>
  <c r="AC25" i="4"/>
  <c r="R50" i="4"/>
  <c r="Q48" i="4"/>
  <c r="U31" i="21"/>
  <c r="I31" i="21"/>
  <c r="T29" i="4"/>
  <c r="Q29" i="4"/>
  <c r="R29" i="4" s="1"/>
  <c r="W33" i="13" s="1"/>
  <c r="O4" i="16"/>
  <c r="S4" i="16"/>
  <c r="W25" i="4"/>
  <c r="AA25" i="4"/>
  <c r="M66" i="4"/>
  <c r="R21" i="13" s="1"/>
  <c r="O14" i="16"/>
  <c r="H8" i="16"/>
  <c r="H9" i="16"/>
  <c r="AP9" i="21"/>
  <c r="I24" i="17"/>
  <c r="AP10" i="21" s="1"/>
  <c r="R21" i="20"/>
  <c r="IR7" i="14"/>
  <c r="C68" i="4"/>
  <c r="C71" i="4" s="1"/>
  <c r="L3" i="14"/>
  <c r="M3" i="14" s="1"/>
  <c r="J3" i="17" l="1"/>
  <c r="W8" i="21"/>
  <c r="O11" i="4"/>
  <c r="R93" i="21"/>
  <c r="R94" i="21" s="1"/>
  <c r="AP8" i="4"/>
  <c r="I23" i="14"/>
  <c r="AP9" i="4" s="1"/>
  <c r="Y48" i="4"/>
  <c r="I24" i="14"/>
  <c r="AP10" i="4" s="1"/>
  <c r="U2" i="4"/>
  <c r="K9" i="21"/>
  <c r="I52" i="21"/>
  <c r="AA35" i="20"/>
  <c r="Q49" i="21"/>
  <c r="R23" i="21"/>
  <c r="T23" i="21" s="1"/>
  <c r="U23" i="21" s="1"/>
  <c r="G24" i="21" s="1"/>
  <c r="AB38" i="20"/>
  <c r="O15" i="21"/>
  <c r="Q15" i="21" s="1"/>
  <c r="K15" i="21" s="1"/>
  <c r="I53" i="21"/>
  <c r="K47" i="21"/>
  <c r="Z48" i="21"/>
  <c r="Y48" i="21" s="1"/>
  <c r="Q54" i="21"/>
  <c r="U25" i="21"/>
  <c r="R36" i="21"/>
  <c r="I6" i="19"/>
  <c r="O12" i="19" s="1"/>
  <c r="J9" i="19"/>
  <c r="T29" i="21"/>
  <c r="Q29" i="21"/>
  <c r="R29" i="21" s="1"/>
  <c r="W33" i="20" s="1"/>
  <c r="AB25" i="21"/>
  <c r="AD25" i="21"/>
  <c r="L25" i="21" s="1"/>
  <c r="Z32" i="20"/>
  <c r="D41" i="21"/>
  <c r="F43" i="21" s="1"/>
  <c r="F27" i="21"/>
  <c r="W32" i="20"/>
  <c r="Z25" i="21"/>
  <c r="I26" i="21" s="1"/>
  <c r="H46" i="21"/>
  <c r="R46" i="21"/>
  <c r="T46" i="21" s="1"/>
  <c r="AA44" i="20" s="1"/>
  <c r="P39" i="4"/>
  <c r="M42" i="4" s="1"/>
  <c r="O61" i="4" s="1"/>
  <c r="P38" i="4"/>
  <c r="M40" i="4" s="1"/>
  <c r="I49" i="4"/>
  <c r="AA38" i="13"/>
  <c r="R49" i="4"/>
  <c r="T48" i="4"/>
  <c r="W34" i="13" s="1"/>
  <c r="K48" i="4"/>
  <c r="U46" i="4"/>
  <c r="Q46" i="4" s="1"/>
  <c r="R46" i="4" s="1"/>
  <c r="T46" i="4" s="1"/>
  <c r="AA44" i="13" s="1"/>
  <c r="R48" i="4"/>
  <c r="I36" i="4"/>
  <c r="R37" i="4"/>
  <c r="O8" i="16"/>
  <c r="O9" i="16" s="1"/>
  <c r="I3" i="4"/>
  <c r="N11" i="16"/>
  <c r="J9" i="16" s="1"/>
  <c r="U18" i="16"/>
  <c r="F57" i="21"/>
  <c r="C1" i="21"/>
  <c r="M19" i="21"/>
  <c r="M67" i="4"/>
  <c r="M68" i="4" s="1"/>
  <c r="AB25" i="4"/>
  <c r="AD25" i="4"/>
  <c r="L25" i="4" s="1"/>
  <c r="Z25" i="4"/>
  <c r="I26" i="4" s="1"/>
  <c r="Z32" i="13"/>
  <c r="D41" i="4"/>
  <c r="F27" i="4"/>
  <c r="W32" i="13"/>
  <c r="R15" i="4"/>
  <c r="W8" i="4"/>
  <c r="E16" i="4"/>
  <c r="J3" i="14"/>
  <c r="Q32" i="14"/>
  <c r="P5" i="4" l="1"/>
  <c r="Y49" i="4"/>
  <c r="Z49" i="4"/>
  <c r="N68" i="4"/>
  <c r="N33" i="4"/>
  <c r="N17" i="4"/>
  <c r="AC42" i="4"/>
  <c r="AE43" i="4" s="1"/>
  <c r="Y43" i="4" s="1"/>
  <c r="AB42" i="4"/>
  <c r="U3" i="13"/>
  <c r="R18" i="13"/>
  <c r="R20" i="13"/>
  <c r="P12" i="13"/>
  <c r="Q7" i="4"/>
  <c r="AC42" i="21"/>
  <c r="Y49" i="21"/>
  <c r="N17" i="21"/>
  <c r="N68" i="21"/>
  <c r="AB42" i="21"/>
  <c r="N33" i="21"/>
  <c r="Z49" i="21"/>
  <c r="M29" i="21"/>
  <c r="I36" i="21"/>
  <c r="R37" i="21"/>
  <c r="U2" i="21"/>
  <c r="R49" i="21"/>
  <c r="M49" i="21" s="1"/>
  <c r="I49" i="21"/>
  <c r="AA38" i="20"/>
  <c r="O26" i="21"/>
  <c r="Z28" i="21"/>
  <c r="X25" i="21"/>
  <c r="I28" i="21"/>
  <c r="H46" i="4"/>
  <c r="R22" i="13"/>
  <c r="AE42" i="4"/>
  <c r="Y42" i="4" s="1"/>
  <c r="U35" i="13" s="1"/>
  <c r="I28" i="4"/>
  <c r="O26" i="4"/>
  <c r="X25" i="4"/>
  <c r="Z28" i="4"/>
  <c r="AH43" i="4" s="1"/>
  <c r="F41" i="4"/>
  <c r="M21" i="21"/>
  <c r="M39" i="21"/>
  <c r="R98" i="21" s="1"/>
  <c r="M46" i="21"/>
  <c r="R100" i="21" s="1"/>
  <c r="G23" i="21"/>
  <c r="M44" i="21"/>
  <c r="M20" i="21"/>
  <c r="F57" i="4"/>
  <c r="M48" i="4"/>
  <c r="M54" i="4"/>
  <c r="R99" i="4" s="1"/>
  <c r="M49" i="4"/>
  <c r="M50" i="4"/>
  <c r="M53" i="4"/>
  <c r="M57" i="4"/>
  <c r="M19" i="4"/>
  <c r="M39" i="4" s="1"/>
  <c r="C1" i="4"/>
  <c r="U38" i="13" l="1"/>
  <c r="F43" i="4"/>
  <c r="R19" i="13"/>
  <c r="C47" i="13"/>
  <c r="M2" i="13"/>
  <c r="R13" i="13"/>
  <c r="P7" i="13"/>
  <c r="I46" i="13"/>
  <c r="R23" i="13"/>
  <c r="X43" i="4"/>
  <c r="X42" i="4"/>
  <c r="M29" i="4"/>
  <c r="M51" i="4"/>
  <c r="P7" i="20"/>
  <c r="M42" i="21"/>
  <c r="R20" i="20" s="1"/>
  <c r="M68" i="21"/>
  <c r="R23" i="20" s="1"/>
  <c r="M54" i="21"/>
  <c r="P12" i="20"/>
  <c r="M57" i="21"/>
  <c r="M50" i="21"/>
  <c r="Q7" i="21"/>
  <c r="M40" i="21"/>
  <c r="M53" i="21"/>
  <c r="X43" i="21"/>
  <c r="X42" i="21"/>
  <c r="AH43" i="21"/>
  <c r="AG43" i="21"/>
  <c r="AF43" i="21" s="1"/>
  <c r="AE43" i="21" s="1"/>
  <c r="AG42" i="21"/>
  <c r="AH42" i="21"/>
  <c r="M56" i="4"/>
  <c r="Z43" i="4"/>
  <c r="Z42" i="4"/>
  <c r="M20" i="4"/>
  <c r="M21" i="4"/>
  <c r="Q53" i="4"/>
  <c r="R53" i="4" s="1"/>
  <c r="O52" i="4"/>
  <c r="W37" i="13" s="1"/>
  <c r="AG43" i="4"/>
  <c r="AF43" i="4" s="1"/>
  <c r="AG42" i="4"/>
  <c r="AH42" i="4"/>
  <c r="G23" i="4"/>
  <c r="M44" i="4"/>
  <c r="M46" i="4"/>
  <c r="R100" i="4" s="1"/>
  <c r="R98" i="4"/>
  <c r="M38" i="4"/>
  <c r="M37" i="4" s="1"/>
  <c r="H44" i="4" l="1"/>
  <c r="R96" i="4"/>
  <c r="Y38" i="13"/>
  <c r="H42" i="4"/>
  <c r="Y35" i="13"/>
  <c r="R99" i="21"/>
  <c r="T38" i="20"/>
  <c r="H44" i="21"/>
  <c r="R96" i="21"/>
  <c r="Y38" i="20"/>
  <c r="Z42" i="21"/>
  <c r="B36" i="20"/>
  <c r="Z43" i="21"/>
  <c r="Y35" i="20"/>
  <c r="H42" i="21"/>
  <c r="Q53" i="21"/>
  <c r="R53" i="21" s="1"/>
  <c r="O52" i="21"/>
  <c r="W36" i="20" s="1"/>
  <c r="M38" i="21"/>
  <c r="M37" i="21" s="1"/>
  <c r="W4" i="20" s="1"/>
  <c r="P5" i="21"/>
  <c r="R19" i="20"/>
  <c r="O61" i="21"/>
  <c r="R18" i="20" s="1"/>
  <c r="AF42" i="21"/>
  <c r="AE42" i="21" s="1"/>
  <c r="Y42" i="21" s="1"/>
  <c r="K42" i="4"/>
  <c r="W35" i="13"/>
  <c r="AF42" i="4"/>
  <c r="K44" i="4"/>
  <c r="W38" i="13"/>
  <c r="K39" i="13"/>
  <c r="W4" i="13"/>
  <c r="M35" i="4"/>
  <c r="M35" i="21" l="1"/>
  <c r="M36" i="21" s="1"/>
  <c r="O36" i="21" s="1"/>
  <c r="W42" i="20" s="1"/>
  <c r="K42" i="21"/>
  <c r="W35" i="20"/>
  <c r="W38" i="20"/>
  <c r="K44" i="21"/>
  <c r="K39" i="20"/>
  <c r="U35" i="20"/>
  <c r="F41" i="21"/>
  <c r="I37" i="21"/>
  <c r="M24" i="21"/>
  <c r="I37" i="4"/>
  <c r="M24" i="4"/>
  <c r="M36" i="4"/>
  <c r="O38" i="4" s="1"/>
  <c r="O38" i="21" l="1"/>
  <c r="X4" i="20"/>
  <c r="X50" i="20"/>
  <c r="C50" i="20" s="1"/>
  <c r="Z22" i="21"/>
  <c r="Z23" i="21" s="1"/>
  <c r="M23" i="21"/>
  <c r="O24" i="21"/>
  <c r="Z22" i="4"/>
  <c r="Z23" i="4" s="1"/>
  <c r="X50" i="13"/>
  <c r="C50" i="13" s="1"/>
  <c r="X4" i="13"/>
  <c r="D37" i="13"/>
  <c r="O36" i="4"/>
  <c r="W42" i="13" s="1"/>
  <c r="O24" i="4"/>
  <c r="M23" i="4"/>
  <c r="H23" i="21" l="1"/>
  <c r="P23" i="21"/>
  <c r="W39" i="20" s="1"/>
  <c r="I23" i="21"/>
  <c r="H23" i="4"/>
  <c r="Z4" i="13" s="1"/>
  <c r="M1" i="13" s="1"/>
  <c r="F23" i="4"/>
  <c r="P23" i="4"/>
  <c r="W39" i="13" s="1"/>
  <c r="I23" i="4"/>
  <c r="C60" i="20" l="1"/>
  <c r="Z4" i="20"/>
  <c r="M1" i="20" s="1"/>
  <c r="U1" i="21"/>
  <c r="U1" i="4"/>
  <c r="C6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<sst xmlns="http://schemas.openxmlformats.org/spreadsheetml/2006/main" count="1837" uniqueCount="610">
  <si>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</si>
  <si>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</si>
  <si>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</si>
  <si>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</si>
  <si>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</si>
  <si>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</si>
  <si>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</si>
  <si>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</si>
  <si>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</si>
  <si>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</si>
  <si>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</si>
  <si>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</si>
  <si>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</si>
  <si>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</si>
  <si>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 xml:space="preserve">S R C C     </t>
  </si>
  <si>
    <t>Designed by Mumtaz Mulaffar</t>
  </si>
  <si>
    <t>Goods</t>
  </si>
  <si>
    <t>PAB</t>
  </si>
  <si>
    <t>WCT</t>
  </si>
  <si>
    <t>GOODS</t>
  </si>
  <si>
    <t>WCT  to labourers</t>
  </si>
  <si>
    <t>No. workers</t>
  </si>
  <si>
    <t>No. Labourers</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</si>
  <si>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</si>
  <si>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</si>
  <si>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</si>
  <si>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</si>
  <si>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</si>
  <si>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</si>
  <si>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</si>
  <si>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</si>
  <si>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</si>
  <si>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</si>
  <si>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</si>
  <si>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</si>
  <si>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</si>
  <si>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</si>
  <si>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</si>
  <si>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</si>
  <si>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</si>
  <si>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</si>
  <si>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</si>
  <si>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</si>
  <si>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</si>
  <si>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</si>
  <si>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</si>
  <si>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</si>
  <si>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</si>
  <si>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</si>
  <si>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</si>
  <si>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</si>
  <si>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</si>
  <si>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</si>
  <si>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</si>
  <si>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</si>
  <si>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</si>
  <si>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</si>
  <si>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</si>
  <si>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</si>
  <si>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</si>
  <si>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</si>
  <si>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</si>
  <si>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</si>
  <si>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</si>
  <si>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</si>
  <si>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</si>
  <si>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</si>
  <si>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</si>
  <si>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</si>
  <si>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</si>
  <si>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</si>
  <si>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</si>
  <si>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</si>
  <si>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</si>
  <si>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</si>
  <si>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</si>
  <si>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</si>
  <si>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</si>
  <si>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</si>
  <si>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</si>
  <si>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</si>
  <si>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</si>
  <si>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</si>
  <si>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</si>
  <si>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</si>
  <si>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</si>
  <si>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</si>
  <si>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</si>
  <si>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</si>
  <si>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</si>
  <si>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</si>
  <si>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</si>
  <si>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</si>
  <si>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</si>
  <si>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</si>
  <si>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</si>
  <si>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</si>
  <si>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</si>
  <si>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</si>
  <si>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</si>
  <si>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</si>
  <si>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</si>
  <si>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</si>
  <si>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</si>
  <si>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</si>
  <si>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</si>
  <si>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</si>
  <si>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</si>
  <si>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</si>
  <si>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</si>
  <si>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</si>
  <si>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</si>
  <si>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</si>
  <si>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</si>
  <si>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</si>
  <si>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</si>
  <si>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</si>
  <si>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</si>
  <si>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</si>
  <si>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</si>
  <si>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</si>
  <si>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</si>
  <si>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</si>
  <si>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</si>
  <si>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</si>
  <si>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</si>
  <si>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</si>
  <si>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</si>
  <si>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</si>
  <si>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</si>
  <si>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</si>
  <si>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</si>
  <si>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</si>
  <si>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</si>
  <si>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</si>
  <si>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</si>
  <si>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</si>
  <si>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</si>
  <si>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</si>
  <si>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</si>
  <si>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</si>
  <si>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</si>
  <si>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</si>
  <si>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</si>
  <si>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</si>
  <si>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</si>
  <si>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</si>
  <si>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</si>
  <si>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</si>
  <si>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</si>
  <si>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</si>
  <si>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</si>
  <si>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</si>
  <si>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</si>
  <si>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</si>
  <si>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</si>
  <si>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</si>
  <si>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</si>
  <si>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</si>
  <si>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</si>
  <si>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</si>
  <si>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</si>
  <si>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</si>
  <si>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</si>
  <si>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</si>
  <si>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</si>
  <si>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</si>
  <si>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</si>
  <si>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</si>
  <si>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</si>
  <si>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</si>
  <si>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</si>
  <si>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</si>
  <si>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</si>
  <si>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</si>
  <si>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</si>
  <si>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</si>
  <si>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</si>
  <si>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</si>
  <si>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</si>
  <si>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</si>
  <si>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</si>
  <si>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</si>
  <si>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</si>
  <si>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</si>
  <si>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</si>
  <si>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</si>
  <si>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</si>
  <si>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</si>
  <si>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</si>
  <si>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</si>
  <si>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</si>
  <si>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</si>
  <si>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</si>
  <si>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</si>
  <si>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</si>
  <si>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</si>
  <si>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</si>
  <si>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</si>
  <si>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</si>
  <si>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</si>
  <si>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</si>
  <si>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</si>
  <si>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</si>
  <si>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</si>
  <si>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</si>
  <si>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</si>
  <si>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</si>
  <si>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</si>
  <si>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</si>
  <si>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</si>
  <si>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</si>
  <si>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</si>
  <si>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</si>
  <si>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</si>
  <si>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</si>
  <si>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</si>
  <si>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</si>
  <si>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</si>
  <si>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</si>
  <si>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</si>
  <si>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</si>
  <si>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</si>
  <si>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</si>
  <si>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</si>
  <si>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</si>
  <si>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</si>
  <si>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</si>
  <si>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</si>
  <si>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</si>
  <si>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</si>
  <si>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</si>
  <si>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</si>
  <si>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</si>
  <si>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</si>
  <si>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</si>
  <si>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</si>
  <si>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</si>
  <si>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</si>
  <si>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</si>
  <si>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</si>
  <si>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</si>
  <si>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</si>
  <si>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</si>
  <si>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</si>
  <si>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</si>
  <si>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</si>
  <si>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</si>
  <si>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</si>
  <si>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</si>
  <si>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</si>
  <si>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</si>
  <si>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</si>
  <si>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</si>
  <si>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</si>
  <si>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</si>
  <si>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</si>
  <si>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</si>
  <si>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</si>
  <si>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</si>
  <si>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</si>
  <si>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</si>
  <si>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</si>
  <si>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</si>
  <si>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</si>
  <si>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</si>
  <si>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</si>
  <si>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</si>
  <si>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</si>
  <si>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</si>
  <si>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</si>
  <si>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</si>
  <si>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</si>
  <si>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</si>
  <si>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</si>
  <si>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</si>
  <si>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</si>
  <si>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</si>
  <si>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</si>
  <si>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</si>
  <si>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</si>
  <si>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</si>
  <si>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</si>
  <si>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</si>
  <si>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</si>
  <si>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</si>
  <si>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</si>
  <si>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</si>
  <si>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</si>
  <si>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</si>
  <si>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</si>
  <si>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</si>
  <si>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</si>
  <si>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</si>
  <si>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</si>
  <si>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</si>
  <si>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</si>
  <si>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</si>
  <si>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</si>
  <si>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</si>
  <si>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</si>
  <si>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</si>
  <si>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</si>
  <si>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</si>
  <si>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</si>
  <si>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</si>
  <si>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</si>
  <si>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</si>
  <si>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</si>
  <si>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</si>
  <si>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</si>
  <si>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</si>
  <si>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</si>
  <si>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</si>
  <si>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</si>
  <si>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</si>
  <si>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</si>
  <si>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</si>
  <si>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</si>
  <si>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</si>
  <si>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</si>
  <si>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</si>
  <si>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</si>
  <si>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</si>
  <si>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</si>
  <si>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</si>
  <si>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</si>
  <si>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</si>
  <si>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</si>
  <si>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</si>
  <si>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</si>
  <si>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</si>
  <si>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</si>
  <si>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</si>
  <si>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</si>
  <si>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</si>
  <si>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</si>
  <si>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</si>
  <si>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</si>
  <si>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</si>
  <si>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</si>
  <si>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</si>
  <si>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</si>
  <si>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</si>
  <si>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</si>
  <si>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</si>
  <si>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</si>
  <si>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</si>
  <si>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</si>
  <si>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</si>
  <si>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</si>
  <si>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</si>
  <si>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</si>
  <si>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</si>
  <si>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</si>
  <si>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</si>
  <si>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</si>
  <si>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</si>
  <si>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</si>
  <si>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</si>
  <si>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</si>
  <si>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</si>
  <si>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</si>
  <si>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</si>
  <si>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</si>
  <si>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</si>
  <si>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</si>
  <si>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</si>
  <si>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</si>
  <si>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</si>
  <si>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</si>
  <si>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</si>
  <si>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</si>
  <si>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</si>
  <si>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</si>
  <si>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</si>
  <si>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</si>
  <si>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</si>
  <si>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</si>
  <si>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</si>
  <si>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</si>
  <si>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</si>
  <si>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</si>
  <si>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</si>
  <si>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</si>
  <si>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</si>
  <si>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</si>
  <si>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</si>
  <si>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</si>
  <si>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</si>
  <si>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</si>
  <si>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</si>
  <si>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</si>
  <si>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</si>
  <si>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</si>
  <si>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</si>
  <si>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</si>
  <si>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</si>
  <si>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</si>
  <si>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</si>
  <si>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</si>
  <si>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</si>
  <si>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</si>
  <si>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</si>
  <si>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</si>
  <si>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</si>
  <si>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</si>
  <si>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</si>
  <si>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</si>
  <si>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</si>
  <si>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</si>
  <si>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</si>
  <si>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</si>
  <si>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</si>
  <si>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</si>
  <si>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</si>
  <si>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</si>
  <si>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</si>
  <si>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</si>
  <si>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</si>
  <si>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</si>
  <si>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</si>
  <si>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</si>
  <si>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</si>
  <si>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</si>
  <si>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</si>
  <si>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</si>
  <si>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</si>
  <si>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</si>
  <si>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</si>
  <si>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</si>
  <si>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</si>
  <si>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</si>
  <si>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</si>
  <si>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</si>
  <si>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</si>
  <si>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</si>
  <si>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</si>
  <si>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</si>
  <si>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</si>
  <si>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</si>
  <si>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</si>
  <si>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</si>
  <si>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</si>
  <si>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</si>
  <si>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</si>
  <si>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</si>
  <si>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</si>
  <si>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</si>
  <si>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</si>
  <si>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</si>
  <si>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</si>
  <si>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</si>
  <si>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</si>
  <si>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</si>
  <si>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</si>
  <si>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</si>
  <si>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</si>
  <si>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</si>
  <si>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</si>
  <si>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</si>
  <si>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</si>
  <si>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</si>
  <si>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</si>
  <si>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</si>
  <si>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</si>
  <si>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</si>
  <si>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</si>
  <si>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</si>
  <si>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</si>
  <si>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</si>
  <si>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</si>
  <si>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</si>
  <si>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</si>
  <si>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</si>
  <si>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</si>
  <si>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</si>
  <si>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</si>
  <si>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</si>
  <si>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</si>
  <si>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</si>
  <si>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</si>
  <si>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</si>
  <si>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</si>
  <si>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</si>
  <si>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</si>
  <si>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</si>
  <si>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</si>
  <si>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</si>
  <si>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</si>
  <si>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</si>
  <si>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</si>
  <si>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</si>
  <si>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</si>
  <si>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</si>
  <si>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</si>
  <si>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</si>
  <si>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</si>
  <si>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</si>
  <si>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</si>
  <si>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</si>
  <si>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</si>
  <si>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</si>
  <si>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</si>
  <si>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</si>
  <si>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</si>
  <si>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</si>
  <si>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</si>
  <si>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</si>
  <si>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</si>
  <si>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</si>
  <si>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</si>
  <si>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</si>
  <si>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</si>
  <si>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</si>
  <si>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</si>
  <si>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</si>
  <si>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</si>
  <si>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</si>
  <si>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</si>
  <si>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</si>
  <si>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</si>
  <si>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</si>
  <si>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</si>
  <si>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</si>
  <si>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</si>
  <si>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</si>
  <si>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Special Leasing/2019</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</si>
  <si>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</si>
  <si>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</si>
  <si>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</si>
  <si>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</si>
  <si>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</si>
  <si>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</si>
  <si>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</si>
  <si>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Rs.5,000/-</t>
  </si>
  <si>
    <t>• Hiring Exclusion</t>
  </si>
  <si>
    <t>Rs.1,000/-</t>
  </si>
  <si>
    <t>GUD/2019/SRC/001</t>
  </si>
  <si>
    <t>Rs.2,000/-</t>
  </si>
  <si>
    <t>RICHARD PIERIS FINANCE</t>
  </si>
  <si>
    <t>```</t>
  </si>
  <si>
    <t>1 Million</t>
  </si>
  <si>
    <t>PERSONAL ACCIDENT (24 Hours)</t>
  </si>
  <si>
    <t>PERSONAL ACCIDENT (24 Hour)</t>
  </si>
  <si>
    <t>SSCL</t>
  </si>
  <si>
    <t>L Rider</t>
  </si>
  <si>
    <t>Service Fee</t>
  </si>
  <si>
    <t>Policy Fee</t>
  </si>
  <si>
    <r>
      <t xml:space="preserve">PAB Cover </t>
    </r>
    <r>
      <rPr>
        <sz val="10"/>
        <rFont val="Tahoma"/>
        <family val="2"/>
      </rPr>
      <t>(For Pillion Rider)</t>
    </r>
  </si>
  <si>
    <r>
      <t xml:space="preserve">24 Hour PAB Cover </t>
    </r>
    <r>
      <rPr>
        <sz val="10"/>
        <rFont val="Tahoma"/>
        <family val="2"/>
      </rPr>
      <t>(for Insured)</t>
    </r>
  </si>
  <si>
    <t>Windscreen Cover</t>
  </si>
  <si>
    <r>
      <t xml:space="preserve">Special Windscreen Cover </t>
    </r>
    <r>
      <rPr>
        <sz val="11"/>
        <rFont val="Tahoma"/>
        <family val="2"/>
      </rPr>
      <t>(Rs.10,000/-)</t>
    </r>
  </si>
  <si>
    <t>Flood &amp; Natural Perils Cover</t>
  </si>
  <si>
    <t>WCI for Driver</t>
  </si>
  <si>
    <t>NCB (Allowed)</t>
  </si>
  <si>
    <t>MENTION in Policy Without Charging</t>
  </si>
  <si>
    <t>(for Spouce &amp; Children above 18 yrs)</t>
  </si>
  <si>
    <t>Learner Driver Cover (for below)</t>
  </si>
  <si>
    <t>Learner Rider Cover (for below)</t>
  </si>
  <si>
    <t>(for Spouce &amp; Children above 18 Yrs)</t>
  </si>
  <si>
    <t>Matching HNB Premiums</t>
  </si>
  <si>
    <t>Rate to Match</t>
  </si>
  <si>
    <t>Requested Incentive
 (B2B+SS)</t>
  </si>
  <si>
    <t>Requested Net Premium</t>
  </si>
  <si>
    <t>Gross Premium</t>
  </si>
  <si>
    <t>GP Excluding Death Cover (Rs.1567/-)</t>
  </si>
  <si>
    <t>Incentive/ admin+Taxes</t>
  </si>
  <si>
    <t>with Life Cover</t>
  </si>
  <si>
    <t>Without Life Cover</t>
  </si>
  <si>
    <t>MOTOR CYCLE</t>
  </si>
  <si>
    <t>AMANA Current Package</t>
  </si>
  <si>
    <r>
      <t xml:space="preserve"> </t>
    </r>
    <r>
      <rPr>
        <b/>
        <sz val="11"/>
        <color indexed="8"/>
        <rFont val="Calibri"/>
        <family val="2"/>
      </rPr>
      <t xml:space="preserve">VALUE </t>
    </r>
  </si>
  <si>
    <t xml:space="preserve"> HNB PREMIUM </t>
  </si>
  <si>
    <t>Net Premium</t>
  </si>
  <si>
    <t>Incetive (current)</t>
  </si>
  <si>
    <r>
      <t xml:space="preserve">ATI RATE
</t>
    </r>
    <r>
      <rPr>
        <b/>
        <sz val="9"/>
        <color indexed="8"/>
        <rFont val="Calibri"/>
        <family val="2"/>
      </rPr>
      <t>(without Life Cover)</t>
    </r>
  </si>
  <si>
    <r>
      <t xml:space="preserve">ATI RATE
</t>
    </r>
    <r>
      <rPr>
        <b/>
        <sz val="9"/>
        <color indexed="8"/>
        <rFont val="Calibri"/>
        <family val="2"/>
      </rPr>
      <t>(with Life Cover)</t>
    </r>
  </si>
  <si>
    <t>THREE WHEELER</t>
  </si>
  <si>
    <t>Incetive</t>
  </si>
  <si>
    <t>Matching Gross Premium</t>
  </si>
  <si>
    <t>with 1 Mn Life Cover</t>
  </si>
  <si>
    <t>Rate</t>
  </si>
  <si>
    <t>Amount</t>
  </si>
  <si>
    <t>2023-8</t>
  </si>
  <si>
    <t>2023-9</t>
  </si>
  <si>
    <t>2023-10</t>
  </si>
  <si>
    <t>2023-11</t>
  </si>
  <si>
    <t>2023-12</t>
  </si>
  <si>
    <t>Today =</t>
  </si>
  <si>
    <t>Amount Increase</t>
  </si>
  <si>
    <t>OTHER</t>
  </si>
  <si>
    <t>Motor Cycle Insurance</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</si>
  <si>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Insurance/ insurer for the difference and shall bear a ratable proportion of the loss or damage accordingly. </t>
  </si>
  <si>
    <t>If at the end of the period of Insurance stated in the schedule there is a net surplus in the General Insurance Fund, the same shall be shared among the participant on pro rata basis provided always that the participant has not incurred any claim and / or not received any benefits under this Certificate whilst it is in force.</t>
  </si>
  <si>
    <r>
      <rPr>
        <b/>
        <u/>
        <sz val="11"/>
        <color indexed="9"/>
        <rFont val="Tahoma"/>
        <family val="2"/>
      </rPr>
      <t>SPECIAL LEASING PRMOTION</t>
    </r>
    <r>
      <rPr>
        <b/>
        <sz val="11"/>
        <color indexed="9"/>
        <rFont val="Tahoma"/>
        <family val="2"/>
      </rPr>
      <t>.                                    This Quote is applicable ONLY for Richard Pieris Finance</t>
    </r>
  </si>
  <si>
    <r>
      <rPr>
        <b/>
        <u/>
        <sz val="14"/>
        <color indexed="9"/>
        <rFont val="Tahoma"/>
        <family val="2"/>
      </rPr>
      <t>SPECIAL LEASING PRMOTION</t>
    </r>
    <r>
      <rPr>
        <b/>
        <sz val="14"/>
        <color indexed="9"/>
        <rFont val="Tahoma"/>
        <family val="2"/>
      </rPr>
      <t>.                                    This Quote is applicable ONLY for Richard Pieris Finance</t>
    </r>
  </si>
  <si>
    <t>Three Wheeler Insurance</t>
  </si>
  <si>
    <t>Insurance Premium:</t>
  </si>
  <si>
    <t>Basic Premium</t>
  </si>
  <si>
    <t>SRCC Premium</t>
  </si>
  <si>
    <t>Terrorism Premium</t>
  </si>
  <si>
    <t>Suwasiri Health Insurance</t>
  </si>
  <si>
    <r>
      <t xml:space="preserve">Suwasiri Medical Insurance </t>
    </r>
    <r>
      <rPr>
        <sz val="9"/>
        <rFont val="Tahoma"/>
        <family val="2"/>
      </rPr>
      <t>(for Insured)</t>
    </r>
  </si>
  <si>
    <t>Hire Purchase Leasing</t>
  </si>
  <si>
    <r>
      <t>SRCC -</t>
    </r>
    <r>
      <rPr>
        <sz val="8"/>
        <rFont val="Tahoma"/>
        <family val="2"/>
      </rPr>
      <t xml:space="preserve"> Strike, Riots &amp; Civil Commotion</t>
    </r>
    <r>
      <rPr>
        <b/>
        <sz val="8"/>
        <rFont val="Tahoma"/>
        <family val="2"/>
      </rPr>
      <t xml:space="preserve"> PAB - </t>
    </r>
    <r>
      <rPr>
        <sz val="8"/>
        <rFont val="Tahoma"/>
        <family val="2"/>
      </rPr>
      <t>Personal Accident Benefit Cover</t>
    </r>
    <r>
      <rPr>
        <b/>
        <sz val="8"/>
        <rFont val="Tahoma"/>
        <family val="2"/>
      </rPr>
      <t xml:space="preserve">    Suwasiri Medical Insurance - </t>
    </r>
    <r>
      <rPr>
        <sz val="8"/>
        <rFont val="Tahoma"/>
        <family val="2"/>
      </rPr>
      <t>for Insured's whose Age between 18 to 55 Years Only</t>
    </r>
  </si>
  <si>
    <r>
      <t>SRCC -</t>
    </r>
    <r>
      <rPr>
        <sz val="8"/>
        <rFont val="Tahoma"/>
        <family val="2"/>
      </rPr>
      <t xml:space="preserve"> Strike, Riots &amp; Civil Commotion</t>
    </r>
    <r>
      <rPr>
        <b/>
        <sz val="8"/>
        <rFont val="Tahoma"/>
        <family val="2"/>
      </rPr>
      <t xml:space="preserve">    PAB - </t>
    </r>
    <r>
      <rPr>
        <sz val="8"/>
        <rFont val="Tahoma"/>
        <family val="2"/>
      </rPr>
      <t>Personal Accident Benefit Cover</t>
    </r>
    <r>
      <rPr>
        <b/>
        <sz val="8"/>
        <rFont val="Tahoma"/>
        <family val="2"/>
      </rPr>
      <t xml:space="preserve">    Suwasiri Medical Insurance - </t>
    </r>
    <r>
      <rPr>
        <sz val="8"/>
        <rFont val="Tahoma"/>
        <family val="2"/>
      </rPr>
      <t>for Insured between Age 18 to 55 Years Only</t>
    </r>
  </si>
  <si>
    <t>Admin 2 (SS)</t>
  </si>
  <si>
    <t>Full Seating Capacity</t>
  </si>
  <si>
    <r>
      <t xml:space="preserve">Suwasiri Medical Insurance </t>
    </r>
    <r>
      <rPr>
        <b/>
        <sz val="9"/>
        <rFont val="Tahoma"/>
        <family val="2"/>
      </rPr>
      <t>(for Insured)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</si>
</sst>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0.0000000%"/>
    <numFmt numFmtId="179" formatCode="0.00000000%"/>
    <numFmt numFmtId="180" formatCode="_(* #,##0_);_(* \(#,##0\);_(* &quot;-&quot;??_);_(@_)"/>
    <numFmt numFmtId="181" formatCode="0.0000"/>
    <numFmt numFmtId="182" formatCode="0.000%"/>
    <numFmt numFmtId="183" formatCode="_-* #,##0.00000_-;\-* #,##0.00000_-;_-* &quot;-&quot;??_-;_-@_-"/>
  </numFmts>
  <fonts count="263"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u/>
      <sz val="10"/>
      <name val="Tahoma"/>
      <family val="2"/>
    </font>
    <font>
      <b/>
      <sz val="20"/>
      <name val="Tahoma"/>
      <family val="2"/>
    </font>
    <font>
      <b/>
      <sz val="18"/>
      <color indexed="8"/>
      <name val="Tahoma"/>
      <family val="2"/>
    </font>
    <font>
      <b/>
      <sz val="11"/>
      <color indexed="8"/>
      <name val="Calibri"/>
      <family val="2"/>
    </font>
    <font>
      <b/>
      <sz val="9"/>
      <color indexed="8"/>
      <name val="Calibri"/>
      <family val="2"/>
    </font>
    <font>
      <sz val="10"/>
      <name val="Arial"/>
      <family val="2"/>
    </font>
    <font>
      <sz val="18"/>
      <name val="Arial"/>
      <family val="2"/>
    </font>
    <font>
      <b/>
      <sz val="14"/>
      <color indexed="9"/>
      <name val="Tahoma"/>
      <family val="2"/>
    </font>
    <font>
      <b/>
      <u/>
      <sz val="11"/>
      <color indexed="9"/>
      <name val="Tahoma"/>
      <family val="2"/>
    </font>
    <font>
      <b/>
      <u/>
      <sz val="14"/>
      <color indexed="9"/>
      <name val="Tahoma"/>
      <family val="2"/>
    </font>
    <font>
      <b/>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rgb="FFFF0000"/>
      <name val="Tahoma"/>
      <family val="2"/>
    </font>
    <font>
      <b/>
      <sz val="11"/>
      <color rgb="FFFF0000"/>
      <name val="Arial"/>
      <family val="2"/>
    </font>
    <font>
      <b/>
      <sz val="10"/>
      <color theme="0"/>
      <name val="Arial"/>
      <family val="2"/>
    </font>
    <font>
      <b/>
      <sz val="10"/>
      <color theme="1"/>
      <name val="Arial"/>
      <family val="2"/>
    </font>
    <font>
      <b/>
      <sz val="9"/>
      <color theme="1"/>
      <name val="Arial"/>
      <family val="2"/>
    </font>
    <font>
      <sz val="11"/>
      <color theme="1"/>
      <name val="Arial"/>
      <family val="2"/>
    </font>
    <font>
      <b/>
      <sz val="11"/>
      <color rgb="FF000000"/>
      <name val="Calibri"/>
      <family val="2"/>
    </font>
    <font>
      <b/>
      <sz val="11"/>
      <color theme="0"/>
      <name val="Calibri"/>
      <family val="2"/>
    </font>
    <font>
      <sz val="11"/>
      <color rgb="FF000000"/>
      <name val="Calibri"/>
      <family val="2"/>
    </font>
    <font>
      <b/>
      <sz val="11"/>
      <color rgb="FF003300"/>
      <name val="Arial"/>
      <family val="2"/>
    </font>
    <font>
      <b/>
      <sz val="14"/>
      <color rgb="FF003300"/>
      <name val="Arial"/>
      <family val="2"/>
    </font>
    <font>
      <sz val="11"/>
      <color theme="1"/>
      <name val="Tahoma"/>
      <family val="2"/>
    </font>
    <font>
      <b/>
      <sz val="11"/>
      <color rgb="FFFF0000"/>
      <name val="Tahoma"/>
      <family val="2"/>
    </font>
    <font>
      <b/>
      <sz val="11"/>
      <color theme="1"/>
      <name val="Tahoma"/>
      <family val="2"/>
    </font>
    <font>
      <b/>
      <sz val="14"/>
      <color rgb="FFFF0000"/>
      <name val="Tahoma"/>
      <family val="2"/>
    </font>
    <font>
      <b/>
      <sz val="8"/>
      <color theme="0"/>
      <name val="Tahoma"/>
      <family val="2"/>
    </font>
    <font>
      <sz val="12"/>
      <color theme="1"/>
      <name val="Tahoma"/>
      <family val="2"/>
    </font>
    <font>
      <sz val="8"/>
      <color theme="0"/>
      <name val="Tahoma"/>
      <family val="2"/>
    </font>
    <font>
      <b/>
      <sz val="9"/>
      <color theme="0"/>
      <name val="Tahoma"/>
      <family val="2"/>
    </font>
    <font>
      <b/>
      <sz val="12"/>
      <color theme="0"/>
      <name val="Copperplate Gothic Light"/>
      <family val="2"/>
    </font>
    <font>
      <sz val="14"/>
      <color theme="1"/>
      <name val="Calibri"/>
      <family val="2"/>
      <scheme val="minor"/>
    </font>
    <font>
      <sz val="14"/>
      <color theme="0"/>
      <name val="Calibri"/>
      <family val="2"/>
      <scheme val="minor"/>
    </font>
    <font>
      <b/>
      <sz val="14"/>
      <color theme="0"/>
      <name val="Calibri"/>
      <family val="2"/>
      <scheme val="minor"/>
    </font>
    <font>
      <b/>
      <sz val="12"/>
      <color theme="0"/>
      <name val="Calibri"/>
      <family val="2"/>
      <scheme val="minor"/>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FF99"/>
        <bgColor indexed="64"/>
      </patternFill>
    </fill>
    <fill>
      <patternFill patternType="solid">
        <fgColor rgb="FF7030A0"/>
        <bgColor indexed="64"/>
      </patternFill>
    </fill>
    <fill>
      <patternFill patternType="solid">
        <fgColor rgb="FFFFC000"/>
        <bgColor indexed="64"/>
      </patternFill>
    </fill>
    <fill>
      <patternFill patternType="solid">
        <fgColor rgb="FF0070C0"/>
        <bgColor indexed="64"/>
      </patternFill>
    </fill>
    <fill>
      <patternFill patternType="solid">
        <fgColor rgb="FF92D050"/>
        <bgColor indexed="64"/>
      </patternFill>
    </fill>
    <fill>
      <patternFill patternType="solid">
        <fgColor rgb="FF002060"/>
        <bgColor indexed="64"/>
      </patternFill>
    </fill>
    <fill>
      <patternFill patternType="solid">
        <fgColor theme="9" tint="-0.499984740745262"/>
        <bgColor indexed="64"/>
      </patternFill>
    </fill>
    <fill>
      <patternFill patternType="solid">
        <fgColor rgb="FFFFCC66"/>
        <bgColor indexed="64"/>
      </patternFill>
    </fill>
    <fill>
      <patternFill patternType="solid">
        <fgColor theme="5" tint="-0.499984740745262"/>
        <bgColor indexed="64"/>
      </patternFill>
    </fill>
  </fills>
  <borders count="192">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ck">
        <color indexed="64"/>
      </left>
      <right/>
      <top/>
      <bottom style="thin">
        <color indexed="64"/>
      </bottom>
      <diagonal/>
    </border>
    <border>
      <left/>
      <right style="double">
        <color rgb="FF003300"/>
      </right>
      <top/>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bottom style="thin">
        <color rgb="FF00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80">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202" fillId="2" borderId="0" xfId="0" applyNumberFormat="1" applyFont="1" applyFill="1" applyBorder="1" applyAlignment="1" applyProtection="1">
      <alignment horizontal="center"/>
      <protection hidden="1"/>
    </xf>
    <xf numFmtId="2" fontId="203" fillId="11" borderId="0" xfId="0" applyNumberFormat="1" applyFont="1" applyFill="1" applyBorder="1" applyAlignment="1" applyProtection="1">
      <alignment horizontal="center"/>
      <protection hidden="1"/>
    </xf>
    <xf numFmtId="0" fontId="203" fillId="11" borderId="0" xfId="0" applyFont="1" applyFill="1" applyProtection="1">
      <protection hidden="1"/>
    </xf>
    <xf numFmtId="0" fontId="204" fillId="11" borderId="0" xfId="0" applyFont="1" applyFill="1" applyProtection="1">
      <protection hidden="1"/>
    </xf>
    <xf numFmtId="1" fontId="205" fillId="11" borderId="0" xfId="0" applyNumberFormat="1" applyFont="1" applyFill="1" applyBorder="1" applyProtection="1">
      <protection hidden="1"/>
    </xf>
    <xf numFmtId="43" fontId="203"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6"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203" fillId="17" borderId="75" xfId="0" applyFont="1" applyFill="1" applyBorder="1" applyAlignment="1" applyProtection="1">
      <alignment horizontal="center"/>
      <protection hidden="1"/>
    </xf>
    <xf numFmtId="4" fontId="204" fillId="17" borderId="92" xfId="0" applyNumberFormat="1" applyFont="1" applyFill="1" applyBorder="1" applyProtection="1">
      <protection hidden="1"/>
    </xf>
    <xf numFmtId="0" fontId="6" fillId="2" borderId="0" xfId="0" applyFont="1" applyFill="1" applyProtection="1">
      <protection hidden="1"/>
    </xf>
    <xf numFmtId="0" fontId="203"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7" fillId="11" borderId="0" xfId="0" applyFont="1" applyFill="1" applyProtection="1">
      <protection hidden="1"/>
    </xf>
    <xf numFmtId="0" fontId="208" fillId="11" borderId="0" xfId="0" applyFont="1" applyFill="1" applyProtection="1">
      <protection hidden="1"/>
    </xf>
    <xf numFmtId="0" fontId="209" fillId="11" borderId="0" xfId="0" applyFont="1" applyFill="1" applyProtection="1">
      <protection hidden="1"/>
    </xf>
    <xf numFmtId="1" fontId="203" fillId="11" borderId="0" xfId="0" applyNumberFormat="1" applyFont="1" applyFill="1" applyProtection="1">
      <protection hidden="1"/>
    </xf>
    <xf numFmtId="3" fontId="203" fillId="11" borderId="0" xfId="0" applyNumberFormat="1" applyFont="1" applyFill="1" applyProtection="1">
      <protection hidden="1"/>
    </xf>
    <xf numFmtId="1" fontId="204"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10" fillId="11" borderId="0" xfId="0" applyFont="1" applyFill="1" applyProtection="1">
      <protection hidden="1"/>
    </xf>
    <xf numFmtId="0" fontId="211" fillId="11" borderId="0" xfId="0" applyFont="1" applyFill="1" applyAlignment="1" applyProtection="1">
      <alignment horizontal="left"/>
      <protection hidden="1"/>
    </xf>
    <xf numFmtId="164" fontId="204" fillId="11" borderId="0" xfId="1" applyFont="1" applyFill="1" applyProtection="1">
      <protection hidden="1"/>
    </xf>
    <xf numFmtId="0" fontId="212"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13" fillId="11" borderId="0" xfId="0" applyNumberFormat="1" applyFont="1" applyFill="1" applyBorder="1" applyAlignment="1" applyProtection="1">
      <alignment horizontal="left"/>
      <protection hidden="1"/>
    </xf>
    <xf numFmtId="175" fontId="203" fillId="11" borderId="0" xfId="0" applyNumberFormat="1" applyFont="1" applyFill="1" applyBorder="1" applyAlignment="1" applyProtection="1">
      <alignment horizontal="left"/>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4"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5"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6"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4"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7" fillId="0" borderId="62" xfId="0" applyFont="1" applyFill="1" applyBorder="1" applyProtection="1">
      <protection hidden="1"/>
    </xf>
    <xf numFmtId="0" fontId="217"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8" fillId="0" borderId="45" xfId="0" applyNumberFormat="1" applyFont="1" applyFill="1" applyBorder="1" applyAlignment="1" applyProtection="1">
      <alignment horizontal="center"/>
      <protection hidden="1"/>
    </xf>
    <xf numFmtId="4" fontId="219" fillId="0" borderId="0" xfId="0" applyNumberFormat="1" applyFont="1" applyFill="1" applyBorder="1" applyProtection="1">
      <protection hidden="1"/>
    </xf>
    <xf numFmtId="164" fontId="220"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203" fillId="17" borderId="0" xfId="0" applyFont="1" applyFill="1" applyProtection="1">
      <protection hidden="1"/>
    </xf>
    <xf numFmtId="0" fontId="203"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21" fillId="11" borderId="0" xfId="0" applyFont="1" applyFill="1" applyAlignment="1" applyProtection="1">
      <alignment horizontal="center" vertical="center"/>
      <protection hidden="1"/>
    </xf>
    <xf numFmtId="0" fontId="222" fillId="0" borderId="0" xfId="0" applyFont="1" applyFill="1" applyBorder="1" applyProtection="1">
      <protection hidden="1"/>
    </xf>
    <xf numFmtId="0" fontId="222"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3" fillId="2" borderId="0" xfId="1" applyFont="1" applyFill="1" applyBorder="1" applyAlignment="1" applyProtection="1">
      <alignment horizontal="left"/>
      <protection hidden="1"/>
    </xf>
    <xf numFmtId="2" fontId="25" fillId="2" borderId="95" xfId="0" applyNumberFormat="1" applyFont="1" applyFill="1" applyBorder="1" applyProtection="1">
      <protection hidden="1"/>
    </xf>
    <xf numFmtId="0" fontId="153" fillId="2" borderId="173"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4"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5" fillId="0" borderId="0" xfId="1" applyNumberFormat="1" applyFont="1" applyFill="1" applyBorder="1" applyAlignment="1" applyProtection="1">
      <alignment horizontal="center"/>
      <protection hidden="1"/>
    </xf>
    <xf numFmtId="4" fontId="217" fillId="0" borderId="0" xfId="0" applyNumberFormat="1" applyFont="1" applyFill="1" applyBorder="1" applyProtection="1">
      <protection hidden="1"/>
    </xf>
    <xf numFmtId="0" fontId="61" fillId="9" borderId="45" xfId="0" applyFont="1" applyFill="1" applyBorder="1" applyProtection="1">
      <protection hidden="1"/>
    </xf>
    <xf numFmtId="164" fontId="226"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61" fillId="16" borderId="62" xfId="0" applyNumberFormat="1" applyFont="1" applyFill="1" applyBorder="1" applyProtection="1">
      <protection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7" fillId="2" borderId="0" xfId="0" applyFont="1" applyFill="1" applyBorder="1" applyAlignment="1" applyProtection="1">
      <alignment horizontal="left"/>
      <protection hidden="1"/>
    </xf>
    <xf numFmtId="0" fontId="228" fillId="2" borderId="6" xfId="0" applyFont="1" applyFill="1" applyBorder="1" applyAlignment="1" applyProtection="1">
      <alignment horizontal="right" vertical="center"/>
      <protection hidden="1"/>
    </xf>
    <xf numFmtId="0" fontId="229" fillId="17" borderId="103" xfId="0" applyFont="1" applyFill="1" applyBorder="1" applyAlignment="1" applyProtection="1">
      <alignment horizontal="center" vertical="center" shrinkToFit="1"/>
      <protection hidden="1"/>
    </xf>
    <xf numFmtId="0" fontId="230"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1" fillId="2" borderId="0" xfId="0" applyFont="1" applyFill="1" applyBorder="1" applyProtection="1">
      <protection hidden="1"/>
    </xf>
    <xf numFmtId="0" fontId="83" fillId="16" borderId="0" xfId="0" applyFont="1" applyFill="1" applyProtection="1">
      <protection hidden="1"/>
    </xf>
    <xf numFmtId="0" fontId="207" fillId="2" borderId="0" xfId="0" applyFont="1" applyFill="1" applyAlignment="1" applyProtection="1">
      <alignment vertical="top"/>
      <protection hidden="1"/>
    </xf>
    <xf numFmtId="0" fontId="231" fillId="2" borderId="0" xfId="0" applyFont="1" applyFill="1" applyAlignment="1" applyProtection="1">
      <alignment vertical="center"/>
      <protection hidden="1"/>
    </xf>
    <xf numFmtId="0" fontId="210" fillId="17" borderId="0" xfId="0" applyFont="1" applyFill="1" applyAlignment="1" applyProtection="1">
      <alignment horizontal="left"/>
      <protection hidden="1"/>
    </xf>
    <xf numFmtId="0" fontId="210" fillId="17" borderId="0" xfId="0" applyFont="1" applyFill="1" applyProtection="1">
      <protection hidden="1"/>
    </xf>
    <xf numFmtId="0" fontId="232" fillId="17" borderId="0" xfId="0" applyFont="1" applyFill="1" applyBorder="1" applyProtection="1">
      <protection hidden="1"/>
    </xf>
    <xf numFmtId="39" fontId="232" fillId="17" borderId="0" xfId="0" applyNumberFormat="1" applyFont="1" applyFill="1" applyBorder="1" applyAlignment="1" applyProtection="1">
      <alignment horizontal="right"/>
      <protection hidden="1"/>
    </xf>
    <xf numFmtId="0" fontId="233" fillId="17" borderId="0" xfId="0" applyFont="1" applyFill="1"/>
    <xf numFmtId="0" fontId="234"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5" fillId="17" borderId="104" xfId="0" applyFont="1" applyFill="1" applyBorder="1" applyAlignment="1" applyProtection="1">
      <alignment horizontal="center" vertical="center"/>
      <protection hidden="1"/>
    </xf>
    <xf numFmtId="4" fontId="217" fillId="16" borderId="62" xfId="0" applyNumberFormat="1" applyFont="1" applyFill="1" applyBorder="1" applyProtection="1">
      <protection hidden="1"/>
    </xf>
    <xf numFmtId="4" fontId="48" fillId="2" borderId="0" xfId="0" applyNumberFormat="1" applyFont="1" applyFill="1" applyBorder="1" applyAlignment="1" applyProtection="1">
      <protection hidden="1"/>
    </xf>
    <xf numFmtId="4" fontId="48" fillId="2" borderId="105" xfId="0" applyNumberFormat="1" applyFont="1" applyFill="1" applyBorder="1" applyAlignment="1" applyProtection="1">
      <protection hidden="1"/>
    </xf>
    <xf numFmtId="0" fontId="236" fillId="19" borderId="7" xfId="0" applyFont="1" applyFill="1" applyBorder="1" applyAlignment="1" applyProtection="1">
      <alignment horizontal="left" vertical="center"/>
      <protection locked="0" hidden="1"/>
    </xf>
    <xf numFmtId="0" fontId="192" fillId="0" borderId="2" xfId="0" applyFont="1" applyBorder="1" applyProtection="1">
      <protection hidden="1"/>
    </xf>
    <xf numFmtId="0" fontId="237" fillId="11" borderId="0" xfId="0" applyFont="1" applyFill="1" applyAlignment="1" applyProtection="1">
      <alignment horizontal="center" vertical="center"/>
      <protection hidden="1"/>
    </xf>
    <xf numFmtId="0" fontId="238" fillId="11" borderId="0" xfId="0" applyFont="1" applyFill="1" applyAlignment="1" applyProtection="1">
      <alignment horizontal="center" vertical="center"/>
      <protection hidden="1"/>
    </xf>
    <xf numFmtId="0" fontId="232"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5"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6" fillId="20"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7"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9" fillId="17" borderId="103" xfId="4" applyFont="1" applyFill="1" applyBorder="1" applyAlignment="1" applyProtection="1">
      <alignment horizontal="center" vertical="center" shrinkToFit="1"/>
      <protection hidden="1"/>
    </xf>
    <xf numFmtId="0" fontId="228"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1"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31" fillId="2" borderId="0" xfId="4" applyFont="1" applyFill="1" applyAlignment="1" applyProtection="1">
      <alignment vertical="center"/>
      <protection hidden="1"/>
    </xf>
    <xf numFmtId="0" fontId="83" fillId="16" borderId="0" xfId="4" applyFont="1" applyFill="1" applyProtection="1">
      <protection hidden="1"/>
    </xf>
    <xf numFmtId="0" fontId="221"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7"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10" fillId="17" borderId="0" xfId="4" applyFont="1" applyFill="1" applyProtection="1">
      <protection hidden="1"/>
    </xf>
    <xf numFmtId="0" fontId="210"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2" fillId="17" borderId="0" xfId="4" applyFont="1" applyFill="1" applyBorder="1" applyProtection="1">
      <protection hidden="1"/>
    </xf>
    <xf numFmtId="39" fontId="232"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2"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3"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10" fillId="17" borderId="0" xfId="4" applyFont="1" applyFill="1" applyAlignment="1" applyProtection="1">
      <alignment horizontal="left"/>
      <protection hidden="1"/>
    </xf>
    <xf numFmtId="0" fontId="233"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0" fontId="224"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0" fontId="235"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30" fillId="2" borderId="0" xfId="4" applyFont="1" applyFill="1" applyBorder="1" applyAlignment="1" applyProtection="1">
      <alignment wrapText="1"/>
      <protection hidden="1"/>
    </xf>
    <xf numFmtId="0" fontId="7" fillId="0" borderId="0" xfId="4" applyFill="1" applyBorder="1" applyProtection="1">
      <protection hidden="1"/>
    </xf>
    <xf numFmtId="0" fontId="53" fillId="2" borderId="0" xfId="4" applyFont="1" applyFill="1" applyBorder="1" applyProtection="1">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4"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73"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13" fillId="11" borderId="0" xfId="4" applyNumberFormat="1" applyFont="1" applyFill="1" applyBorder="1" applyAlignment="1" applyProtection="1">
      <alignment horizontal="left"/>
      <protection hidden="1"/>
    </xf>
    <xf numFmtId="0" fontId="204"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203" fillId="11" borderId="0" xfId="4" applyNumberFormat="1" applyFont="1" applyFill="1" applyBorder="1" applyAlignment="1" applyProtection="1">
      <alignment horizontal="left"/>
      <protection hidden="1"/>
    </xf>
    <xf numFmtId="0" fontId="211"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204"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12"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4"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6"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203" fillId="11" borderId="0" xfId="4" applyNumberFormat="1" applyFont="1" applyFill="1" applyBorder="1" applyAlignment="1" applyProtection="1">
      <alignment horizontal="center"/>
      <protection hidden="1"/>
    </xf>
    <xf numFmtId="0" fontId="203" fillId="11" borderId="0" xfId="4" applyFont="1" applyFill="1" applyProtection="1">
      <protection hidden="1"/>
    </xf>
    <xf numFmtId="0" fontId="203" fillId="17" borderId="0" xfId="4" applyFont="1" applyFill="1" applyProtection="1">
      <protection hidden="1"/>
    </xf>
    <xf numFmtId="0" fontId="204"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203" fillId="11" borderId="0" xfId="4" applyFont="1" applyFill="1" applyBorder="1" applyAlignment="1" applyProtection="1">
      <alignment horizontal="center"/>
      <protection hidden="1"/>
    </xf>
    <xf numFmtId="0" fontId="203"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202"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4"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7"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203"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6"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7" fillId="16" borderId="62" xfId="4" applyNumberFormat="1" applyFont="1" applyFill="1" applyBorder="1" applyProtection="1">
      <protection hidden="1"/>
    </xf>
    <xf numFmtId="164" fontId="220"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7" fillId="0" borderId="62" xfId="4" applyFont="1" applyFill="1" applyBorder="1" applyProtection="1">
      <protection hidden="1"/>
    </xf>
    <xf numFmtId="4" fontId="219" fillId="0" borderId="0" xfId="4" applyNumberFormat="1"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8"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5" fillId="0" borderId="0" xfId="2" applyNumberFormat="1" applyFont="1" applyFill="1" applyBorder="1" applyAlignment="1" applyProtection="1">
      <alignment horizontal="center"/>
      <protection hidden="1"/>
    </xf>
    <xf numFmtId="4" fontId="217" fillId="0" borderId="0" xfId="4" applyNumberFormat="1" applyFont="1" applyFill="1" applyBorder="1" applyProtection="1">
      <protection hidden="1"/>
    </xf>
    <xf numFmtId="164" fontId="223"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164" fontId="226"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5" fillId="11" borderId="0" xfId="4" applyNumberFormat="1" applyFont="1" applyFill="1" applyBorder="1" applyProtection="1">
      <protection hidden="1"/>
    </xf>
    <xf numFmtId="43" fontId="203"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4"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9" fillId="11" borderId="0" xfId="4" applyFont="1" applyFill="1" applyProtection="1">
      <protection hidden="1"/>
    </xf>
    <xf numFmtId="1" fontId="203" fillId="11" borderId="0" xfId="4" applyNumberFormat="1" applyFont="1" applyFill="1" applyProtection="1">
      <protection hidden="1"/>
    </xf>
    <xf numFmtId="0" fontId="7" fillId="3" borderId="0" xfId="4" applyFill="1" applyProtection="1">
      <protection hidden="1"/>
    </xf>
    <xf numFmtId="3" fontId="203"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8" fillId="11" borderId="0" xfId="4" applyFont="1" applyFill="1" applyProtection="1">
      <protection hidden="1"/>
    </xf>
    <xf numFmtId="1" fontId="204"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2" fillId="2" borderId="0" xfId="4" applyFont="1" applyFill="1" applyAlignment="1" applyProtection="1">
      <protection hidden="1"/>
    </xf>
    <xf numFmtId="0" fontId="232" fillId="0" borderId="0" xfId="4" applyFont="1" applyBorder="1"/>
    <xf numFmtId="0" fontId="223" fillId="2" borderId="0" xfId="4" quotePrefix="1" applyFont="1" applyFill="1" applyAlignment="1" applyProtection="1">
      <alignment horizontal="center"/>
      <protection hidden="1"/>
    </xf>
    <xf numFmtId="0" fontId="225" fillId="0" borderId="0" xfId="4" applyFont="1" applyBorder="1"/>
    <xf numFmtId="166" fontId="9" fillId="2" borderId="0" xfId="5" applyNumberFormat="1" applyFont="1" applyFill="1" applyBorder="1" applyProtection="1">
      <protection hidden="1"/>
    </xf>
    <xf numFmtId="10" fontId="7" fillId="2" borderId="0" xfId="5" applyNumberFormat="1" applyFont="1" applyFill="1" applyBorder="1" applyProtection="1">
      <protection hidden="1"/>
    </xf>
    <xf numFmtId="4" fontId="71" fillId="21" borderId="62" xfId="0" applyNumberFormat="1" applyFont="1" applyFill="1" applyBorder="1" applyProtection="1">
      <protection hidden="1"/>
    </xf>
    <xf numFmtId="0" fontId="239" fillId="18" borderId="104" xfId="0" applyFont="1" applyFill="1" applyBorder="1" applyAlignment="1" applyProtection="1">
      <alignment horizontal="left" vertical="center"/>
      <protection hidden="1"/>
    </xf>
    <xf numFmtId="4" fontId="71" fillId="21" borderId="62" xfId="4" applyNumberFormat="1" applyFont="1" applyFill="1" applyBorder="1" applyProtection="1">
      <protection hidden="1"/>
    </xf>
    <xf numFmtId="0" fontId="232" fillId="20" borderId="0" xfId="4" applyFont="1" applyFill="1" applyBorder="1" applyAlignment="1" applyProtection="1">
      <alignment vertical="center"/>
      <protection hidden="1"/>
    </xf>
    <xf numFmtId="4" fontId="232" fillId="16" borderId="98" xfId="4" applyNumberFormat="1" applyFont="1" applyFill="1" applyBorder="1" applyProtection="1">
      <protection hidden="1"/>
    </xf>
    <xf numFmtId="0" fontId="239" fillId="18" borderId="104" xfId="4" applyFont="1" applyFill="1" applyBorder="1" applyAlignment="1" applyProtection="1">
      <alignment horizontal="left" vertical="center"/>
      <protection hidden="1"/>
    </xf>
    <xf numFmtId="10" fontId="55" fillId="2" borderId="0" xfId="4" applyNumberFormat="1" applyFont="1" applyFill="1" applyBorder="1" applyProtection="1">
      <protection hidden="1"/>
    </xf>
    <xf numFmtId="10" fontId="55" fillId="2" borderId="0" xfId="0" applyNumberFormat="1" applyFont="1" applyFill="1" applyBorder="1" applyProtection="1">
      <protection hidden="1"/>
    </xf>
    <xf numFmtId="0" fontId="239" fillId="18" borderId="104" xfId="0" applyFont="1" applyFill="1" applyBorder="1" applyAlignment="1" applyProtection="1">
      <alignment horizontal="left" vertical="center"/>
      <protection locked="0" hidden="1"/>
    </xf>
    <xf numFmtId="0" fontId="240" fillId="11" borderId="0" xfId="0" applyFont="1" applyFill="1" applyAlignment="1" applyProtection="1">
      <alignment horizontal="left" vertical="center"/>
      <protection locked="0" hidden="1"/>
    </xf>
    <xf numFmtId="0" fontId="66" fillId="21" borderId="106" xfId="0" applyFont="1" applyFill="1" applyBorder="1" applyAlignment="1" applyProtection="1">
      <alignment vertical="center" shrinkToFit="1"/>
      <protection locked="0" hidden="1"/>
    </xf>
    <xf numFmtId="166" fontId="60" fillId="2" borderId="0" xfId="5" applyNumberFormat="1" applyFont="1" applyFill="1" applyBorder="1" applyProtection="1">
      <protection hidden="1"/>
    </xf>
    <xf numFmtId="2" fontId="225" fillId="16" borderId="93" xfId="0" applyNumberFormat="1" applyFont="1" applyFill="1" applyBorder="1" applyAlignment="1" applyProtection="1">
      <alignment horizontal="right"/>
      <protection hidden="1"/>
    </xf>
    <xf numFmtId="0" fontId="117" fillId="2" borderId="4" xfId="4" applyFont="1" applyFill="1" applyBorder="1" applyAlignment="1" applyProtection="1">
      <alignment horizontal="center"/>
      <protection hidden="1"/>
    </xf>
    <xf numFmtId="2" fontId="225" fillId="16" borderId="93" xfId="4" applyNumberFormat="1" applyFont="1" applyFill="1" applyBorder="1" applyAlignment="1" applyProtection="1">
      <alignment horizontal="right"/>
      <protection hidden="1"/>
    </xf>
    <xf numFmtId="164" fontId="46" fillId="2" borderId="107" xfId="2" applyFont="1" applyFill="1" applyBorder="1" applyProtection="1">
      <protection hidden="1"/>
    </xf>
    <xf numFmtId="39" fontId="46" fillId="2" borderId="108" xfId="4" applyNumberFormat="1" applyFont="1" applyFill="1" applyBorder="1" applyAlignment="1" applyProtection="1">
      <alignment horizontal="right"/>
      <protection hidden="1"/>
    </xf>
    <xf numFmtId="0" fontId="234" fillId="22" borderId="0" xfId="4" applyFont="1" applyFill="1" applyBorder="1" applyProtection="1">
      <protection hidden="1"/>
    </xf>
    <xf numFmtId="0" fontId="241" fillId="22" borderId="0" xfId="4" applyFont="1" applyFill="1" applyBorder="1" applyAlignment="1" applyProtection="1">
      <alignment horizontal="center"/>
      <protection hidden="1"/>
    </xf>
    <xf numFmtId="0" fontId="210" fillId="22" borderId="0" xfId="4" applyFont="1" applyFill="1" applyBorder="1" applyProtection="1">
      <protection hidden="1"/>
    </xf>
    <xf numFmtId="164" fontId="210" fillId="22" borderId="0" xfId="2" applyFont="1" applyFill="1" applyBorder="1" applyProtection="1">
      <protection hidden="1"/>
    </xf>
    <xf numFmtId="0" fontId="241" fillId="22" borderId="0" xfId="4" applyFont="1" applyFill="1" applyBorder="1" applyProtection="1">
      <protection hidden="1"/>
    </xf>
    <xf numFmtId="4" fontId="46" fillId="21" borderId="45" xfId="4" applyNumberFormat="1" applyFont="1" applyFill="1" applyBorder="1" applyProtection="1">
      <protection hidden="1"/>
    </xf>
    <xf numFmtId="0" fontId="232" fillId="22" borderId="0" xfId="0" applyFont="1" applyFill="1" applyBorder="1" applyAlignment="1" applyProtection="1">
      <protection hidden="1"/>
    </xf>
    <xf numFmtId="164" fontId="232" fillId="22" borderId="5" xfId="2" applyFont="1" applyFill="1" applyBorder="1" applyProtection="1">
      <protection hidden="1"/>
    </xf>
    <xf numFmtId="164" fontId="232" fillId="22" borderId="50" xfId="1" applyFont="1" applyFill="1" applyBorder="1" applyProtection="1">
      <protection hidden="1"/>
    </xf>
    <xf numFmtId="38" fontId="217" fillId="22" borderId="62" xfId="0" applyNumberFormat="1" applyFont="1" applyFill="1" applyBorder="1" applyAlignment="1" applyProtection="1">
      <alignment horizontal="right"/>
      <protection hidden="1"/>
    </xf>
    <xf numFmtId="0" fontId="54" fillId="2" borderId="0" xfId="0" applyFont="1" applyFill="1" applyBorder="1" applyAlignment="1" applyProtection="1">
      <alignment vertical="top"/>
      <protection hidden="1"/>
    </xf>
    <xf numFmtId="0" fontId="10" fillId="23" borderId="109" xfId="0" applyFont="1" applyFill="1" applyBorder="1" applyAlignment="1">
      <alignment horizontal="center" vertical="center" wrapText="1"/>
    </xf>
    <xf numFmtId="0" fontId="242" fillId="23" borderId="109" xfId="0" applyFont="1" applyFill="1" applyBorder="1" applyAlignment="1">
      <alignment horizontal="center" vertical="center" wrapText="1"/>
    </xf>
    <xf numFmtId="0" fontId="243" fillId="23" borderId="109" xfId="0" applyFont="1" applyFill="1" applyBorder="1" applyAlignment="1">
      <alignment horizontal="center" vertical="center" wrapText="1"/>
    </xf>
    <xf numFmtId="0" fontId="242" fillId="23" borderId="110" xfId="0" applyFont="1" applyFill="1" applyBorder="1" applyAlignment="1">
      <alignment horizontal="center" vertical="center" wrapText="1"/>
    </xf>
    <xf numFmtId="0" fontId="2" fillId="23" borderId="111" xfId="0" applyFont="1" applyFill="1" applyBorder="1" applyAlignment="1">
      <alignment horizontal="center" vertical="center" wrapText="1"/>
    </xf>
    <xf numFmtId="0" fontId="2" fillId="23" borderId="112" xfId="0" applyFont="1" applyFill="1" applyBorder="1" applyAlignment="1">
      <alignment horizontal="center" vertical="center" wrapText="1"/>
    </xf>
    <xf numFmtId="3" fontId="214" fillId="16" borderId="113" xfId="0" applyNumberFormat="1" applyFont="1" applyFill="1" applyBorder="1" applyAlignment="1">
      <alignment horizontal="center" vertical="center"/>
    </xf>
    <xf numFmtId="3" fontId="244" fillId="16" borderId="109" xfId="0" applyNumberFormat="1" applyFont="1" applyFill="1" applyBorder="1" applyAlignment="1">
      <alignment vertical="center"/>
    </xf>
    <xf numFmtId="3" fontId="244" fillId="16" borderId="110" xfId="0" applyNumberFormat="1" applyFont="1" applyFill="1" applyBorder="1" applyAlignment="1">
      <alignment vertical="center"/>
    </xf>
    <xf numFmtId="10" fontId="244" fillId="16" borderId="111" xfId="5" applyNumberFormat="1" applyFont="1" applyFill="1" applyBorder="1" applyAlignment="1">
      <alignment vertical="center"/>
    </xf>
    <xf numFmtId="10" fontId="244" fillId="18" borderId="114" xfId="5" applyNumberFormat="1" applyFont="1" applyFill="1" applyBorder="1" applyAlignment="1">
      <alignment vertical="center"/>
    </xf>
    <xf numFmtId="3" fontId="217" fillId="24" borderId="113" xfId="0" applyNumberFormat="1" applyFont="1" applyFill="1" applyBorder="1" applyAlignment="1">
      <alignment horizontal="center" vertical="center"/>
    </xf>
    <xf numFmtId="0" fontId="0" fillId="0" borderId="0" xfId="0" applyAlignment="1">
      <alignment vertical="center"/>
    </xf>
    <xf numFmtId="0" fontId="245" fillId="25" borderId="174" xfId="0" applyFont="1" applyFill="1" applyBorder="1" applyAlignment="1">
      <alignment horizontal="center" vertical="center"/>
    </xf>
    <xf numFmtId="0" fontId="246" fillId="26" borderId="175" xfId="0" applyFont="1" applyFill="1" applyBorder="1" applyAlignment="1">
      <alignment horizontal="center" vertical="center" wrapText="1"/>
    </xf>
    <xf numFmtId="0" fontId="0" fillId="25" borderId="176" xfId="0" applyFill="1" applyBorder="1" applyAlignment="1">
      <alignment horizontal="center" vertical="center" wrapText="1"/>
    </xf>
    <xf numFmtId="4" fontId="247" fillId="0" borderId="177" xfId="0" applyNumberFormat="1" applyFont="1" applyBorder="1" applyAlignment="1">
      <alignment vertical="center"/>
    </xf>
    <xf numFmtId="4" fontId="247" fillId="0" borderId="178" xfId="0" applyNumberFormat="1" applyFont="1" applyBorder="1" applyAlignment="1">
      <alignment vertical="center"/>
    </xf>
    <xf numFmtId="180" fontId="196" fillId="0" borderId="176" xfId="1" applyNumberFormat="1" applyFont="1" applyBorder="1" applyAlignment="1">
      <alignment vertical="center"/>
    </xf>
    <xf numFmtId="10" fontId="196" fillId="0" borderId="176" xfId="5" applyNumberFormat="1" applyFont="1" applyBorder="1" applyAlignment="1">
      <alignment vertical="center"/>
    </xf>
    <xf numFmtId="4" fontId="247" fillId="0" borderId="179" xfId="0" applyNumberFormat="1" applyFont="1" applyBorder="1" applyAlignment="1">
      <alignment vertical="center"/>
    </xf>
    <xf numFmtId="4" fontId="247" fillId="0" borderId="180" xfId="0" applyNumberFormat="1" applyFont="1" applyBorder="1" applyAlignment="1">
      <alignment vertical="center"/>
    </xf>
    <xf numFmtId="10" fontId="12" fillId="2" borderId="0" xfId="5" applyNumberFormat="1" applyFont="1" applyFill="1" applyBorder="1" applyProtection="1">
      <protection hidden="1"/>
    </xf>
    <xf numFmtId="164" fontId="49" fillId="2" borderId="88" xfId="1" applyFont="1" applyFill="1" applyBorder="1" applyProtection="1">
      <protection hidden="1"/>
    </xf>
    <xf numFmtId="0" fontId="201" fillId="27" borderId="0" xfId="0" applyFont="1" applyFill="1" applyAlignment="1">
      <alignment horizontal="center" vertical="center"/>
    </xf>
    <xf numFmtId="0" fontId="245" fillId="25" borderId="174" xfId="0" applyFont="1" applyFill="1" applyBorder="1" applyAlignment="1">
      <alignment vertical="center"/>
    </xf>
    <xf numFmtId="181" fontId="248" fillId="16" borderId="62" xfId="4" applyNumberFormat="1" applyFont="1" applyFill="1" applyBorder="1" applyProtection="1">
      <protection hidden="1"/>
    </xf>
    <xf numFmtId="2" fontId="232" fillId="2" borderId="0" xfId="5" applyNumberFormat="1" applyFont="1" applyFill="1" applyBorder="1" applyProtection="1">
      <protection hidden="1"/>
    </xf>
    <xf numFmtId="183" fontId="249" fillId="16" borderId="62" xfId="1" applyNumberFormat="1" applyFont="1" applyFill="1" applyBorder="1" applyProtection="1">
      <protection hidden="1"/>
    </xf>
    <xf numFmtId="0" fontId="246" fillId="26" borderId="178" xfId="0" applyFont="1" applyFill="1" applyBorder="1" applyAlignment="1">
      <alignment horizontal="center" vertical="center" wrapText="1"/>
    </xf>
    <xf numFmtId="0" fontId="10" fillId="23" borderId="113" xfId="0" applyFont="1" applyFill="1" applyBorder="1" applyAlignment="1">
      <alignment horizontal="center" vertical="center" wrapText="1"/>
    </xf>
    <xf numFmtId="0" fontId="242" fillId="23" borderId="113" xfId="0" applyFont="1" applyFill="1" applyBorder="1" applyAlignment="1">
      <alignment horizontal="center" vertical="center" wrapText="1"/>
    </xf>
    <xf numFmtId="0" fontId="242" fillId="23" borderId="109" xfId="0" applyFont="1" applyFill="1" applyBorder="1" applyAlignment="1">
      <alignment horizontal="center" vertical="center" wrapText="1"/>
    </xf>
    <xf numFmtId="0" fontId="243" fillId="23" borderId="109" xfId="0" applyFont="1" applyFill="1" applyBorder="1" applyAlignment="1">
      <alignment horizontal="center" vertical="center" wrapText="1"/>
    </xf>
    <xf numFmtId="0" fontId="2" fillId="23" borderId="114" xfId="0" applyFont="1" applyFill="1" applyBorder="1" applyAlignment="1">
      <alignment horizontal="center" vertical="center" wrapText="1"/>
    </xf>
    <xf numFmtId="0" fontId="2" fillId="18" borderId="181" xfId="4" applyFont="1" applyFill="1" applyBorder="1" applyAlignment="1" applyProtection="1">
      <alignment horizontal="center" vertical="center"/>
      <protection hidden="1"/>
    </xf>
    <xf numFmtId="0" fontId="2" fillId="18" borderId="182" xfId="4" applyFont="1" applyFill="1" applyBorder="1" applyAlignment="1" applyProtection="1">
      <alignment horizontal="center" vertical="center"/>
      <protection hidden="1"/>
    </xf>
    <xf numFmtId="0" fontId="2" fillId="18" borderId="183" xfId="4" applyFont="1" applyFill="1" applyBorder="1" applyAlignment="1" applyProtection="1">
      <alignment horizontal="center" vertical="center"/>
      <protection hidden="1"/>
    </xf>
    <xf numFmtId="0" fontId="7" fillId="0" borderId="184" xfId="4" applyBorder="1" applyAlignment="1" applyProtection="1">
      <alignment vertical="center"/>
      <protection hidden="1"/>
    </xf>
    <xf numFmtId="182" fontId="7" fillId="0" borderId="109" xfId="4" applyNumberFormat="1" applyBorder="1" applyAlignment="1" applyProtection="1">
      <alignment vertical="center"/>
      <protection hidden="1"/>
    </xf>
    <xf numFmtId="180" fontId="0" fillId="0" borderId="185" xfId="0" applyNumberFormat="1" applyBorder="1"/>
    <xf numFmtId="182" fontId="7" fillId="0" borderId="109" xfId="6" applyNumberFormat="1" applyFont="1" applyBorder="1" applyAlignment="1" applyProtection="1">
      <alignment vertical="center"/>
      <protection hidden="1"/>
    </xf>
    <xf numFmtId="0" fontId="7" fillId="0" borderId="186" xfId="4" applyBorder="1" applyAlignment="1" applyProtection="1">
      <alignment vertical="center"/>
      <protection hidden="1"/>
    </xf>
    <xf numFmtId="0" fontId="7" fillId="0" borderId="0" xfId="4" applyBorder="1" applyAlignment="1" applyProtection="1">
      <alignment vertical="center"/>
      <protection hidden="1"/>
    </xf>
    <xf numFmtId="0" fontId="7" fillId="0" borderId="187" xfId="4" applyBorder="1" applyAlignment="1" applyProtection="1">
      <alignment vertical="center"/>
      <protection hidden="1"/>
    </xf>
    <xf numFmtId="0" fontId="7" fillId="0" borderId="186" xfId="4" applyFill="1" applyBorder="1" applyAlignment="1" applyProtection="1">
      <alignment vertical="center"/>
      <protection hidden="1"/>
    </xf>
    <xf numFmtId="14" fontId="7" fillId="0" borderId="0" xfId="4" applyNumberFormat="1" applyBorder="1" applyAlignment="1" applyProtection="1">
      <alignment horizontal="left" vertical="center"/>
      <protection hidden="1"/>
    </xf>
    <xf numFmtId="0" fontId="7" fillId="0" borderId="187" xfId="4" applyBorder="1" applyProtection="1">
      <protection hidden="1"/>
    </xf>
    <xf numFmtId="0" fontId="0" fillId="0" borderId="188" xfId="0" applyBorder="1"/>
    <xf numFmtId="0" fontId="7" fillId="0" borderId="189" xfId="4" applyBorder="1" applyProtection="1">
      <protection hidden="1"/>
    </xf>
    <xf numFmtId="3" fontId="0" fillId="0" borderId="0" xfId="0" applyNumberFormat="1"/>
    <xf numFmtId="10" fontId="7" fillId="18" borderId="190" xfId="5" applyNumberFormat="1" applyFont="1" applyFill="1" applyBorder="1" applyProtection="1">
      <protection hidden="1"/>
    </xf>
    <xf numFmtId="182" fontId="7" fillId="18" borderId="190" xfId="5" applyNumberFormat="1" applyFont="1" applyFill="1" applyBorder="1" applyProtection="1">
      <protection hidden="1"/>
    </xf>
    <xf numFmtId="0" fontId="47" fillId="23" borderId="0" xfId="0" applyFont="1" applyFill="1" applyBorder="1" applyProtection="1">
      <protection hidden="1"/>
    </xf>
    <xf numFmtId="10" fontId="83" fillId="2" borderId="0" xfId="5" applyNumberFormat="1" applyFont="1" applyFill="1" applyProtection="1">
      <protection hidden="1"/>
    </xf>
    <xf numFmtId="0" fontId="251" fillId="2" borderId="0" xfId="0" applyFont="1" applyFill="1" applyBorder="1" applyProtection="1">
      <protection hidden="1"/>
    </xf>
    <xf numFmtId="0" fontId="250" fillId="16" borderId="0" xfId="0" applyFont="1" applyFill="1" applyProtection="1">
      <protection hidden="1"/>
    </xf>
    <xf numFmtId="43" fontId="71" fillId="2" borderId="0" xfId="0" applyNumberFormat="1" applyFont="1" applyFill="1" applyProtection="1">
      <protection hidden="1"/>
    </xf>
    <xf numFmtId="43" fontId="9" fillId="2" borderId="0" xfId="0" applyNumberFormat="1" applyFont="1" applyFill="1" applyProtection="1">
      <protection hidden="1"/>
    </xf>
    <xf numFmtId="0" fontId="80" fillId="2" borderId="0" xfId="0" applyFont="1" applyFill="1" applyAlignment="1" applyProtection="1">
      <alignment horizontal="center"/>
      <protection hidden="1"/>
    </xf>
    <xf numFmtId="0" fontId="8" fillId="2" borderId="0" xfId="0" applyFont="1" applyFill="1" applyProtection="1">
      <protection hidden="1"/>
    </xf>
    <xf numFmtId="0" fontId="46" fillId="2" borderId="0" xfId="0" applyFont="1" applyFill="1" applyProtection="1">
      <protection hidden="1"/>
    </xf>
    <xf numFmtId="0" fontId="13" fillId="2" borderId="0" xfId="0" applyFont="1" applyFill="1" applyAlignment="1" applyProtection="1">
      <alignment horizontal="center"/>
      <protection hidden="1"/>
    </xf>
    <xf numFmtId="0" fontId="46" fillId="2" borderId="0" xfId="0" applyFont="1" applyFill="1" applyAlignment="1" applyProtection="1">
      <alignment horizontal="right"/>
      <protection hidden="1"/>
    </xf>
    <xf numFmtId="0" fontId="17" fillId="2" borderId="0" xfId="0" applyFont="1" applyFill="1" applyAlignment="1" applyProtection="1">
      <alignment wrapText="1"/>
      <protection hidden="1"/>
    </xf>
    <xf numFmtId="0" fontId="19" fillId="2" borderId="0" xfId="0" applyFont="1" applyFill="1" applyAlignment="1" applyProtection="1">
      <alignment wrapText="1"/>
      <protection hidden="1"/>
    </xf>
    <xf numFmtId="0" fontId="1" fillId="2" borderId="57" xfId="0" applyFont="1" applyFill="1" applyBorder="1" applyProtection="1">
      <protection hidden="1"/>
    </xf>
    <xf numFmtId="0" fontId="1" fillId="2" borderId="0" xfId="0" applyFont="1" applyFill="1" applyProtection="1">
      <protection hidden="1"/>
    </xf>
    <xf numFmtId="165" fontId="214" fillId="16" borderId="93" xfId="1" applyNumberFormat="1" applyFont="1" applyFill="1" applyBorder="1" applyProtection="1">
      <protection hidden="1"/>
    </xf>
    <xf numFmtId="0" fontId="100" fillId="4" borderId="115" xfId="0" applyFont="1" applyFill="1" applyBorder="1" applyAlignment="1" applyProtection="1">
      <alignment horizontal="left"/>
      <protection hidden="1"/>
    </xf>
    <xf numFmtId="0" fontId="100" fillId="4" borderId="116" xfId="0" applyFont="1" applyFill="1" applyBorder="1" applyAlignment="1" applyProtection="1">
      <alignment horizontal="left"/>
      <protection hidden="1"/>
    </xf>
    <xf numFmtId="0" fontId="100" fillId="4" borderId="117" xfId="0" applyFont="1" applyFill="1" applyBorder="1" applyAlignment="1" applyProtection="1">
      <alignment horizontal="left"/>
      <protection hidden="1"/>
    </xf>
    <xf numFmtId="173" fontId="68" fillId="0" borderId="118" xfId="0" applyNumberFormat="1" applyFont="1" applyBorder="1" applyAlignment="1" applyProtection="1">
      <alignment horizontal="left" vertical="top"/>
      <protection hidden="1"/>
    </xf>
    <xf numFmtId="0" fontId="54" fillId="9" borderId="119" xfId="0" applyFont="1" applyFill="1" applyBorder="1" applyAlignment="1" applyProtection="1">
      <alignment horizontal="center"/>
      <protection hidden="1"/>
    </xf>
    <xf numFmtId="0" fontId="54" fillId="9" borderId="120" xfId="0" applyFont="1" applyFill="1" applyBorder="1" applyAlignment="1" applyProtection="1">
      <alignment horizontal="center"/>
      <protection hidden="1"/>
    </xf>
    <xf numFmtId="0" fontId="54" fillId="9" borderId="121"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22"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3"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24"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25" xfId="0" applyFont="1" applyFill="1" applyBorder="1" applyAlignment="1" applyProtection="1">
      <alignment horizontal="left"/>
      <protection hidden="1"/>
    </xf>
    <xf numFmtId="0" fontId="28" fillId="5" borderId="126"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7" xfId="0" applyFont="1" applyFill="1" applyBorder="1" applyAlignment="1" applyProtection="1">
      <alignment horizontal="left"/>
      <protection hidden="1"/>
    </xf>
    <xf numFmtId="0" fontId="28" fillId="5" borderId="128" xfId="0" applyFont="1" applyFill="1" applyBorder="1" applyAlignment="1" applyProtection="1">
      <alignment horizontal="left"/>
      <protection hidden="1"/>
    </xf>
    <xf numFmtId="0" fontId="2" fillId="5" borderId="129" xfId="0" applyFont="1" applyFill="1" applyBorder="1" applyAlignment="1" applyProtection="1">
      <alignment horizontal="center"/>
      <protection hidden="1"/>
    </xf>
    <xf numFmtId="0" fontId="2" fillId="5" borderId="130" xfId="0" applyFont="1" applyFill="1" applyBorder="1" applyAlignment="1" applyProtection="1">
      <alignment horizontal="center"/>
      <protection hidden="1"/>
    </xf>
    <xf numFmtId="0" fontId="2" fillId="5" borderId="131" xfId="0" applyFont="1" applyFill="1" applyBorder="1" applyAlignment="1" applyProtection="1">
      <alignment horizontal="center"/>
      <protection hidden="1"/>
    </xf>
    <xf numFmtId="0" fontId="2" fillId="5" borderId="132" xfId="0" applyFont="1" applyFill="1" applyBorder="1" applyAlignment="1" applyProtection="1">
      <alignment horizontal="center"/>
      <protection hidden="1"/>
    </xf>
    <xf numFmtId="3" fontId="3" fillId="6" borderId="133" xfId="0" applyNumberFormat="1" applyFont="1" applyFill="1" applyBorder="1" applyAlignment="1" applyProtection="1">
      <alignment horizontal="center"/>
      <protection hidden="1"/>
    </xf>
    <xf numFmtId="3" fontId="3" fillId="6" borderId="134" xfId="0" applyNumberFormat="1" applyFont="1" applyFill="1" applyBorder="1" applyAlignment="1" applyProtection="1">
      <alignment horizontal="center"/>
      <protection hidden="1"/>
    </xf>
    <xf numFmtId="3" fontId="3" fillId="6" borderId="135" xfId="0" applyNumberFormat="1" applyFont="1" applyFill="1" applyBorder="1" applyAlignment="1" applyProtection="1">
      <alignment horizontal="center"/>
      <protection hidden="1"/>
    </xf>
    <xf numFmtId="0" fontId="3" fillId="6" borderId="133" xfId="0" applyFont="1" applyFill="1" applyBorder="1" applyAlignment="1" applyProtection="1">
      <alignment horizontal="center"/>
      <protection hidden="1"/>
    </xf>
    <xf numFmtId="0" fontId="3" fillId="6" borderId="135"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2" fontId="38" fillId="6" borderId="133" xfId="0" applyNumberFormat="1" applyFont="1" applyFill="1" applyBorder="1" applyAlignment="1" applyProtection="1">
      <alignment horizontal="center"/>
      <protection hidden="1"/>
    </xf>
    <xf numFmtId="172" fontId="38" fillId="6" borderId="135" xfId="0" applyNumberFormat="1" applyFont="1" applyFill="1" applyBorder="1" applyAlignment="1" applyProtection="1">
      <alignment horizontal="center"/>
      <protection hidden="1"/>
    </xf>
    <xf numFmtId="3" fontId="6" fillId="15" borderId="129" xfId="0" applyNumberFormat="1" applyFont="1" applyFill="1" applyBorder="1" applyAlignment="1" applyProtection="1">
      <alignment horizontal="right"/>
      <protection hidden="1"/>
    </xf>
    <xf numFmtId="3" fontId="6" fillId="15" borderId="131" xfId="0" applyNumberFormat="1" applyFont="1" applyFill="1" applyBorder="1" applyAlignment="1" applyProtection="1">
      <alignment horizontal="right"/>
      <protection hidden="1"/>
    </xf>
    <xf numFmtId="0" fontId="28" fillId="5" borderId="136" xfId="0" applyFont="1" applyFill="1" applyBorder="1" applyAlignment="1" applyProtection="1">
      <alignment horizontal="left"/>
      <protection hidden="1"/>
    </xf>
    <xf numFmtId="0" fontId="28" fillId="5" borderId="137" xfId="0" applyFont="1" applyFill="1" applyBorder="1" applyAlignment="1" applyProtection="1">
      <alignment horizontal="left"/>
      <protection hidden="1"/>
    </xf>
    <xf numFmtId="0" fontId="35" fillId="3" borderId="138" xfId="0" applyFont="1" applyFill="1" applyBorder="1" applyAlignment="1" applyProtection="1">
      <alignment horizontal="left"/>
      <protection hidden="1"/>
    </xf>
    <xf numFmtId="0" fontId="35" fillId="3" borderId="139" xfId="0" applyFont="1" applyFill="1" applyBorder="1" applyAlignment="1" applyProtection="1">
      <alignment horizontal="left"/>
      <protection hidden="1"/>
    </xf>
    <xf numFmtId="0" fontId="50" fillId="5" borderId="140"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22"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9" xfId="0" applyFont="1" applyFill="1" applyBorder="1" applyAlignment="1" applyProtection="1">
      <alignment horizontal="center"/>
      <protection hidden="1"/>
    </xf>
    <xf numFmtId="0" fontId="155" fillId="11" borderId="120" xfId="0" applyFont="1" applyFill="1" applyBorder="1" applyAlignment="1" applyProtection="1">
      <alignment horizontal="center"/>
      <protection hidden="1"/>
    </xf>
    <xf numFmtId="0" fontId="155" fillId="11" borderId="121"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41"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00" fillId="4" borderId="115" xfId="4" applyFont="1" applyFill="1" applyBorder="1" applyAlignment="1" applyProtection="1">
      <alignment horizontal="left"/>
      <protection hidden="1"/>
    </xf>
    <xf numFmtId="0" fontId="100" fillId="4" borderId="116" xfId="4" applyFont="1" applyFill="1" applyBorder="1" applyAlignment="1" applyProtection="1">
      <alignment horizontal="left"/>
      <protection hidden="1"/>
    </xf>
    <xf numFmtId="0" fontId="100" fillId="4" borderId="117" xfId="4" applyFont="1" applyFill="1" applyBorder="1" applyAlignment="1" applyProtection="1">
      <alignment horizontal="left"/>
      <protection hidden="1"/>
    </xf>
    <xf numFmtId="0" fontId="54" fillId="9" borderId="119" xfId="4" applyFont="1" applyFill="1" applyBorder="1" applyAlignment="1" applyProtection="1">
      <alignment horizontal="center"/>
      <protection hidden="1"/>
    </xf>
    <xf numFmtId="0" fontId="54" fillId="9" borderId="120" xfId="4" applyFont="1" applyFill="1" applyBorder="1" applyAlignment="1" applyProtection="1">
      <alignment horizontal="center"/>
      <protection hidden="1"/>
    </xf>
    <xf numFmtId="0" fontId="54" fillId="9" borderId="121" xfId="4" applyFont="1" applyFill="1" applyBorder="1" applyAlignment="1" applyProtection="1">
      <alignment horizontal="center"/>
      <protection hidden="1"/>
    </xf>
    <xf numFmtId="173" fontId="68" fillId="0" borderId="118"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183" fillId="2" borderId="0" xfId="4" applyFont="1" applyFill="1" applyAlignment="1" applyProtection="1">
      <alignment horizontal="left" vertical="top" wrapText="1"/>
      <protection hidden="1"/>
    </xf>
    <xf numFmtId="3" fontId="3" fillId="6" borderId="133" xfId="4" applyNumberFormat="1" applyFont="1" applyFill="1" applyBorder="1" applyAlignment="1" applyProtection="1">
      <alignment horizontal="center"/>
      <protection hidden="1"/>
    </xf>
    <xf numFmtId="3" fontId="3" fillId="6" borderId="134" xfId="4" applyNumberFormat="1" applyFont="1" applyFill="1" applyBorder="1" applyAlignment="1" applyProtection="1">
      <alignment horizontal="center"/>
      <protection hidden="1"/>
    </xf>
    <xf numFmtId="3" fontId="3" fillId="6" borderId="135" xfId="4" applyNumberFormat="1" applyFont="1" applyFill="1" applyBorder="1" applyAlignment="1" applyProtection="1">
      <alignment horizontal="center"/>
      <protection hidden="1"/>
    </xf>
    <xf numFmtId="0" fontId="51" fillId="9" borderId="122"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3"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24" xfId="4" applyFont="1" applyFill="1" applyBorder="1" applyAlignment="1" applyProtection="1">
      <alignment horizontal="center" vertical="center" wrapText="1"/>
      <protection hidden="1"/>
    </xf>
    <xf numFmtId="172" fontId="38" fillId="6" borderId="133" xfId="4" applyNumberFormat="1" applyFont="1" applyFill="1" applyBorder="1" applyAlignment="1" applyProtection="1">
      <alignment horizontal="center"/>
      <protection hidden="1"/>
    </xf>
    <xf numFmtId="172" fontId="38" fillId="6" borderId="135"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9" xfId="4" applyNumberFormat="1" applyFont="1" applyFill="1" applyBorder="1" applyAlignment="1" applyProtection="1">
      <alignment horizontal="right"/>
      <protection hidden="1"/>
    </xf>
    <xf numFmtId="3" fontId="6" fillId="15" borderId="131"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3" fillId="6" borderId="133" xfId="4" applyFont="1" applyFill="1" applyBorder="1" applyAlignment="1" applyProtection="1">
      <alignment horizontal="center"/>
      <protection hidden="1"/>
    </xf>
    <xf numFmtId="0" fontId="3" fillId="6" borderId="135"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8" xfId="4" applyFont="1" applyFill="1" applyBorder="1" applyAlignment="1" applyProtection="1">
      <alignment horizontal="left"/>
      <protection hidden="1"/>
    </xf>
    <xf numFmtId="0" fontId="35" fillId="3" borderId="139" xfId="4" applyFont="1" applyFill="1" applyBorder="1" applyAlignment="1" applyProtection="1">
      <alignment horizontal="left"/>
      <protection hidden="1"/>
    </xf>
    <xf numFmtId="0" fontId="2" fillId="5" borderId="129" xfId="4" applyFont="1" applyFill="1" applyBorder="1" applyAlignment="1" applyProtection="1">
      <alignment horizontal="center"/>
      <protection hidden="1"/>
    </xf>
    <xf numFmtId="0" fontId="2" fillId="5" borderId="130" xfId="4" applyFont="1" applyFill="1" applyBorder="1" applyAlignment="1" applyProtection="1">
      <alignment horizontal="center"/>
      <protection hidden="1"/>
    </xf>
    <xf numFmtId="0" fontId="2" fillId="5" borderId="131" xfId="4" applyFont="1" applyFill="1" applyBorder="1" applyAlignment="1" applyProtection="1">
      <alignment horizontal="center"/>
      <protection hidden="1"/>
    </xf>
    <xf numFmtId="0" fontId="11" fillId="5" borderId="136" xfId="4" applyFont="1" applyFill="1" applyBorder="1" applyAlignment="1" applyProtection="1">
      <alignment horizontal="left"/>
      <protection hidden="1"/>
    </xf>
    <xf numFmtId="0" fontId="11" fillId="5" borderId="137" xfId="4" applyFont="1" applyFill="1" applyBorder="1" applyAlignment="1" applyProtection="1">
      <alignment horizontal="left"/>
      <protection hidden="1"/>
    </xf>
    <xf numFmtId="0" fontId="11" fillId="5" borderId="125" xfId="4" applyFont="1" applyFill="1" applyBorder="1" applyAlignment="1" applyProtection="1">
      <alignment horizontal="left"/>
      <protection hidden="1"/>
    </xf>
    <xf numFmtId="0" fontId="11" fillId="5" borderId="126" xfId="4" applyFont="1" applyFill="1" applyBorder="1" applyAlignment="1" applyProtection="1">
      <alignment horizontal="left"/>
      <protection hidden="1"/>
    </xf>
    <xf numFmtId="0" fontId="11" fillId="5" borderId="127" xfId="4" applyFont="1" applyFill="1" applyBorder="1" applyAlignment="1" applyProtection="1">
      <alignment horizontal="left"/>
      <protection hidden="1"/>
    </xf>
    <xf numFmtId="0" fontId="11" fillId="5" borderId="128" xfId="4" applyFont="1" applyFill="1" applyBorder="1" applyAlignment="1" applyProtection="1">
      <alignment horizontal="left"/>
      <protection hidden="1"/>
    </xf>
    <xf numFmtId="0" fontId="2" fillId="5" borderId="132" xfId="4" applyFont="1" applyFill="1" applyBorder="1" applyAlignment="1" applyProtection="1">
      <alignment horizontal="center"/>
      <protection hidden="1"/>
    </xf>
    <xf numFmtId="0" fontId="50" fillId="5" borderId="140"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41" xfId="4" applyFont="1" applyFill="1" applyBorder="1" applyAlignment="1" applyProtection="1">
      <alignment horizontal="center" vertical="top"/>
      <protection hidden="1"/>
    </xf>
    <xf numFmtId="0" fontId="124" fillId="11" borderId="122"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9" xfId="4" applyFont="1" applyFill="1" applyBorder="1" applyAlignment="1" applyProtection="1">
      <alignment horizontal="center"/>
      <protection hidden="1"/>
    </xf>
    <xf numFmtId="0" fontId="155" fillId="11" borderId="120" xfId="4" applyFont="1" applyFill="1" applyBorder="1" applyAlignment="1" applyProtection="1">
      <alignment horizontal="center"/>
      <protection hidden="1"/>
    </xf>
    <xf numFmtId="0" fontId="155" fillId="11" borderId="121"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41" xfId="4" applyFont="1" applyFill="1" applyBorder="1" applyAlignment="1" applyProtection="1">
      <alignment horizontal="left" vertical="top" wrapText="1"/>
      <protection hidden="1"/>
    </xf>
    <xf numFmtId="0" fontId="124" fillId="15" borderId="142" xfId="3" applyFont="1" applyFill="1" applyBorder="1" applyAlignment="1" applyProtection="1">
      <alignment horizontal="center" vertical="center"/>
      <protection hidden="1"/>
    </xf>
    <xf numFmtId="0" fontId="124" fillId="15" borderId="143"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4" fillId="11" borderId="0" xfId="4" applyNumberFormat="1" applyFont="1" applyFill="1" applyAlignment="1" applyProtection="1">
      <alignment horizontal="left"/>
      <protection hidden="1"/>
    </xf>
    <xf numFmtId="178" fontId="252" fillId="16" borderId="59" xfId="5" applyNumberFormat="1" applyFont="1" applyFill="1" applyBorder="1" applyAlignment="1" applyProtection="1">
      <alignment horizontal="left"/>
      <protection hidden="1"/>
    </xf>
    <xf numFmtId="178" fontId="252" fillId="16" borderId="0" xfId="5" applyNumberFormat="1"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3" fillId="2" borderId="0" xfId="2" applyFont="1" applyFill="1" applyBorder="1" applyAlignment="1" applyProtection="1">
      <alignment horizontal="left"/>
      <protection hidden="1"/>
    </xf>
    <xf numFmtId="0" fontId="6" fillId="16" borderId="0" xfId="0" applyFont="1" applyFill="1" applyAlignment="1" applyProtection="1">
      <alignment horizontal="center" vertical="center"/>
      <protection hidden="1"/>
    </xf>
    <xf numFmtId="38" fontId="61" fillId="28" borderId="144" xfId="4" applyNumberFormat="1" applyFont="1" applyFill="1" applyBorder="1" applyAlignment="1" applyProtection="1">
      <alignment horizontal="center"/>
      <protection hidden="1"/>
    </xf>
    <xf numFmtId="38" fontId="61" fillId="28" borderId="145" xfId="4" applyNumberFormat="1" applyFont="1" applyFill="1" applyBorder="1" applyAlignment="1" applyProtection="1">
      <alignment horizontal="center"/>
      <protection hidden="1"/>
    </xf>
    <xf numFmtId="38" fontId="61" fillId="28" borderId="146"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7" xfId="4" applyFont="1" applyFill="1" applyBorder="1" applyAlignment="1" applyProtection="1">
      <alignment horizontal="center" vertical="center" wrapText="1"/>
      <protection hidden="1"/>
    </xf>
    <xf numFmtId="0" fontId="124" fillId="15" borderId="148" xfId="4" applyFont="1" applyFill="1" applyBorder="1" applyAlignment="1" applyProtection="1">
      <alignment horizontal="center" vertical="center" wrapText="1"/>
      <protection hidden="1"/>
    </xf>
    <xf numFmtId="0" fontId="124" fillId="15" borderId="149"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0" xfId="2" applyFont="1" applyFill="1" applyBorder="1" applyAlignment="1" applyProtection="1">
      <alignment horizontal="center"/>
      <protection hidden="1"/>
    </xf>
    <xf numFmtId="164" fontId="114" fillId="16" borderId="151" xfId="2" applyFont="1" applyFill="1" applyBorder="1" applyAlignment="1" applyProtection="1">
      <alignment horizontal="center"/>
      <protection hidden="1"/>
    </xf>
    <xf numFmtId="0" fontId="224" fillId="2" borderId="152" xfId="4" applyFont="1" applyFill="1" applyBorder="1" applyAlignment="1" applyProtection="1">
      <alignment horizontal="left" vertical="center"/>
      <protection hidden="1"/>
    </xf>
    <xf numFmtId="0" fontId="224" fillId="2" borderId="0" xfId="4" applyFont="1" applyFill="1" applyBorder="1" applyAlignment="1" applyProtection="1">
      <alignment horizontal="left" vertical="center"/>
      <protection hidden="1"/>
    </xf>
    <xf numFmtId="0" fontId="180" fillId="2" borderId="152" xfId="4" applyFont="1" applyFill="1" applyBorder="1" applyAlignment="1" applyProtection="1">
      <alignment horizontal="left" vertical="center"/>
      <protection hidden="1"/>
    </xf>
    <xf numFmtId="0" fontId="180" fillId="2" borderId="153"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2"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8" fillId="9" borderId="146" xfId="4" applyFont="1" applyFill="1" applyBorder="1" applyAlignment="1" applyProtection="1">
      <alignment horizontal="left"/>
      <protection hidden="1"/>
    </xf>
    <xf numFmtId="0" fontId="76" fillId="2" borderId="158" xfId="4" applyFont="1" applyFill="1" applyBorder="1" applyAlignment="1" applyProtection="1">
      <alignment horizontal="left"/>
      <protection hidden="1"/>
    </xf>
    <xf numFmtId="0" fontId="76" fillId="2" borderId="159" xfId="4" applyFont="1" applyFill="1" applyBorder="1" applyAlignment="1" applyProtection="1">
      <alignment horizontal="left"/>
      <protection hidden="1"/>
    </xf>
    <xf numFmtId="0" fontId="169" fillId="9" borderId="160" xfId="4" applyFont="1" applyFill="1" applyBorder="1" applyAlignment="1" applyProtection="1">
      <alignment horizontal="left"/>
      <protection hidden="1"/>
    </xf>
    <xf numFmtId="0" fontId="169" fillId="9" borderId="161" xfId="4" applyFont="1" applyFill="1" applyBorder="1" applyAlignment="1" applyProtection="1">
      <alignment horizontal="left"/>
      <protection hidden="1"/>
    </xf>
    <xf numFmtId="0" fontId="169" fillId="9" borderId="158" xfId="4" applyFont="1" applyFill="1" applyBorder="1" applyAlignment="1" applyProtection="1">
      <alignment horizontal="left"/>
      <protection hidden="1"/>
    </xf>
    <xf numFmtId="0" fontId="169" fillId="9" borderId="162"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44" xfId="4" applyFont="1" applyFill="1" applyBorder="1" applyAlignment="1" applyProtection="1">
      <alignment horizontal="left"/>
      <protection hidden="1"/>
    </xf>
    <xf numFmtId="0" fontId="45" fillId="16" borderId="146" xfId="4" applyFont="1" applyFill="1" applyBorder="1" applyAlignment="1" applyProtection="1">
      <alignment horizontal="left"/>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88" fillId="16" borderId="146" xfId="4" applyFont="1" applyFill="1" applyBorder="1" applyAlignment="1" applyProtection="1">
      <alignment horizontal="center" vertical="center"/>
      <protection hidden="1"/>
    </xf>
    <xf numFmtId="0" fontId="45" fillId="9" borderId="154" xfId="4" applyFont="1" applyFill="1" applyBorder="1" applyAlignment="1" applyProtection="1">
      <alignment horizontal="left"/>
      <protection hidden="1"/>
    </xf>
    <xf numFmtId="0" fontId="45" fillId="9" borderId="155" xfId="4" applyFont="1" applyFill="1" applyBorder="1" applyAlignment="1" applyProtection="1">
      <alignment horizontal="left"/>
      <protection hidden="1"/>
    </xf>
    <xf numFmtId="0" fontId="253" fillId="16" borderId="156" xfId="4" applyFont="1" applyFill="1" applyBorder="1" applyAlignment="1" applyProtection="1">
      <alignment horizontal="right"/>
      <protection hidden="1"/>
    </xf>
    <xf numFmtId="0" fontId="253" fillId="16" borderId="157" xfId="4" applyFont="1" applyFill="1" applyBorder="1" applyAlignment="1" applyProtection="1">
      <alignment horizontal="right"/>
      <protection hidden="1"/>
    </xf>
    <xf numFmtId="0" fontId="47" fillId="2" borderId="0" xfId="4" applyFont="1" applyFill="1" applyBorder="1" applyAlignment="1" applyProtection="1">
      <alignment horizontal="left" vertical="center"/>
      <protection hidden="1"/>
    </xf>
    <xf numFmtId="0" fontId="47" fillId="9" borderId="144" xfId="4" applyFont="1" applyFill="1" applyBorder="1" applyAlignment="1" applyProtection="1">
      <alignment horizontal="left"/>
      <protection hidden="1"/>
    </xf>
    <xf numFmtId="0" fontId="47" fillId="9" borderId="146" xfId="4" applyFont="1" applyFill="1" applyBorder="1" applyAlignment="1" applyProtection="1">
      <alignment horizontal="left"/>
      <protection hidden="1"/>
    </xf>
    <xf numFmtId="2" fontId="140" fillId="16" borderId="158" xfId="4" applyNumberFormat="1" applyFont="1" applyFill="1" applyBorder="1" applyAlignment="1" applyProtection="1">
      <alignment horizontal="left"/>
      <protection hidden="1"/>
    </xf>
    <xf numFmtId="0" fontId="140" fillId="16" borderId="163" xfId="4" applyFont="1" applyFill="1" applyBorder="1" applyAlignment="1" applyProtection="1">
      <alignment horizontal="left"/>
      <protection hidden="1"/>
    </xf>
    <xf numFmtId="0" fontId="146" fillId="3" borderId="164" xfId="4" applyFont="1" applyFill="1" applyBorder="1" applyAlignment="1" applyProtection="1">
      <alignment horizontal="center"/>
      <protection hidden="1"/>
    </xf>
    <xf numFmtId="0" fontId="146" fillId="3" borderId="165" xfId="4" applyFont="1" applyFill="1" applyBorder="1" applyAlignment="1" applyProtection="1">
      <alignment horizontal="center"/>
      <protection hidden="1"/>
    </xf>
    <xf numFmtId="0" fontId="72" fillId="2" borderId="144" xfId="4" applyFont="1" applyFill="1" applyBorder="1" applyAlignment="1" applyProtection="1">
      <alignment horizontal="left"/>
      <protection hidden="1"/>
    </xf>
    <xf numFmtId="0" fontId="72" fillId="2" borderId="146"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6" xfId="4" applyFont="1" applyFill="1" applyBorder="1" applyAlignment="1" applyProtection="1">
      <alignment horizontal="left"/>
      <protection hidden="1"/>
    </xf>
    <xf numFmtId="0" fontId="55" fillId="9" borderId="144" xfId="4" applyFont="1" applyFill="1" applyBorder="1" applyAlignment="1" applyProtection="1">
      <alignment horizontal="left" vertical="center"/>
      <protection hidden="1"/>
    </xf>
    <xf numFmtId="0" fontId="55" fillId="9" borderId="163" xfId="4" applyFont="1" applyFill="1" applyBorder="1" applyAlignment="1" applyProtection="1">
      <alignment horizontal="left" vertical="center"/>
      <protection hidden="1"/>
    </xf>
    <xf numFmtId="0" fontId="254"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225"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69" fillId="2" borderId="6" xfId="0" applyFont="1" applyFill="1" applyBorder="1" applyAlignment="1" applyProtection="1">
      <alignment horizontal="left" wrapText="1"/>
      <protection hidden="1"/>
    </xf>
    <xf numFmtId="0" fontId="71" fillId="21" borderId="170" xfId="4" applyFont="1" applyFill="1" applyBorder="1" applyAlignment="1" applyProtection="1">
      <alignment horizontal="left" vertical="center"/>
      <protection locked="0" hidden="1"/>
    </xf>
    <xf numFmtId="0" fontId="71" fillId="21" borderId="171" xfId="4" applyFont="1" applyFill="1" applyBorder="1" applyAlignment="1" applyProtection="1">
      <alignment horizontal="left" vertical="center"/>
      <protection locked="0" hidden="1"/>
    </xf>
    <xf numFmtId="0" fontId="66" fillId="21" borderId="170" xfId="4" applyFont="1" applyFill="1" applyBorder="1" applyAlignment="1" applyProtection="1">
      <alignment horizontal="left" vertical="center" shrinkToFit="1"/>
      <protection locked="0" hidden="1"/>
    </xf>
    <xf numFmtId="0" fontId="66" fillId="21" borderId="171" xfId="4" applyFont="1" applyFill="1" applyBorder="1" applyAlignment="1" applyProtection="1">
      <alignment horizontal="left" vertical="center" shrinkToFit="1"/>
      <protection locked="0" hidden="1"/>
    </xf>
    <xf numFmtId="0" fontId="66" fillId="21" borderId="106" xfId="4" applyFont="1" applyFill="1" applyBorder="1" applyAlignment="1" applyProtection="1">
      <alignment horizontal="left" vertical="center" shrinkToFit="1"/>
      <protection locked="0" hidden="1"/>
    </xf>
    <xf numFmtId="0" fontId="71" fillId="2" borderId="0" xfId="4" applyFont="1" applyFill="1" applyBorder="1" applyAlignment="1" applyProtection="1">
      <alignment horizontal="left"/>
      <protection hidden="1"/>
    </xf>
    <xf numFmtId="0" fontId="255" fillId="18" borderId="110" xfId="4" applyFont="1" applyFill="1" applyBorder="1" applyAlignment="1" applyProtection="1">
      <alignment horizontal="left" vertical="center" shrinkToFit="1"/>
      <protection hidden="1"/>
    </xf>
    <xf numFmtId="0" fontId="255" fillId="18" borderId="126" xfId="4" applyFont="1" applyFill="1" applyBorder="1" applyAlignment="1" applyProtection="1">
      <alignment horizontal="left" vertical="center" shrinkToFit="1"/>
      <protection hidden="1"/>
    </xf>
    <xf numFmtId="0" fontId="255" fillId="18" borderId="113" xfId="4" applyFont="1" applyFill="1" applyBorder="1" applyAlignment="1" applyProtection="1">
      <alignment horizontal="left" vertical="center" shrinkToFit="1"/>
      <protection hidden="1"/>
    </xf>
    <xf numFmtId="0" fontId="71" fillId="21" borderId="106" xfId="4" applyFont="1" applyFill="1" applyBorder="1" applyAlignment="1" applyProtection="1">
      <alignment horizontal="left" vertical="center"/>
      <protection locked="0" hidden="1"/>
    </xf>
    <xf numFmtId="3" fontId="193" fillId="18" borderId="166" xfId="4" applyNumberFormat="1" applyFont="1" applyFill="1" applyBorder="1" applyAlignment="1" applyProtection="1">
      <alignment horizontal="right" vertical="center"/>
      <protection locked="0" hidden="1"/>
    </xf>
    <xf numFmtId="3" fontId="193" fillId="18" borderId="167" xfId="4" applyNumberFormat="1" applyFont="1" applyFill="1" applyBorder="1" applyAlignment="1" applyProtection="1">
      <alignment horizontal="right" vertical="center"/>
      <protection locked="0" hidden="1"/>
    </xf>
    <xf numFmtId="3" fontId="193" fillId="18" borderId="168" xfId="4" applyNumberFormat="1" applyFont="1" applyFill="1" applyBorder="1" applyAlignment="1" applyProtection="1">
      <alignment horizontal="right" vertical="center"/>
      <protection locked="0" hidden="1"/>
    </xf>
    <xf numFmtId="3" fontId="193" fillId="18" borderId="169"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7" fillId="2" borderId="0" xfId="4" applyFont="1" applyFill="1" applyAlignment="1" applyProtection="1">
      <alignment horizontal="justify" vertical="top" wrapText="1"/>
      <protection hidden="1"/>
    </xf>
    <xf numFmtId="0" fontId="228" fillId="2" borderId="0" xfId="4" applyFont="1" applyFill="1" applyBorder="1" applyAlignment="1" applyProtection="1">
      <alignment horizontal="left" vertical="center" wrapText="1"/>
      <protection hidden="1"/>
    </xf>
    <xf numFmtId="0" fontId="228" fillId="2" borderId="5" xfId="4" applyFont="1" applyFill="1" applyBorder="1" applyAlignment="1" applyProtection="1">
      <alignment horizontal="left" vertical="center" wrapText="1"/>
      <protection hidden="1"/>
    </xf>
    <xf numFmtId="0" fontId="7" fillId="2" borderId="0" xfId="4" applyFill="1" applyBorder="1" applyAlignment="1" applyProtection="1">
      <alignment horizontal="left"/>
      <protection hidden="1"/>
    </xf>
    <xf numFmtId="0" fontId="256" fillId="0" borderId="2" xfId="4" applyFont="1" applyBorder="1" applyAlignment="1" applyProtection="1">
      <alignment horizontal="right" vertical="top"/>
      <protection hidden="1"/>
    </xf>
    <xf numFmtId="0" fontId="256"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71" fillId="21"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251" fillId="2" borderId="0" xfId="0" applyFont="1" applyFill="1" applyBorder="1" applyAlignment="1" applyProtection="1">
      <alignment horizontal="left" vertical="center" wrapText="1"/>
      <protection hidden="1"/>
    </xf>
    <xf numFmtId="0" fontId="251" fillId="2" borderId="5" xfId="0" applyFont="1" applyFill="1" applyBorder="1" applyAlignment="1" applyProtection="1">
      <alignment horizontal="left" vertical="center" wrapText="1"/>
      <protection hidden="1"/>
    </xf>
    <xf numFmtId="0" fontId="250" fillId="21" borderId="110" xfId="0" applyFont="1" applyFill="1" applyBorder="1" applyAlignment="1" applyProtection="1">
      <alignment horizontal="left" vertical="center" shrinkToFit="1"/>
      <protection hidden="1"/>
    </xf>
    <xf numFmtId="0" fontId="250" fillId="21" borderId="126" xfId="0" applyFont="1" applyFill="1" applyBorder="1" applyAlignment="1" applyProtection="1">
      <alignment horizontal="left" vertical="center" shrinkToFit="1"/>
      <protection hidden="1"/>
    </xf>
    <xf numFmtId="0" fontId="250" fillId="21" borderId="113" xfId="0" applyFont="1" applyFill="1" applyBorder="1" applyAlignment="1" applyProtection="1">
      <alignment horizontal="left" vertical="center" shrinkToFit="1"/>
      <protection hidden="1"/>
    </xf>
    <xf numFmtId="3" fontId="193" fillId="18" borderId="166" xfId="0" applyNumberFormat="1" applyFont="1" applyFill="1" applyBorder="1" applyAlignment="1" applyProtection="1">
      <alignment horizontal="right" vertical="center"/>
      <protection locked="0" hidden="1"/>
    </xf>
    <xf numFmtId="3" fontId="193" fillId="18" borderId="167" xfId="0" applyNumberFormat="1" applyFont="1" applyFill="1" applyBorder="1" applyAlignment="1" applyProtection="1">
      <alignment horizontal="right" vertical="center"/>
      <protection locked="0" hidden="1"/>
    </xf>
    <xf numFmtId="3" fontId="193" fillId="18" borderId="168" xfId="0" applyNumberFormat="1" applyFont="1" applyFill="1" applyBorder="1" applyAlignment="1" applyProtection="1">
      <alignment horizontal="right" vertical="center"/>
      <protection locked="0" hidden="1"/>
    </xf>
    <xf numFmtId="3" fontId="193" fillId="18" borderId="169" xfId="0" applyNumberFormat="1" applyFont="1" applyFill="1" applyBorder="1" applyAlignment="1" applyProtection="1">
      <alignment horizontal="right" vertical="center"/>
      <protection locked="0" hidden="1"/>
    </xf>
    <xf numFmtId="0" fontId="207"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258" fillId="24" borderId="170" xfId="0" applyFont="1" applyFill="1" applyBorder="1" applyAlignment="1" applyProtection="1">
      <alignment horizontal="left" vertical="center" shrinkToFit="1"/>
      <protection locked="0" hidden="1"/>
    </xf>
    <xf numFmtId="0" fontId="258" fillId="24" borderId="106"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256" fillId="0" borderId="2" xfId="0" applyFont="1" applyBorder="1" applyAlignment="1" applyProtection="1">
      <alignment horizontal="right" vertical="top"/>
      <protection hidden="1"/>
    </xf>
    <xf numFmtId="0" fontId="256"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21" borderId="170" xfId="0" applyFont="1" applyFill="1" applyBorder="1" applyAlignment="1" applyProtection="1">
      <alignment horizontal="left" vertical="center" shrinkToFit="1"/>
      <protection locked="0" hidden="1"/>
    </xf>
    <xf numFmtId="0" fontId="66" fillId="21" borderId="171" xfId="0" applyFont="1" applyFill="1" applyBorder="1" applyAlignment="1" applyProtection="1">
      <alignment horizontal="left" vertical="center" shrinkToFit="1"/>
      <protection locked="0" hidden="1"/>
    </xf>
    <xf numFmtId="0" fontId="66" fillId="21"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9" fontId="257" fillId="2" borderId="0" xfId="5"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224" fillId="2" borderId="0" xfId="0" applyFont="1" applyFill="1" applyBorder="1" applyAlignment="1" applyProtection="1">
      <alignment horizontal="left" vertical="center" wrapText="1"/>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21" borderId="170" xfId="0" applyFont="1" applyFill="1" applyBorder="1" applyAlignment="1" applyProtection="1">
      <alignment horizontal="left" vertical="center"/>
      <protection locked="0" hidden="1"/>
    </xf>
    <xf numFmtId="0" fontId="71" fillId="21" borderId="106" xfId="0" applyFont="1" applyFill="1" applyBorder="1" applyAlignment="1" applyProtection="1">
      <alignment horizontal="left" vertical="center"/>
      <protection locked="0"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3" fontId="204"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3"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41"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7"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179" fontId="252" fillId="16" borderId="59" xfId="5" applyNumberFormat="1" applyFont="1" applyFill="1" applyBorder="1" applyAlignment="1" applyProtection="1">
      <alignment horizontal="left"/>
      <protection hidden="1"/>
    </xf>
    <xf numFmtId="179" fontId="252" fillId="16" borderId="0" xfId="5" applyNumberFormat="1"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52"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38" fontId="217" fillId="22" borderId="144" xfId="0" applyNumberFormat="1" applyFont="1" applyFill="1" applyBorder="1" applyAlignment="1" applyProtection="1">
      <alignment horizontal="center"/>
      <protection hidden="1"/>
    </xf>
    <xf numFmtId="38" fontId="217" fillId="22" borderId="145" xfId="0" applyNumberFormat="1" applyFont="1" applyFill="1" applyBorder="1" applyAlignment="1" applyProtection="1">
      <alignment horizontal="center"/>
      <protection hidden="1"/>
    </xf>
    <xf numFmtId="38" fontId="217" fillId="22" borderId="146" xfId="0" applyNumberFormat="1" applyFont="1" applyFill="1" applyBorder="1" applyAlignment="1" applyProtection="1">
      <alignment horizontal="center"/>
      <protection hidden="1"/>
    </xf>
    <xf numFmtId="0" fontId="169" fillId="9" borderId="158" xfId="0" applyFont="1" applyFill="1" applyBorder="1" applyAlignment="1" applyProtection="1">
      <alignment horizontal="left"/>
      <protection hidden="1"/>
    </xf>
    <xf numFmtId="0" fontId="169" fillId="9" borderId="162" xfId="0" applyFont="1" applyFill="1" applyBorder="1" applyAlignment="1" applyProtection="1">
      <alignment horizontal="left"/>
      <protection hidden="1"/>
    </xf>
    <xf numFmtId="164" fontId="114" fillId="16" borderId="150" xfId="1" applyFont="1" applyFill="1" applyBorder="1" applyAlignment="1" applyProtection="1">
      <alignment horizontal="center"/>
      <protection hidden="1"/>
    </xf>
    <xf numFmtId="164" fontId="114" fillId="16" borderId="151" xfId="1" applyFont="1" applyFill="1" applyBorder="1" applyAlignment="1" applyProtection="1">
      <alignment horizontal="center"/>
      <protection hidden="1"/>
    </xf>
    <xf numFmtId="0" fontId="47" fillId="9" borderId="144" xfId="0" applyFont="1" applyFill="1" applyBorder="1" applyAlignment="1" applyProtection="1">
      <alignment horizontal="left"/>
      <protection hidden="1"/>
    </xf>
    <xf numFmtId="0" fontId="47" fillId="9" borderId="146" xfId="0" applyFont="1" applyFill="1" applyBorder="1" applyAlignment="1" applyProtection="1">
      <alignment horizontal="left"/>
      <protection hidden="1"/>
    </xf>
    <xf numFmtId="0" fontId="224" fillId="2" borderId="152" xfId="0" applyFont="1" applyFill="1" applyBorder="1" applyAlignment="1" applyProtection="1">
      <alignment horizontal="left" vertical="center"/>
      <protection hidden="1"/>
    </xf>
    <xf numFmtId="0" fontId="224"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2" xfId="0" applyFont="1" applyFill="1" applyBorder="1" applyAlignment="1" applyProtection="1">
      <alignment horizontal="left" vertical="center"/>
      <protection hidden="1"/>
    </xf>
    <xf numFmtId="0" fontId="180" fillId="2" borderId="153"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53" fillId="16" borderId="156" xfId="0" applyFont="1" applyFill="1" applyBorder="1" applyAlignment="1" applyProtection="1">
      <alignment horizontal="right"/>
      <protection hidden="1"/>
    </xf>
    <xf numFmtId="0" fontId="253" fillId="16" borderId="157" xfId="0" applyFont="1" applyFill="1" applyBorder="1" applyAlignment="1" applyProtection="1">
      <alignment horizontal="righ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64" xfId="0" applyFont="1" applyFill="1" applyBorder="1" applyAlignment="1" applyProtection="1">
      <alignment horizontal="center"/>
      <protection hidden="1"/>
    </xf>
    <xf numFmtId="0" fontId="146" fillId="3" borderId="165" xfId="0" applyFont="1" applyFill="1" applyBorder="1" applyAlignment="1" applyProtection="1">
      <alignment horizont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88" fillId="16" borderId="146"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8" xfId="0" applyNumberFormat="1" applyFont="1" applyFill="1" applyBorder="1" applyAlignment="1" applyProtection="1">
      <alignment horizontal="left"/>
      <protection hidden="1"/>
    </xf>
    <xf numFmtId="0" fontId="140" fillId="16" borderId="163" xfId="0" applyFont="1" applyFill="1" applyBorder="1" applyAlignment="1" applyProtection="1">
      <alignment horizontal="left"/>
      <protection hidden="1"/>
    </xf>
    <xf numFmtId="0" fontId="72" fillId="2" borderId="144" xfId="0" applyFont="1" applyFill="1" applyBorder="1" applyAlignment="1" applyProtection="1">
      <alignment horizontal="left"/>
      <protection hidden="1"/>
    </xf>
    <xf numFmtId="0" fontId="72" fillId="2" borderId="146"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0" xfId="0" applyFont="1" applyFill="1" applyBorder="1" applyAlignment="1" applyProtection="1">
      <alignment horizontal="left"/>
      <protection hidden="1"/>
    </xf>
    <xf numFmtId="0" fontId="169" fillId="9" borderId="161"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4" xfId="0" applyFont="1" applyFill="1" applyBorder="1" applyAlignment="1" applyProtection="1">
      <alignment horizontal="left" vertical="center"/>
      <protection hidden="1"/>
    </xf>
    <xf numFmtId="0" fontId="55" fillId="9" borderId="163" xfId="0" applyFont="1" applyFill="1" applyBorder="1" applyAlignment="1" applyProtection="1">
      <alignment horizontal="left" vertical="center"/>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55" fillId="9" borderId="146"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8" fillId="9" borderId="146" xfId="0" applyFont="1" applyFill="1" applyBorder="1" applyAlignment="1" applyProtection="1">
      <alignment horizontal="left"/>
      <protection hidden="1"/>
    </xf>
    <xf numFmtId="0" fontId="76" fillId="2" borderId="158" xfId="0" applyFont="1" applyFill="1" applyBorder="1" applyAlignment="1" applyProtection="1">
      <alignment horizontal="left"/>
      <protection hidden="1"/>
    </xf>
    <xf numFmtId="0" fontId="76" fillId="2" borderId="159" xfId="0" applyFont="1" applyFill="1" applyBorder="1" applyAlignment="1" applyProtection="1">
      <alignment horizontal="left"/>
      <protection hidden="1"/>
    </xf>
    <xf numFmtId="0" fontId="45" fillId="16" borderId="144" xfId="0" applyFont="1" applyFill="1" applyBorder="1" applyAlignment="1" applyProtection="1">
      <alignment horizontal="left"/>
      <protection hidden="1"/>
    </xf>
    <xf numFmtId="0" fontId="45" fillId="16" borderId="146"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54" xfId="0" applyFont="1" applyFill="1" applyBorder="1" applyAlignment="1" applyProtection="1">
      <alignment horizontal="left"/>
      <protection hidden="1"/>
    </xf>
    <xf numFmtId="0" fontId="45" fillId="9" borderId="155" xfId="0" applyFont="1" applyFill="1" applyBorder="1" applyAlignment="1" applyProtection="1">
      <alignment horizontal="left"/>
      <protection hidden="1"/>
    </xf>
    <xf numFmtId="0" fontId="197" fillId="25" borderId="189" xfId="0" applyFont="1" applyFill="1" applyBorder="1" applyAlignment="1">
      <alignment horizontal="center"/>
    </xf>
    <xf numFmtId="0" fontId="259" fillId="18" borderId="191" xfId="0" applyFont="1" applyFill="1" applyBorder="1" applyAlignment="1">
      <alignment horizontal="center" vertical="center"/>
    </xf>
    <xf numFmtId="0" fontId="201" fillId="27" borderId="0" xfId="0" applyFont="1" applyFill="1" applyAlignment="1">
      <alignment horizontal="center" vertical="center"/>
    </xf>
    <xf numFmtId="0" fontId="260" fillId="29" borderId="6" xfId="0" applyFont="1" applyFill="1" applyBorder="1" applyAlignment="1">
      <alignment horizontal="center" vertical="center"/>
    </xf>
    <xf numFmtId="0" fontId="260" fillId="29" borderId="124" xfId="0" applyFont="1" applyFill="1" applyBorder="1" applyAlignment="1">
      <alignment horizontal="center" vertical="center"/>
    </xf>
    <xf numFmtId="0" fontId="261" fillId="29" borderId="172" xfId="0" applyFont="1" applyFill="1" applyBorder="1" applyAlignment="1">
      <alignment horizontal="center" vertical="center"/>
    </xf>
    <xf numFmtId="0" fontId="261" fillId="29" borderId="124" xfId="0" applyFont="1" applyFill="1" applyBorder="1" applyAlignment="1">
      <alignment horizontal="center" vertical="center"/>
    </xf>
    <xf numFmtId="0" fontId="262" fillId="27" borderId="0" xfId="0" applyFont="1" applyFill="1" applyAlignment="1">
      <alignment horizontal="center" vertical="center"/>
    </xf>
    <xf numFmtId="0" fontId="261" fillId="29" borderId="6" xfId="0" applyFont="1" applyFill="1" applyBorder="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71">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auto="1"/>
      </font>
    </dxf>
    <dxf>
      <font>
        <b/>
        <i val="0"/>
        <condense val="0"/>
        <extend val="0"/>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condense val="0"/>
        <extend val="0"/>
        <color auto="1"/>
      </font>
      <fill>
        <patternFill patternType="gray125"/>
      </fill>
    </dxf>
    <dxf>
      <font>
        <b/>
        <i val="0"/>
        <condense val="0"/>
        <extend val="0"/>
      </font>
    </dxf>
    <dxf>
      <font>
        <b/>
        <i val="0"/>
        <condense val="0"/>
        <extend val="0"/>
      </font>
    </dxf>
    <dxf>
      <font>
        <condense val="0"/>
        <extend val="0"/>
        <color indexed="8"/>
      </font>
      <fill>
        <patternFill patternType="gray125"/>
      </fill>
    </dxf>
    <dxf>
      <font>
        <color rgb="FFFF0000"/>
      </font>
      <fill>
        <patternFill>
          <bgColor rgb="FFFFFF00"/>
        </patternFill>
      </fill>
    </dxf>
    <dxf>
      <font>
        <b/>
        <i val="0"/>
        <condense val="0"/>
        <extend val="0"/>
      </font>
    </dxf>
    <dxf>
      <font>
        <condense val="0"/>
        <extend val="0"/>
        <color auto="1"/>
      </font>
    </dxf>
    <dxf>
      <font>
        <condense val="0"/>
        <extend val="0"/>
        <color indexed="9"/>
      </font>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fill>
        <patternFill patternType="gray125"/>
      </fill>
    </dxf>
    <dxf>
      <font>
        <condense val="0"/>
        <extend val="0"/>
        <color auto="1"/>
      </font>
      <fill>
        <patternFill patternType="gray125"/>
      </fill>
    </dxf>
    <dxf>
      <font>
        <b/>
        <i val="0"/>
        <condense val="0"/>
        <extend val="0"/>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indexed="9"/>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color auto="1"/>
      </font>
    </dxf>
    <dxf>
      <font>
        <b/>
        <i val="0"/>
        <condense val="0"/>
        <extend val="0"/>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auto="1"/>
      </font>
    </dxf>
    <dxf>
      <font>
        <condense val="0"/>
        <extend val="0"/>
        <color auto="1"/>
      </font>
    </dxf>
    <dxf>
      <font>
        <b/>
        <i val="0"/>
        <condense val="0"/>
        <extend val="0"/>
        <color indexed="14"/>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3" name="Rectangle 18">
          <a:extLst>
            <a:ext uri="{FF2B5EF4-FFF2-40B4-BE49-F238E27FC236}">
              <a16:creationId xmlns:a16="http://schemas.microsoft.com/office/drawing/2014/main" id="{1978CD06-7597-44A1-8BF3-B6EAE75D92E1}"/>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97227880-59F0-4796-8962-C9195C464503}"/>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FAAAC7AB-F87C-4FD5-97EA-7F6BCC6B4BC9}"/>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410D5C2B-D577-454B-A9CF-B4A9D959E090}"/>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1407" name="AutoShape 4">
          <a:extLst>
            <a:ext uri="{FF2B5EF4-FFF2-40B4-BE49-F238E27FC236}">
              <a16:creationId xmlns:a16="http://schemas.microsoft.com/office/drawing/2014/main" id="{B898A655-BC83-4A0B-AD4B-DC9632F2EEA0}"/>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BAB0BB8C-D0EC-4A52-818C-B01E5C550222}"/>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5227BFF8-2DC1-4D88-9C0A-5FB5B5BC6C06}"/>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F81B1E25-6151-4E05-A594-CA85AEB01FC0}"/>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D7F5756D-6503-421B-8156-15B5319A700B}"/>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49742383-3CC5-41A1-9153-AFBFBF5A002B}"/>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5A340375-7933-46A8-AC50-C088CF2572B3}"/>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254BD079-CC59-404D-9F10-CF6293C3B61A}"/>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774EF9AC-45E6-4A5E-8C4F-DBB56BBDEA67}"/>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A6354EB5-D791-45DD-B4F9-045569D6B4B0}"/>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775FA966-D548-4D57-ADDB-61FC9480FE08}"/>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1F1C15AC-84B0-43D3-AD40-B5335D621757}"/>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E3B15044-B6EC-490F-B388-9C9CBDFB7A7C}"/>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E144884E-E406-470F-AB24-60126D316B1A}"/>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72377517-32C6-4606-A6B3-245A20940FEF}"/>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CFC10FAC-D6D4-4104-B762-2021AA457CCA}"/>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F21C9758-05EE-49C6-B6E6-D380820A513C}"/>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869A53C2-CDA2-47F9-B1E9-359CD85ACE3E}"/>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D2158AE3-4747-4961-8863-881E685DE0B9}"/>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DA79867A-5463-4CAF-B75A-880691197706}"/>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9003C961-DDD4-4A46-85DD-E63779ADEAEA}"/>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78EB0962-4F2C-4ED1-AD5B-D854A1FC7848}"/>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3B9610C6-77CF-43E5-A7AB-CC81CFF4A8E5}"/>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AD3B8B44-E9A4-41F7-955F-2238D78CA63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3A0B2182-7ED0-404C-A8C2-D5EF271F9C1C}"/>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F9BB5FCB-21FB-4B56-A1F1-235EA31CE48D}"/>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F06A9381-60E0-474D-8158-6DA80D155E60}"/>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CF79E3E2-F110-48D8-8027-DD716664544F}"/>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BD4A6997-2BBD-4595-8FC0-A8C9F60B1916}"/>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DE44A115-F41F-469F-8DC9-2D5CF571E6EA}"/>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6BB1EB9C-81A0-4D5C-8DE8-11C45E4C0851}"/>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1438" name="AutoShape 66">
          <a:extLst>
            <a:ext uri="{FF2B5EF4-FFF2-40B4-BE49-F238E27FC236}">
              <a16:creationId xmlns:a16="http://schemas.microsoft.com/office/drawing/2014/main" id="{C212F051-B908-4F9F-B6B5-96EFA9A6CF0B}"/>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1439" name="AutoShape 67">
          <a:extLst>
            <a:ext uri="{FF2B5EF4-FFF2-40B4-BE49-F238E27FC236}">
              <a16:creationId xmlns:a16="http://schemas.microsoft.com/office/drawing/2014/main" id="{D91C1EF2-D4F8-4729-83B6-1CBDF8BC6402}"/>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DFFC05C1-0294-4D30-A42E-C22F15F5429C}"/>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4AA1C52C-49B9-41FB-99B7-4F84A9DA27B7}"/>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2C31C69E-7A93-4BC3-831E-9AA00E320DAA}"/>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A8B3A4B1-1044-4CCC-9621-D5ED73B80126}"/>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B76E0E77-88A9-406E-9838-5FE3711DD813}"/>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0A7372B3-4166-4556-9A5E-5C6782957CC5}"/>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A474F99F-1BDD-422B-8713-FF456BA79C6B}"/>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87544C95-E0C9-4A09-A2C7-8D08E386D1CC}"/>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796B7CBB-444D-4E89-9E60-D66EF47C5299}"/>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2347263C-881D-40FF-8B1B-B63DB7E5E435}"/>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B3E26A9E-4AAA-4CB5-9D27-719EB64A9FD4}"/>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6A8AE476-B022-4837-BF13-CC9ACC386C8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B72BAB30-23AE-49E2-9218-CAA7187BFE2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D0DC67DD-D731-4CDD-B7CF-26A458D9690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5F0464CC-57CF-4EC2-B82B-28EA1783783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87EB13BB-36F5-43CE-9EE3-5CBF48DF6EC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327" name="Rectangle 18">
          <a:extLst>
            <a:ext uri="{FF2B5EF4-FFF2-40B4-BE49-F238E27FC236}">
              <a16:creationId xmlns:a16="http://schemas.microsoft.com/office/drawing/2014/main" id="{A029292F-74D3-4C90-89C1-6046FBA94068}"/>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6DBBD782-3007-4077-AE88-583E71C29D94}"/>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3972122F-CFEA-4F4D-9FC8-974F46D75857}"/>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F99477C8-4167-43D4-8CC4-C4D92DE4C9F3}"/>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2431" name="AutoShape 4">
          <a:extLst>
            <a:ext uri="{FF2B5EF4-FFF2-40B4-BE49-F238E27FC236}">
              <a16:creationId xmlns:a16="http://schemas.microsoft.com/office/drawing/2014/main" id="{41783698-3B1E-4237-8583-6E33BD633C89}"/>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1D45341F-EF23-495D-90EF-4AFAF56B363E}"/>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5B064531-8EDB-4E44-9A37-FF7AF2B653C7}"/>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C9E957F0-2165-4088-AC94-DA4FD1A206FF}"/>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971971BA-8D2D-42F9-907C-19AF54FEF682}"/>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5FD39367-C0C7-4A55-A696-7D14F3D8BDEA}"/>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B9AF7823-2215-4BE5-B95A-69255B049F31}"/>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A97595D2-49A3-4E67-8826-6CD13FFB5C7A}"/>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55E99C8D-190B-45BD-98FE-BE7D871AD724}"/>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EECE134D-C09A-424C-AAA7-C26D78A77E6F}"/>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75A8F947-73DD-465F-8E36-DBBFFDCEFEA4}"/>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D4A13DE7-2AD3-42E7-99BC-1DE0B6C6E7AA}"/>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DC2A12F7-4313-48EA-96C1-8E52DDE23697}"/>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C8025597-C7D7-47CF-9311-A723FFFA6A56}"/>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E8E11917-AE8B-4CAF-BB8B-D8926D89D6BB}"/>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AF843987-14A1-4D56-B6AD-EF73C7F9E55A}"/>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E72A31B0-0B63-40B7-A862-67CC611D60EA}"/>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9842CAB0-D23D-4A26-AC61-31B0CF63EC06}"/>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0DBC63E0-E2DE-468D-B3EB-24F411D0523C}"/>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8026F7B8-300B-494A-A2BD-723E45458D4B}"/>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232E4F9A-0D45-47D0-84A1-D9BD87051592}"/>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FD2A5F10-9A75-4E1A-AFFD-D8C99A5ED2CE}"/>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11B965A1-0B62-44C7-90D3-293A8DFCBACE}"/>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9FD553F0-CF1C-4024-B478-F899DA491187}"/>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7F80869F-8BAD-4042-8D5C-DABC6167A6F8}"/>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02EFBFC3-BC36-44E7-8F7E-1A844188F954}"/>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95652B20-0A92-4AC0-868F-841526C28B7A}"/>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6D04C171-2D5C-49F8-8BE5-F383DD94A633}"/>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A7127EE9-BE5E-4986-B0A1-00A9F87260DB}"/>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8475D6D5-66D2-4218-83E6-43928A1C2B3C}"/>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E30ABADE-B1BD-48A6-B96B-770DD21C0FE2}"/>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2462" name="AutoShape 66">
          <a:extLst>
            <a:ext uri="{FF2B5EF4-FFF2-40B4-BE49-F238E27FC236}">
              <a16:creationId xmlns:a16="http://schemas.microsoft.com/office/drawing/2014/main" id="{0D90DDA3-0D1E-4A75-9A86-CCD6F177A3EB}"/>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2463" name="AutoShape 67">
          <a:extLst>
            <a:ext uri="{FF2B5EF4-FFF2-40B4-BE49-F238E27FC236}">
              <a16:creationId xmlns:a16="http://schemas.microsoft.com/office/drawing/2014/main" id="{CA60A86F-532F-481D-AABD-C69029CD00F0}"/>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6BAAC3FA-066B-4675-AB14-E7797D82FBA0}"/>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A28981D9-C00F-4C27-A851-11878296945B}"/>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82E4F903-4FDA-48CA-ABF5-030DFBC9F367}"/>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8D6A2648-0D23-4CB6-9A02-3C3211597811}"/>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F4C16978-E28F-400D-A309-AAA2E9BE635D}"/>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4E861656-34EA-4098-9EC4-55FB1E728210}"/>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4C96DB14-685F-4D6A-A055-271D3CE05530}"/>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75A74022-BE3F-47FF-B096-6CAB4EC7AA91}"/>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23032DB3-9B02-47EF-9E1E-79698A11BF3E}"/>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88CF7212-97A6-4612-A3E6-B011CCA56D25}"/>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DA12DFCB-C736-4EB3-B3D9-85D9CFBFB094}"/>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4AF7CCDF-42EB-4CC6-9D19-B991E67DEAA2}"/>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CD6CCDF9-53BD-4D64-B73C-F5821E62EF09}"/>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0EE7EA50-A9A0-4ED4-8647-6AD5AC7A1315}"/>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4A9113B7-17C0-4F35-9000-913041C991D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B3ED836C-BABE-4F6F-9CCE-061F775F7223}"/>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6371A42A-5831-4430-8B42-140C9D40E862}"/>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8828036A-E51A-456C-BF18-3ED6E81A8B70}"/>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731513</xdr:colOff>
      <xdr:row>0</xdr:row>
      <xdr:rowOff>482600</xdr:rowOff>
    </xdr:to>
    <xdr:sp macro="" textlink="">
      <xdr:nvSpPr>
        <xdr:cNvPr id="4" name="Text Box 65">
          <a:extLst>
            <a:ext uri="{FF2B5EF4-FFF2-40B4-BE49-F238E27FC236}">
              <a16:creationId xmlns:a16="http://schemas.microsoft.com/office/drawing/2014/main" id="{7D93DA25-9D60-4DF8-87E4-1168EB100C13}"/>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70</xdr:row>
      <xdr:rowOff>38100</xdr:rowOff>
    </xdr:from>
    <xdr:to>
      <xdr:col>5</xdr:col>
      <xdr:colOff>831885</xdr:colOff>
      <xdr:row>72</xdr:row>
      <xdr:rowOff>33629</xdr:rowOff>
    </xdr:to>
    <xdr:sp macro="" textlink="">
      <xdr:nvSpPr>
        <xdr:cNvPr id="5" name="Text Box 66">
          <a:extLst>
            <a:ext uri="{FF2B5EF4-FFF2-40B4-BE49-F238E27FC236}">
              <a16:creationId xmlns:a16="http://schemas.microsoft.com/office/drawing/2014/main" id="{39824CD0-F510-47BB-A319-4040A021783E}"/>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164220</xdr:colOff>
      <xdr:row>48</xdr:row>
      <xdr:rowOff>190220</xdr:rowOff>
    </xdr:to>
    <xdr:sp macro="" textlink="">
      <xdr:nvSpPr>
        <xdr:cNvPr id="6" name="Text Box 375">
          <a:extLst>
            <a:ext uri="{FF2B5EF4-FFF2-40B4-BE49-F238E27FC236}">
              <a16:creationId xmlns:a16="http://schemas.microsoft.com/office/drawing/2014/main" id="{60FC2EEE-AA2A-4BCE-B316-D237689C8E2A}"/>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342108</xdr:colOff>
      <xdr:row>20</xdr:row>
      <xdr:rowOff>2473</xdr:rowOff>
    </xdr:to>
    <xdr:sp macro="" textlink="">
      <xdr:nvSpPr>
        <xdr:cNvPr id="7" name="Text Box 463">
          <a:extLst>
            <a:ext uri="{FF2B5EF4-FFF2-40B4-BE49-F238E27FC236}">
              <a16:creationId xmlns:a16="http://schemas.microsoft.com/office/drawing/2014/main" id="{74AFB2BF-5BAB-49A4-81D0-38F27FE46522}"/>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70</xdr:row>
      <xdr:rowOff>49530</xdr:rowOff>
    </xdr:from>
    <xdr:to>
      <xdr:col>12</xdr:col>
      <xdr:colOff>696983</xdr:colOff>
      <xdr:row>72</xdr:row>
      <xdr:rowOff>110138</xdr:rowOff>
    </xdr:to>
    <xdr:sp macro="" textlink="">
      <xdr:nvSpPr>
        <xdr:cNvPr id="8" name="Text Box 469" descr="Large grid">
          <a:extLst>
            <a:ext uri="{FF2B5EF4-FFF2-40B4-BE49-F238E27FC236}">
              <a16:creationId xmlns:a16="http://schemas.microsoft.com/office/drawing/2014/main" id="{A4294750-E271-4C2E-98E3-AE55F7C90D08}"/>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67</xdr:row>
      <xdr:rowOff>116205</xdr:rowOff>
    </xdr:from>
    <xdr:to>
      <xdr:col>5</xdr:col>
      <xdr:colOff>2301663</xdr:colOff>
      <xdr:row>70</xdr:row>
      <xdr:rowOff>95234</xdr:rowOff>
    </xdr:to>
    <xdr:sp macro="" textlink="">
      <xdr:nvSpPr>
        <xdr:cNvPr id="9" name="Text Box 522">
          <a:extLst>
            <a:ext uri="{FF2B5EF4-FFF2-40B4-BE49-F238E27FC236}">
              <a16:creationId xmlns:a16="http://schemas.microsoft.com/office/drawing/2014/main" id="{90C73BEE-5AEE-4D63-800E-50CD863957AD}"/>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153670</xdr:colOff>
      <xdr:row>0</xdr:row>
      <xdr:rowOff>76200</xdr:rowOff>
    </xdr:from>
    <xdr:to>
      <xdr:col>14</xdr:col>
      <xdr:colOff>547278</xdr:colOff>
      <xdr:row>0</xdr:row>
      <xdr:rowOff>295275</xdr:rowOff>
    </xdr:to>
    <xdr:sp macro="" textlink="">
      <xdr:nvSpPr>
        <xdr:cNvPr id="10" name="Text Box 612">
          <a:extLst>
            <a:ext uri="{FF2B5EF4-FFF2-40B4-BE49-F238E27FC236}">
              <a16:creationId xmlns:a16="http://schemas.microsoft.com/office/drawing/2014/main" id="{329D2FB9-A61A-4192-86DC-D9D1EA3BFAB4}"/>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341262</xdr:colOff>
      <xdr:row>23</xdr:row>
      <xdr:rowOff>2731</xdr:rowOff>
    </xdr:to>
    <xdr:sp macro="" textlink="">
      <xdr:nvSpPr>
        <xdr:cNvPr id="11" name="Text Box 357">
          <a:extLst>
            <a:ext uri="{FF2B5EF4-FFF2-40B4-BE49-F238E27FC236}">
              <a16:creationId xmlns:a16="http://schemas.microsoft.com/office/drawing/2014/main" id="{FA2063B1-A56D-41CB-9CAF-72CC0B411999}"/>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190376</xdr:rowOff>
    </xdr:to>
    <xdr:sp macro="" textlink="">
      <xdr:nvSpPr>
        <xdr:cNvPr id="12" name="Text Box 1045">
          <a:extLst>
            <a:ext uri="{FF2B5EF4-FFF2-40B4-BE49-F238E27FC236}">
              <a16:creationId xmlns:a16="http://schemas.microsoft.com/office/drawing/2014/main" id="{EB8BEF3F-230C-4116-8593-784F4B152942}"/>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457200</xdr:colOff>
      <xdr:row>27</xdr:row>
      <xdr:rowOff>76200</xdr:rowOff>
    </xdr:from>
    <xdr:to>
      <xdr:col>17</xdr:col>
      <xdr:colOff>1663700</xdr:colOff>
      <xdr:row>31</xdr:row>
      <xdr:rowOff>38100</xdr:rowOff>
    </xdr:to>
    <xdr:pic>
      <xdr:nvPicPr>
        <xdr:cNvPr id="136917" name="Picture 86" descr="C:\Users\mumtaz\Downloads\95282942-flat-vector-exotic-cartoon-three-wheeler-tuk-tuk-rickshaw-side-view-of-transport-vehicle-.jpg">
          <a:extLst>
            <a:ext uri="{FF2B5EF4-FFF2-40B4-BE49-F238E27FC236}">
              <a16:creationId xmlns:a16="http://schemas.microsoft.com/office/drawing/2014/main" id="{31AC6A8B-04F6-4965-96AA-D52FBDF15B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3405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55</xdr:row>
      <xdr:rowOff>130966</xdr:rowOff>
    </xdr:from>
    <xdr:to>
      <xdr:col>19</xdr:col>
      <xdr:colOff>42972</xdr:colOff>
      <xdr:row>56</xdr:row>
      <xdr:rowOff>105975</xdr:rowOff>
    </xdr:to>
    <xdr:sp macro="" textlink="">
      <xdr:nvSpPr>
        <xdr:cNvPr id="5" name="Text Box 1">
          <a:extLst>
            <a:ext uri="{FF2B5EF4-FFF2-40B4-BE49-F238E27FC236}">
              <a16:creationId xmlns:a16="http://schemas.microsoft.com/office/drawing/2014/main" id="{1875B639-506F-409D-A686-6E1E454FBEE1}"/>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2</xdr:col>
      <xdr:colOff>0</xdr:colOff>
      <xdr:row>0</xdr:row>
      <xdr:rowOff>561975</xdr:rowOff>
    </xdr:from>
    <xdr:to>
      <xdr:col>7</xdr:col>
      <xdr:colOff>62480</xdr:colOff>
      <xdr:row>1</xdr:row>
      <xdr:rowOff>254014</xdr:rowOff>
    </xdr:to>
    <xdr:sp macro="" textlink="">
      <xdr:nvSpPr>
        <xdr:cNvPr id="6" name="WordArt 111">
          <a:extLst>
            <a:ext uri="{FF2B5EF4-FFF2-40B4-BE49-F238E27FC236}">
              <a16:creationId xmlns:a16="http://schemas.microsoft.com/office/drawing/2014/main" id="{577BEFDE-4645-46B1-B488-2F8B0F91D014}"/>
            </a:ext>
          </a:extLst>
        </xdr:cNvPr>
        <xdr:cNvSpPr>
          <a:spLocks noChangeArrowheads="1" noChangeShapeType="1" noTextEdit="1"/>
        </xdr:cNvSpPr>
      </xdr:nvSpPr>
      <xdr:spPr bwMode="auto">
        <a:xfrm>
          <a:off x="266700" y="561975"/>
          <a:ext cx="258025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14</xdr:col>
      <xdr:colOff>339725</xdr:colOff>
      <xdr:row>0</xdr:row>
      <xdr:rowOff>400050</xdr:rowOff>
    </xdr:from>
    <xdr:to>
      <xdr:col>17</xdr:col>
      <xdr:colOff>1679604</xdr:colOff>
      <xdr:row>1</xdr:row>
      <xdr:rowOff>225538</xdr:rowOff>
    </xdr:to>
    <xdr:sp macro="" textlink="">
      <xdr:nvSpPr>
        <xdr:cNvPr id="7" name="WordArt 111">
          <a:extLst>
            <a:ext uri="{FF2B5EF4-FFF2-40B4-BE49-F238E27FC236}">
              <a16:creationId xmlns:a16="http://schemas.microsoft.com/office/drawing/2014/main" id="{DFDD2174-B3E8-4CA2-93CA-ACD9C22D7694}"/>
            </a:ext>
          </a:extLst>
        </xdr:cNvPr>
        <xdr:cNvSpPr>
          <a:spLocks noChangeArrowheads="1" noChangeShapeType="1" noTextEdit="1"/>
        </xdr:cNvSpPr>
      </xdr:nvSpPr>
      <xdr:spPr bwMode="auto">
        <a:xfrm>
          <a:off x="6019800" y="400050"/>
          <a:ext cx="2657476" cy="390525"/>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36406</xdr:colOff>
      <xdr:row>36</xdr:row>
      <xdr:rowOff>15876</xdr:rowOff>
    </xdr:from>
    <xdr:to>
      <xdr:col>17</xdr:col>
      <xdr:colOff>349739</xdr:colOff>
      <xdr:row>36</xdr:row>
      <xdr:rowOff>177219</xdr:rowOff>
    </xdr:to>
    <xdr:sp macro="" textlink="">
      <xdr:nvSpPr>
        <xdr:cNvPr id="8" name="Text Box 82">
          <a:extLst>
            <a:ext uri="{FF2B5EF4-FFF2-40B4-BE49-F238E27FC236}">
              <a16:creationId xmlns:a16="http://schemas.microsoft.com/office/drawing/2014/main" id="{8ECF4CA6-210D-4FDE-AF95-E3C13C1F75CF}"/>
            </a:ext>
          </a:extLst>
        </xdr:cNvPr>
        <xdr:cNvSpPr txBox="1">
          <a:spLocks noChangeArrowheads="1"/>
        </xdr:cNvSpPr>
      </xdr:nvSpPr>
      <xdr:spPr bwMode="auto">
        <a:xfrm>
          <a:off x="7458286" y="7597776"/>
          <a:ext cx="313333" cy="16134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55</xdr:row>
      <xdr:rowOff>147955</xdr:rowOff>
    </xdr:from>
    <xdr:to>
      <xdr:col>19</xdr:col>
      <xdr:colOff>47625</xdr:colOff>
      <xdr:row>56</xdr:row>
      <xdr:rowOff>103552</xdr:rowOff>
    </xdr:to>
    <xdr:sp macro="" textlink="">
      <xdr:nvSpPr>
        <xdr:cNvPr id="11265" name="Text Box 1">
          <a:extLst>
            <a:ext uri="{FF2B5EF4-FFF2-40B4-BE49-F238E27FC236}">
              <a16:creationId xmlns:a16="http://schemas.microsoft.com/office/drawing/2014/main" id="{60BD3E22-3EFE-417C-8EA4-473B048F14AE}"/>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2BA0148C-3352-41A0-92F2-EF936DFBE382}"/>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11292" name="Text Box 28">
          <a:extLst>
            <a:ext uri="{FF2B5EF4-FFF2-40B4-BE49-F238E27FC236}">
              <a16:creationId xmlns:a16="http://schemas.microsoft.com/office/drawing/2014/main" id="{17F88CAE-D3C7-4B84-B6EC-3149916B9CE3}"/>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E3FF9F0F-7006-4665-AD9F-98D9B8E66A74}"/>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43344838-2CD2-48E1-86E7-BAFD5C97BB06}"/>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279400</xdr:colOff>
      <xdr:row>6</xdr:row>
      <xdr:rowOff>0</xdr:rowOff>
    </xdr:from>
    <xdr:to>
      <xdr:col>19</xdr:col>
      <xdr:colOff>466725</xdr:colOff>
      <xdr:row>6</xdr:row>
      <xdr:rowOff>196850</xdr:rowOff>
    </xdr:to>
    <xdr:sp macro="" textlink="">
      <xdr:nvSpPr>
        <xdr:cNvPr id="173416" name="Text Box 35">
          <a:extLst>
            <a:ext uri="{FF2B5EF4-FFF2-40B4-BE49-F238E27FC236}">
              <a16:creationId xmlns:a16="http://schemas.microsoft.com/office/drawing/2014/main" id="{8424FBD6-5DDF-4F13-A212-1B7A06A1FFBD}"/>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7322AF67-DF74-4ED0-BDE2-F517BFC4FE3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1CBCDAB4-EBA4-4E16-921F-9251A611680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CB3B6618-96A1-42AB-B260-1B35D9743BF4}"/>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7CD28BBC-A538-44A1-9EEF-9F6C494343F3}"/>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2D3FCDDA-95F7-4A02-BA53-B1A3E362CC1A}"/>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5CAFB8FE-76CA-48D2-87B6-5EC1650541A9}"/>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EC85C4FC-8E5A-4D3F-8CF9-C1949DA806B0}"/>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142</xdr:colOff>
      <xdr:row>172</xdr:row>
      <xdr:rowOff>22765</xdr:rowOff>
    </xdr:from>
    <xdr:to>
      <xdr:col>18</xdr:col>
      <xdr:colOff>242998</xdr:colOff>
      <xdr:row>173</xdr:row>
      <xdr:rowOff>114316</xdr:rowOff>
    </xdr:to>
    <xdr:sp macro="" textlink="">
      <xdr:nvSpPr>
        <xdr:cNvPr id="35" name="Text Box 86">
          <a:extLst>
            <a:ext uri="{FF2B5EF4-FFF2-40B4-BE49-F238E27FC236}">
              <a16:creationId xmlns:a16="http://schemas.microsoft.com/office/drawing/2014/main" id="{BAD6C6FF-2B85-4ABE-A7F3-FDF7C7980AD4}"/>
            </a:ext>
          </a:extLst>
        </xdr:cNvPr>
        <xdr:cNvSpPr txBox="1">
          <a:spLocks noChangeArrowheads="1"/>
        </xdr:cNvSpPr>
      </xdr:nvSpPr>
      <xdr:spPr bwMode="auto">
        <a:xfrm>
          <a:off x="163972" y="12266676"/>
          <a:ext cx="8526104" cy="21263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infor@takaful.lk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14</xdr:col>
      <xdr:colOff>330200</xdr:colOff>
      <xdr:row>0</xdr:row>
      <xdr:rowOff>390525</xdr:rowOff>
    </xdr:from>
    <xdr:to>
      <xdr:col>17</xdr:col>
      <xdr:colOff>1670066</xdr:colOff>
      <xdr:row>1</xdr:row>
      <xdr:rowOff>203351</xdr:rowOff>
    </xdr:to>
    <xdr:sp macro="" textlink="">
      <xdr:nvSpPr>
        <xdr:cNvPr id="52" name="WordArt 111">
          <a:extLst>
            <a:ext uri="{FF2B5EF4-FFF2-40B4-BE49-F238E27FC236}">
              <a16:creationId xmlns:a16="http://schemas.microsoft.com/office/drawing/2014/main" id="{DDE88529-3EB5-4743-B0BB-653D5CC84850}"/>
            </a:ext>
          </a:extLst>
        </xdr:cNvPr>
        <xdr:cNvSpPr>
          <a:spLocks noChangeArrowheads="1" noChangeShapeType="1" noTextEdit="1"/>
        </xdr:cNvSpPr>
      </xdr:nvSpPr>
      <xdr:spPr bwMode="auto">
        <a:xfrm>
          <a:off x="6010275" y="390525"/>
          <a:ext cx="2657476" cy="390525"/>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75740C99-D38A-4F53-AD07-CDEDEC7EE0C5}"/>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49" name="Text Box 82">
          <a:extLst>
            <a:ext uri="{FF2B5EF4-FFF2-40B4-BE49-F238E27FC236}">
              <a16:creationId xmlns:a16="http://schemas.microsoft.com/office/drawing/2014/main" id="{C4F02D1E-48D9-4277-AA5E-51EEFA160A7D}"/>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37</xdr:row>
      <xdr:rowOff>0</xdr:rowOff>
    </xdr:from>
    <xdr:to>
      <xdr:col>17</xdr:col>
      <xdr:colOff>349431</xdr:colOff>
      <xdr:row>37</xdr:row>
      <xdr:rowOff>0</xdr:rowOff>
    </xdr:to>
    <xdr:sp macro="" textlink="">
      <xdr:nvSpPr>
        <xdr:cNvPr id="53" name="Text Box 84">
          <a:extLst>
            <a:ext uri="{FF2B5EF4-FFF2-40B4-BE49-F238E27FC236}">
              <a16:creationId xmlns:a16="http://schemas.microsoft.com/office/drawing/2014/main" id="{8FC7FE79-2842-4249-9D4B-5DDC98B02724}"/>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3B2BD76C-8EA0-4953-81F5-71E102966D3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9D046DEC-243E-4ACB-9EEF-52B625850D7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C5DCF6D3-F943-400E-8F73-6D0142F458B6}"/>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76893F02-079B-43EB-B513-DA0857135030}"/>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77BBA873-3F5F-4A4C-989B-02BBDB6ECC27}"/>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37</xdr:row>
      <xdr:rowOff>0</xdr:rowOff>
    </xdr:from>
    <xdr:to>
      <xdr:col>17</xdr:col>
      <xdr:colOff>349431</xdr:colOff>
      <xdr:row>37</xdr:row>
      <xdr:rowOff>0</xdr:rowOff>
    </xdr:to>
    <xdr:sp macro="" textlink="">
      <xdr:nvSpPr>
        <xdr:cNvPr id="64" name="Text Box 89">
          <a:extLst>
            <a:ext uri="{FF2B5EF4-FFF2-40B4-BE49-F238E27FC236}">
              <a16:creationId xmlns:a16="http://schemas.microsoft.com/office/drawing/2014/main" id="{B10EB3B9-67CE-4D6E-9F2A-42E32035354A}"/>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796295</xdr:colOff>
      <xdr:row>12</xdr:row>
      <xdr:rowOff>42332</xdr:rowOff>
    </xdr:from>
    <xdr:to>
      <xdr:col>17</xdr:col>
      <xdr:colOff>980999</xdr:colOff>
      <xdr:row>13</xdr:row>
      <xdr:rowOff>4762</xdr:rowOff>
    </xdr:to>
    <xdr:sp macro="" textlink="">
      <xdr:nvSpPr>
        <xdr:cNvPr id="54" name="Text Box 114">
          <a:extLst>
            <a:ext uri="{FF2B5EF4-FFF2-40B4-BE49-F238E27FC236}">
              <a16:creationId xmlns:a16="http://schemas.microsoft.com/office/drawing/2014/main" id="{53F02463-5213-4823-AA8E-ADC1D3390BC2}"/>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7" name="Text Box 48">
          <a:extLst>
            <a:ext uri="{FF2B5EF4-FFF2-40B4-BE49-F238E27FC236}">
              <a16:creationId xmlns:a16="http://schemas.microsoft.com/office/drawing/2014/main" id="{006B827B-FE5F-4630-A16E-2664F4ACF079}"/>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0" name="Text Box 48">
          <a:extLst>
            <a:ext uri="{FF2B5EF4-FFF2-40B4-BE49-F238E27FC236}">
              <a16:creationId xmlns:a16="http://schemas.microsoft.com/office/drawing/2014/main" id="{040765F1-1C77-4C17-8374-30838CFD3A32}"/>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63" name="Text Box 48">
          <a:extLst>
            <a:ext uri="{FF2B5EF4-FFF2-40B4-BE49-F238E27FC236}">
              <a16:creationId xmlns:a16="http://schemas.microsoft.com/office/drawing/2014/main" id="{07DFCECA-EA4B-4504-A372-300EA0FAAB56}"/>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DD2A3F3F-9F7F-446C-849D-64B3B3B4D26C}"/>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868E5D31-7D0C-47A6-B953-FE4ECE0285F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CE300049-2B3C-4342-A922-7F08AA442A8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438C5AFE-9A33-4DF3-9FBC-75CD749F615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DD8FC050-7A6A-4CB6-9EE5-7C8D940D544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A7FB59C3-3302-42A5-888A-A164B1992FEE}"/>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9C081536-236A-4292-A2A9-3BD7D24C99A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699D4046-90F5-492D-8CF0-5F68B5663CDC}"/>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3" name="Text Box 48">
          <a:extLst>
            <a:ext uri="{FF2B5EF4-FFF2-40B4-BE49-F238E27FC236}">
              <a16:creationId xmlns:a16="http://schemas.microsoft.com/office/drawing/2014/main" id="{D0612000-52E7-428E-B292-7945BA8E71B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4" name="Text Box 49">
          <a:extLst>
            <a:ext uri="{FF2B5EF4-FFF2-40B4-BE49-F238E27FC236}">
              <a16:creationId xmlns:a16="http://schemas.microsoft.com/office/drawing/2014/main" id="{F332CB62-1457-4688-97CF-4F9D862B631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5" name="Text Box 44">
          <a:extLst>
            <a:ext uri="{FF2B5EF4-FFF2-40B4-BE49-F238E27FC236}">
              <a16:creationId xmlns:a16="http://schemas.microsoft.com/office/drawing/2014/main" id="{9B62312B-F72C-4A2A-AC74-6006FAA2E81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6" name="Text Box 48">
          <a:extLst>
            <a:ext uri="{FF2B5EF4-FFF2-40B4-BE49-F238E27FC236}">
              <a16:creationId xmlns:a16="http://schemas.microsoft.com/office/drawing/2014/main" id="{7BCF406B-718F-4AD6-AE15-1A4EB1FECF3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7" name="Text Box 58">
          <a:extLst>
            <a:ext uri="{FF2B5EF4-FFF2-40B4-BE49-F238E27FC236}">
              <a16:creationId xmlns:a16="http://schemas.microsoft.com/office/drawing/2014/main" id="{7CF1E520-0A91-428E-991E-4402200F395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61345E83-945F-40ED-901E-F25092407C17}"/>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79" name="WordArt 111">
          <a:extLst>
            <a:ext uri="{FF2B5EF4-FFF2-40B4-BE49-F238E27FC236}">
              <a16:creationId xmlns:a16="http://schemas.microsoft.com/office/drawing/2014/main" id="{54DE4BA8-7391-4C4C-8B45-6EC4E55FFC5C}"/>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5996C404-BA7E-43C0-97F7-AF23F4F3A8B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5FF2A6A2-2A63-4E59-810A-106B37CFC7D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C5F57A7F-E3CD-4677-A852-8EDCC268CBF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90FFC62A-2B38-474E-ABEA-D4B81B9EDBA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C642F490-FEDA-4267-9A41-8D8BAA2B27A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73459" name="Picture 85" descr="C:\Users\mumtaz\Downloads\motorcycle-types-objects-icons-set-vector-6122963.jpg">
          <a:extLst>
            <a:ext uri="{FF2B5EF4-FFF2-40B4-BE49-F238E27FC236}">
              <a16:creationId xmlns:a16="http://schemas.microsoft.com/office/drawing/2014/main" id="{B9E7C2C2-AEC3-4F41-A98E-7C2E6E2B03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5945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34</xdr:row>
      <xdr:rowOff>13971</xdr:rowOff>
    </xdr:from>
    <xdr:to>
      <xdr:col>17</xdr:col>
      <xdr:colOff>317285</xdr:colOff>
      <xdr:row>35</xdr:row>
      <xdr:rowOff>0</xdr:rowOff>
    </xdr:to>
    <xdr:sp macro="" textlink="">
      <xdr:nvSpPr>
        <xdr:cNvPr id="55" name="Text Box 82">
          <a:extLst>
            <a:ext uri="{FF2B5EF4-FFF2-40B4-BE49-F238E27FC236}">
              <a16:creationId xmlns:a16="http://schemas.microsoft.com/office/drawing/2014/main" id="{20404079-2DD4-4043-B425-F21CF382D3B2}"/>
            </a:ext>
          </a:extLst>
        </xdr:cNvPr>
        <xdr:cNvSpPr txBox="1">
          <a:spLocks noChangeArrowheads="1"/>
        </xdr:cNvSpPr>
      </xdr:nvSpPr>
      <xdr:spPr bwMode="auto">
        <a:xfrm>
          <a:off x="6834876" y="7050565"/>
          <a:ext cx="258809"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35</xdr:row>
      <xdr:rowOff>15876</xdr:rowOff>
    </xdr:from>
    <xdr:to>
      <xdr:col>17</xdr:col>
      <xdr:colOff>349739</xdr:colOff>
      <xdr:row>35</xdr:row>
      <xdr:rowOff>177219</xdr:rowOff>
    </xdr:to>
    <xdr:sp macro="" textlink="">
      <xdr:nvSpPr>
        <xdr:cNvPr id="67" name="Text Box 82">
          <a:extLst>
            <a:ext uri="{FF2B5EF4-FFF2-40B4-BE49-F238E27FC236}">
              <a16:creationId xmlns:a16="http://schemas.microsoft.com/office/drawing/2014/main" id="{195649D7-0387-4446-8B8B-346FA18F598F}"/>
            </a:ext>
          </a:extLst>
        </xdr:cNvPr>
        <xdr:cNvSpPr txBox="1">
          <a:spLocks noChangeArrowheads="1"/>
        </xdr:cNvSpPr>
      </xdr:nvSpPr>
      <xdr:spPr bwMode="auto">
        <a:xfrm>
          <a:off x="7237306" y="7635876"/>
          <a:ext cx="313333" cy="16134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7965A225-D9AC-4A5B-8117-8650365F4ECF}"/>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87D6126C-3242-4966-B4E1-44BB613570FB}"/>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731520</xdr:colOff>
      <xdr:row>0</xdr:row>
      <xdr:rowOff>482600</xdr:rowOff>
    </xdr:to>
    <xdr:sp macro="" textlink="">
      <xdr:nvSpPr>
        <xdr:cNvPr id="14436" name="Text Box 65">
          <a:extLst>
            <a:ext uri="{FF2B5EF4-FFF2-40B4-BE49-F238E27FC236}">
              <a16:creationId xmlns:a16="http://schemas.microsoft.com/office/drawing/2014/main" id="{52E958F1-4C51-4C8A-8952-1E73EA5DDE48}"/>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70</xdr:row>
      <xdr:rowOff>38100</xdr:rowOff>
    </xdr:from>
    <xdr:to>
      <xdr:col>5</xdr:col>
      <xdr:colOff>831885</xdr:colOff>
      <xdr:row>72</xdr:row>
      <xdr:rowOff>26061</xdr:rowOff>
    </xdr:to>
    <xdr:sp macro="" textlink="">
      <xdr:nvSpPr>
        <xdr:cNvPr id="2114" name="Text Box 66">
          <a:extLst>
            <a:ext uri="{FF2B5EF4-FFF2-40B4-BE49-F238E27FC236}">
              <a16:creationId xmlns:a16="http://schemas.microsoft.com/office/drawing/2014/main" id="{425CB66F-37DB-4A41-8664-175687DDD375}"/>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157957</xdr:colOff>
      <xdr:row>48</xdr:row>
      <xdr:rowOff>190220</xdr:rowOff>
    </xdr:to>
    <xdr:sp macro="" textlink="">
      <xdr:nvSpPr>
        <xdr:cNvPr id="2423" name="Text Box 375">
          <a:extLst>
            <a:ext uri="{FF2B5EF4-FFF2-40B4-BE49-F238E27FC236}">
              <a16:creationId xmlns:a16="http://schemas.microsoft.com/office/drawing/2014/main" id="{B2794C1B-0BAE-478A-8BE3-BCA50B4FAD07}"/>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342108</xdr:colOff>
      <xdr:row>20</xdr:row>
      <xdr:rowOff>2473</xdr:rowOff>
    </xdr:to>
    <xdr:sp macro="" textlink="">
      <xdr:nvSpPr>
        <xdr:cNvPr id="2511" name="Text Box 463">
          <a:extLst>
            <a:ext uri="{FF2B5EF4-FFF2-40B4-BE49-F238E27FC236}">
              <a16:creationId xmlns:a16="http://schemas.microsoft.com/office/drawing/2014/main" id="{B309AD52-07CD-4F0B-89C3-E391D6488A9F}"/>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70</xdr:row>
      <xdr:rowOff>57150</xdr:rowOff>
    </xdr:from>
    <xdr:to>
      <xdr:col>12</xdr:col>
      <xdr:colOff>696983</xdr:colOff>
      <xdr:row>72</xdr:row>
      <xdr:rowOff>102421</xdr:rowOff>
    </xdr:to>
    <xdr:sp macro="" textlink="">
      <xdr:nvSpPr>
        <xdr:cNvPr id="2517" name="Text Box 469" descr="Large grid">
          <a:extLst>
            <a:ext uri="{FF2B5EF4-FFF2-40B4-BE49-F238E27FC236}">
              <a16:creationId xmlns:a16="http://schemas.microsoft.com/office/drawing/2014/main" id="{C9B63AD4-B2D6-44B5-806C-6C1165BF40C4}"/>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67</xdr:row>
      <xdr:rowOff>116205</xdr:rowOff>
    </xdr:from>
    <xdr:to>
      <xdr:col>5</xdr:col>
      <xdr:colOff>2301663</xdr:colOff>
      <xdr:row>70</xdr:row>
      <xdr:rowOff>102838</xdr:rowOff>
    </xdr:to>
    <xdr:sp macro="" textlink="">
      <xdr:nvSpPr>
        <xdr:cNvPr id="14442" name="Text Box 522">
          <a:extLst>
            <a:ext uri="{FF2B5EF4-FFF2-40B4-BE49-F238E27FC236}">
              <a16:creationId xmlns:a16="http://schemas.microsoft.com/office/drawing/2014/main" id="{C3BBF2F1-B2BE-4D18-9B8A-3A14D170CFAF}"/>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553605</xdr:colOff>
      <xdr:row>0</xdr:row>
      <xdr:rowOff>295275</xdr:rowOff>
    </xdr:to>
    <xdr:sp macro="" textlink="">
      <xdr:nvSpPr>
        <xdr:cNvPr id="2660" name="Text Box 612">
          <a:extLst>
            <a:ext uri="{FF2B5EF4-FFF2-40B4-BE49-F238E27FC236}">
              <a16:creationId xmlns:a16="http://schemas.microsoft.com/office/drawing/2014/main" id="{71E3F8EA-125A-4B89-84C5-4468749A2123}"/>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341262</xdr:colOff>
      <xdr:row>23</xdr:row>
      <xdr:rowOff>2731</xdr:rowOff>
    </xdr:to>
    <xdr:sp macro="" textlink="">
      <xdr:nvSpPr>
        <xdr:cNvPr id="2405" name="Text Box 357">
          <a:extLst>
            <a:ext uri="{FF2B5EF4-FFF2-40B4-BE49-F238E27FC236}">
              <a16:creationId xmlns:a16="http://schemas.microsoft.com/office/drawing/2014/main" id="{7508F00F-CF25-4EBF-8BFC-CAD76A6DD11C}"/>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EA72FC2B-91CE-40B4-A3C4-B2475C58111E}"/>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16384" width="9.1796875" style="248"/>
  </cols>
  <sheetData>
    <row r="1" spans="1:254" ht="25" customHeight="1" thickBot="1" x14ac:dyDescent="0.35">
      <c r="A1" s="1510" t="s">
        <v>214</v>
      </c>
      <c r="B1" s="1511"/>
      <c r="C1" s="1511"/>
      <c r="D1" s="1512"/>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231</v>
      </c>
      <c r="Q3" s="249" t="s">
        <v>202</v>
      </c>
    </row>
    <row r="4" spans="1:254" ht="25" customHeight="1" thickBot="1" x14ac:dyDescent="0.35">
      <c r="A4" s="250"/>
      <c r="G4" s="359"/>
      <c r="H4" s="359"/>
      <c r="I4" s="360"/>
      <c r="J4" s="360"/>
      <c r="K4" s="360"/>
      <c r="L4" s="216"/>
      <c r="M4" s="216"/>
      <c r="N4" s="259" t="s">
        <v>232</v>
      </c>
      <c r="O4" s="217" t="s">
        <v>173</v>
      </c>
      <c r="Q4" s="248">
        <v>1</v>
      </c>
      <c r="IR4" s="296" t="s">
        <v>200</v>
      </c>
      <c r="IS4" s="296" t="s">
        <v>201</v>
      </c>
      <c r="IT4" s="296" t="s">
        <v>202</v>
      </c>
    </row>
    <row r="5" spans="1:254" ht="25" customHeight="1" thickBot="1" x14ac:dyDescent="0.35">
      <c r="A5" s="218" t="s">
        <v>203</v>
      </c>
      <c r="C5" s="1514" t="str">
        <f>H5</f>
        <v/>
      </c>
      <c r="D5" s="1515"/>
      <c r="E5" s="1516"/>
      <c r="G5" s="359"/>
      <c r="H5" s="359" t="str">
        <f>IF('MC-Working'!$H$65531=N4,O4,IF('MC-Working'!$H$65531=N5,O5,IF('MC-Working'!$H$65531=N6,O6,IF('MC-Working'!$H$65531=N7,O7,IF('MC-Working'!$H$65531=N8,O8,IF('MC-Working'!$H$65531=N9,O9,IF('MC-Working'!$H$65531=N10,O10,IF('MC-Working'!$H$65531=N11,O11,I5))))))))</f>
        <v/>
      </c>
      <c r="I5" s="359" t="str">
        <f>IF('MC-Working'!$H$65531=N12,O12,IF('MC-Working'!$H$65531=N13,O13,IF('MC-Working'!$H$65531=N14,O14,IF('MC-Working'!$H$65531=N15,O15,IF('MC-Working'!$H$65531=N16,O16,IF('MC-Working'!$H$65531=N17,O17,IF('MC-Working'!$H$65531=N18,O18,IF('MC-Working'!$H$65531=N19,O19,J5))))))))</f>
        <v/>
      </c>
      <c r="J5" s="359" t="str">
        <f>IF('MC-Working'!$H$65531=N20,O20,IF('MC-Working'!$H$65531=N21,O21,IF('MC-Working'!$H$65531=N22,O22,IF('MC-Working'!$H$65531=N23,O23,IF('MC-Working'!$H$65531=N24,O24,IF('MC-Working'!$H$65531=N25,O25,IF('MC-Working'!$H$65531=N26,O26,IF('MC-Working'!$H$65531=N27,O27,K5))))))))</f>
        <v/>
      </c>
      <c r="K5" s="359" t="str">
        <f>IF('MC-Working'!$H$65531=N28,O28,IF('MC-Working'!$H$65531=N29,O29,IF('MC-Working'!$H$65531=N30,O30,IF('MC-Working'!$H$65531=N31,O31,""))))</f>
        <v/>
      </c>
      <c r="N5" s="259" t="s">
        <v>233</v>
      </c>
      <c r="O5" s="217" t="s">
        <v>174</v>
      </c>
      <c r="Q5" s="248">
        <f>Q4+1</f>
        <v>2</v>
      </c>
      <c r="IR5" s="215">
        <v>2024</v>
      </c>
      <c r="IS5" s="215" t="s">
        <v>344</v>
      </c>
      <c r="IT5" s="215">
        <v>1</v>
      </c>
    </row>
    <row r="6" spans="1:254" ht="25" customHeight="1" thickBot="1" x14ac:dyDescent="0.3">
      <c r="G6" s="359"/>
      <c r="H6" s="359"/>
      <c r="I6" s="359"/>
      <c r="J6" s="574" t="s">
        <v>414</v>
      </c>
      <c r="K6" s="359"/>
      <c r="N6" s="259" t="s">
        <v>237</v>
      </c>
      <c r="O6" s="217" t="s">
        <v>175</v>
      </c>
      <c r="Q6" s="248">
        <f t="shared" ref="Q6:Q18" si="0">Q5+1</f>
        <v>3</v>
      </c>
    </row>
    <row r="7" spans="1:254" ht="25" customHeight="1" thickBot="1" x14ac:dyDescent="0.35">
      <c r="A7" s="218" t="s">
        <v>204</v>
      </c>
      <c r="C7" s="248" t="s">
        <v>171</v>
      </c>
      <c r="F7" s="251" t="s">
        <v>76</v>
      </c>
      <c r="G7" s="359" t="str">
        <f t="shared" ref="G7:G17" si="1">IF(F7="Yes",C7,"")</f>
        <v>Motor Car</v>
      </c>
      <c r="H7" s="359">
        <f>IF(F7="Yes",1,0)</f>
        <v>1</v>
      </c>
      <c r="I7" s="359" t="str">
        <f>IF(H7=1,C7,IF(H8=1,C8,IF(H9=1,C9,IF(H10=1,C10,IF(H11=1,C16,IF(H12=1,C11,IF(I5=1,C12,IF(H14=1,C13,J15))))))))</f>
        <v>Motor Car</v>
      </c>
      <c r="J7" s="574" t="s">
        <v>378</v>
      </c>
      <c r="K7" s="359"/>
      <c r="N7" s="259" t="s">
        <v>235</v>
      </c>
      <c r="O7" s="217" t="s">
        <v>176</v>
      </c>
      <c r="Q7" s="248">
        <f t="shared" si="0"/>
        <v>4</v>
      </c>
      <c r="IR7" s="1513">
        <f>I3</f>
        <v>45413</v>
      </c>
      <c r="IS7" s="1513"/>
      <c r="IT7" s="1513"/>
    </row>
    <row r="8" spans="1:254" ht="17.149999999999999" customHeight="1" thickBot="1" x14ac:dyDescent="0.3">
      <c r="C8" s="248" t="s">
        <v>205</v>
      </c>
      <c r="F8" s="251" t="s">
        <v>76</v>
      </c>
      <c r="G8" s="359" t="str">
        <f t="shared" si="1"/>
        <v>Jeep</v>
      </c>
      <c r="H8" s="359">
        <f>IF(F8="Yes",1,0)</f>
        <v>1</v>
      </c>
      <c r="I8" s="359"/>
      <c r="J8" s="574" t="s">
        <v>379</v>
      </c>
      <c r="K8" s="359"/>
      <c r="N8" s="259" t="s">
        <v>236</v>
      </c>
      <c r="O8" s="217" t="s">
        <v>177</v>
      </c>
      <c r="Q8" s="248">
        <f t="shared" si="0"/>
        <v>5</v>
      </c>
    </row>
    <row r="9" spans="1:254" ht="17.149999999999999" customHeight="1" thickBot="1" x14ac:dyDescent="0.3">
      <c r="C9" s="248" t="s">
        <v>206</v>
      </c>
      <c r="F9" s="251" t="s">
        <v>76</v>
      </c>
      <c r="G9" s="359" t="str">
        <f t="shared" si="1"/>
        <v>Dual Purpose</v>
      </c>
      <c r="H9" s="359">
        <f>IF(F9="Yes",1,0)</f>
        <v>1</v>
      </c>
      <c r="I9" s="359"/>
      <c r="J9" s="574" t="s">
        <v>386</v>
      </c>
      <c r="K9" s="359"/>
      <c r="N9" s="259" t="s">
        <v>234</v>
      </c>
      <c r="O9" s="217" t="s">
        <v>178</v>
      </c>
      <c r="Q9" s="248">
        <f t="shared" si="0"/>
        <v>6</v>
      </c>
    </row>
    <row r="10" spans="1:254" ht="17.149999999999999" customHeight="1" thickBot="1" x14ac:dyDescent="0.3">
      <c r="C10" s="248" t="s">
        <v>207</v>
      </c>
      <c r="F10" s="251" t="s">
        <v>76</v>
      </c>
      <c r="G10" s="359" t="str">
        <f t="shared" si="1"/>
        <v>Motor Coach</v>
      </c>
      <c r="H10" s="359">
        <f>IF(F10="Yes",1,0)</f>
        <v>1</v>
      </c>
      <c r="I10" s="359"/>
      <c r="J10" s="574" t="s">
        <v>424</v>
      </c>
      <c r="K10" s="359"/>
      <c r="N10" s="259" t="s">
        <v>257</v>
      </c>
      <c r="O10" s="217" t="s">
        <v>179</v>
      </c>
      <c r="Q10" s="248">
        <f t="shared" si="0"/>
        <v>7</v>
      </c>
    </row>
    <row r="11" spans="1:254" ht="17.149999999999999" customHeight="1" thickBot="1" x14ac:dyDescent="0.3">
      <c r="C11" s="248" t="s">
        <v>355</v>
      </c>
      <c r="F11" s="251" t="s">
        <v>76</v>
      </c>
      <c r="G11" s="359" t="str">
        <f t="shared" si="1"/>
        <v>Motor Lorry</v>
      </c>
      <c r="H11" s="359">
        <f>IF(F16="Yes",1,0)</f>
        <v>1</v>
      </c>
      <c r="I11" s="359"/>
      <c r="J11" s="574" t="s">
        <v>428</v>
      </c>
      <c r="K11" s="359"/>
      <c r="N11" s="259" t="s">
        <v>238</v>
      </c>
      <c r="O11" s="217" t="s">
        <v>180</v>
      </c>
      <c r="Q11" s="248">
        <f t="shared" si="0"/>
        <v>8</v>
      </c>
    </row>
    <row r="12" spans="1:254" ht="17.149999999999999" customHeight="1" thickBot="1" x14ac:dyDescent="0.3">
      <c r="C12" s="248" t="s">
        <v>208</v>
      </c>
      <c r="F12" s="251" t="s">
        <v>76</v>
      </c>
      <c r="G12" s="359" t="str">
        <f t="shared" si="1"/>
        <v>Three Wheeler</v>
      </c>
      <c r="H12" s="359">
        <f>IF(F11="Yes",1,0)</f>
        <v>1</v>
      </c>
      <c r="I12" s="359"/>
      <c r="J12" s="574" t="s">
        <v>380</v>
      </c>
      <c r="K12" s="359"/>
      <c r="N12" s="259" t="s">
        <v>239</v>
      </c>
      <c r="O12" s="217" t="s">
        <v>181</v>
      </c>
      <c r="Q12" s="248">
        <f t="shared" si="0"/>
        <v>9</v>
      </c>
    </row>
    <row r="13" spans="1:254" ht="17.149999999999999" customHeight="1" thickBot="1" x14ac:dyDescent="0.3">
      <c r="C13" s="248" t="s">
        <v>210</v>
      </c>
      <c r="F13" s="251" t="s">
        <v>76</v>
      </c>
      <c r="G13" s="359" t="str">
        <f t="shared" si="1"/>
        <v>Motor Cycle (Chinese)</v>
      </c>
      <c r="H13" s="359">
        <f>IF(F12="Yes",1,0)</f>
        <v>1</v>
      </c>
      <c r="I13" s="359"/>
      <c r="J13" s="574" t="s">
        <v>413</v>
      </c>
      <c r="K13" s="359"/>
      <c r="N13" s="259" t="s">
        <v>258</v>
      </c>
      <c r="O13" s="217" t="s">
        <v>182</v>
      </c>
      <c r="Q13" s="248">
        <f t="shared" si="0"/>
        <v>10</v>
      </c>
    </row>
    <row r="14" spans="1:254" ht="17.149999999999999" customHeight="1" thickBot="1" x14ac:dyDescent="0.3">
      <c r="C14" s="248" t="s">
        <v>357</v>
      </c>
      <c r="F14" s="251" t="s">
        <v>76</v>
      </c>
      <c r="G14" s="359" t="str">
        <f t="shared" si="1"/>
        <v>Motor Cycle</v>
      </c>
      <c r="H14" s="359">
        <f>IF(F13="Yes",1,0)</f>
        <v>1</v>
      </c>
      <c r="I14" s="359"/>
      <c r="J14" s="574" t="s">
        <v>437</v>
      </c>
      <c r="K14" s="359"/>
      <c r="N14" s="259" t="s">
        <v>259</v>
      </c>
      <c r="O14" s="217" t="s">
        <v>183</v>
      </c>
      <c r="Q14" s="248">
        <f t="shared" si="0"/>
        <v>11</v>
      </c>
    </row>
    <row r="15" spans="1:254" ht="17.149999999999999" customHeight="1" thickBot="1" x14ac:dyDescent="0.3">
      <c r="C15" s="248" t="s">
        <v>211</v>
      </c>
      <c r="F15" s="251" t="s">
        <v>76</v>
      </c>
      <c r="G15" s="359" t="str">
        <f t="shared" si="1"/>
        <v>Tractor</v>
      </c>
      <c r="H15" s="359">
        <f>IF(F14="Yes",1,0)</f>
        <v>1</v>
      </c>
      <c r="I15" s="359"/>
      <c r="J15" s="574" t="s">
        <v>417</v>
      </c>
      <c r="K15" s="359"/>
      <c r="N15" s="259" t="s">
        <v>240</v>
      </c>
      <c r="O15" s="217" t="s">
        <v>184</v>
      </c>
      <c r="Q15" s="248">
        <f t="shared" si="0"/>
        <v>12</v>
      </c>
    </row>
    <row r="16" spans="1:254" ht="17.149999999999999" customHeight="1" thickBot="1" x14ac:dyDescent="0.3">
      <c r="C16" s="248" t="s">
        <v>209</v>
      </c>
      <c r="F16" s="251" t="s">
        <v>76</v>
      </c>
      <c r="G16" s="359" t="str">
        <f t="shared" si="1"/>
        <v>Motor Lorry (Chinese)</v>
      </c>
      <c r="H16" s="359">
        <f>IF(F15="Yes",1,0)</f>
        <v>1</v>
      </c>
      <c r="I16" s="359"/>
      <c r="J16" s="574" t="s">
        <v>421</v>
      </c>
      <c r="K16" s="359"/>
      <c r="N16" s="259" t="s">
        <v>241</v>
      </c>
      <c r="O16" s="217" t="s">
        <v>185</v>
      </c>
      <c r="Q16" s="248">
        <f t="shared" si="0"/>
        <v>13</v>
      </c>
    </row>
    <row r="17" spans="1:17" ht="17.149999999999999" customHeight="1" thickBot="1" x14ac:dyDescent="0.3">
      <c r="C17" s="248" t="s">
        <v>212</v>
      </c>
      <c r="F17" s="251" t="s">
        <v>76</v>
      </c>
      <c r="G17" s="359" t="str">
        <f t="shared" si="1"/>
        <v>Others</v>
      </c>
      <c r="H17" s="359">
        <f>IF(F17="Yes",1,0)</f>
        <v>1</v>
      </c>
      <c r="I17" s="361"/>
      <c r="J17" s="574" t="s">
        <v>387</v>
      </c>
      <c r="K17" s="359"/>
      <c r="N17" s="259" t="s">
        <v>242</v>
      </c>
      <c r="O17" s="217" t="s">
        <v>186</v>
      </c>
      <c r="Q17" s="248">
        <f t="shared" si="0"/>
        <v>14</v>
      </c>
    </row>
    <row r="18" spans="1:17" ht="17.149999999999999" customHeight="1" x14ac:dyDescent="0.25">
      <c r="H18" s="359"/>
      <c r="I18" s="361"/>
      <c r="J18" s="574" t="s">
        <v>382</v>
      </c>
      <c r="K18" s="359"/>
      <c r="N18" s="259" t="s">
        <v>243</v>
      </c>
      <c r="O18" s="217" t="s">
        <v>187</v>
      </c>
      <c r="Q18" s="248">
        <f t="shared" si="0"/>
        <v>15</v>
      </c>
    </row>
    <row r="19" spans="1:17" ht="17.149999999999999" customHeight="1" thickBot="1" x14ac:dyDescent="0.3">
      <c r="G19" s="359"/>
      <c r="H19" s="359"/>
      <c r="I19" s="359"/>
      <c r="J19" s="574" t="s">
        <v>383</v>
      </c>
      <c r="K19" s="359"/>
      <c r="N19" s="259" t="s">
        <v>244</v>
      </c>
      <c r="O19" s="217" t="s">
        <v>188</v>
      </c>
      <c r="Q19" s="248">
        <f t="shared" ref="Q19:Q31" si="2">Q18+1</f>
        <v>16</v>
      </c>
    </row>
    <row r="20" spans="1:17" ht="17.149999999999999" customHeight="1" thickBot="1" x14ac:dyDescent="0.3">
      <c r="A20" s="252" t="s">
        <v>33</v>
      </c>
      <c r="C20" s="248" t="s">
        <v>319</v>
      </c>
      <c r="F20" s="251" t="s">
        <v>76</v>
      </c>
      <c r="G20" s="359" t="str">
        <f>IF(F20="Yes",C20,"")</f>
        <v>Private Use Only</v>
      </c>
      <c r="H20" s="359"/>
      <c r="I20" s="359" t="str">
        <f>IF(G20&lt;&gt;"",G20,IF(G21&lt;&gt;"",G21,IF(G22&lt;&gt;"",G22,IF(G23&lt;&gt;"",G23,IF(G24&lt;&gt;"",G24,"")))))</f>
        <v>Private Use Only</v>
      </c>
      <c r="J20" s="574" t="s">
        <v>426</v>
      </c>
      <c r="K20" s="359"/>
      <c r="N20" s="259" t="s">
        <v>245</v>
      </c>
      <c r="O20" s="217" t="s">
        <v>172</v>
      </c>
      <c r="Q20" s="248">
        <f t="shared" si="2"/>
        <v>17</v>
      </c>
    </row>
    <row r="21" spans="1:17" ht="17.149999999999999" customHeight="1" thickBot="1" x14ac:dyDescent="0.3">
      <c r="C21" s="248" t="s">
        <v>39</v>
      </c>
      <c r="F21" s="251" t="s">
        <v>76</v>
      </c>
      <c r="G21" s="359" t="str">
        <f>IF(F21="Yes",C21,"")</f>
        <v>Hiring</v>
      </c>
      <c r="I21" s="359" t="str">
        <f>IF(AND(G21&lt;&gt;"",G21&lt;&gt;I20),G21,IF(AND(G22&lt;&gt;"",G22&lt;&gt;I20),G22,IF(AND(G23&lt;&gt;"",G23&lt;&gt;I20),G23,IF(AND(G24&lt;&gt;"",G24&lt;&gt;I20),G24,""))))</f>
        <v>Hiring</v>
      </c>
      <c r="J21" s="574" t="s">
        <v>384</v>
      </c>
      <c r="K21" s="359"/>
      <c r="N21" s="259" t="s">
        <v>246</v>
      </c>
      <c r="O21" s="217" t="s">
        <v>189</v>
      </c>
      <c r="Q21" s="248">
        <f t="shared" si="2"/>
        <v>18</v>
      </c>
    </row>
    <row r="22" spans="1:17" ht="18" customHeight="1" thickBot="1" x14ac:dyDescent="0.3">
      <c r="C22" s="248" t="s">
        <v>7</v>
      </c>
      <c r="F22" s="251" t="s">
        <v>76</v>
      </c>
      <c r="G22" s="359" t="str">
        <f>IF(F22="Yes",C22,"")</f>
        <v>Rent A Vehicle</v>
      </c>
      <c r="H22" s="359"/>
      <c r="I22" s="359" t="str">
        <f>IF(AND(G22&lt;&gt;"",G22&lt;&gt;I21,G22&lt;&gt;I20),G22,IF(AND(G23&lt;&gt;"",G23&lt;&gt;I21,G23&lt;&gt;I20),G23,IF(AND(G24&lt;&gt;"",G24&lt;&gt;I20,G24&lt;&gt;I21),G24,"")))</f>
        <v>Rent A Vehicle</v>
      </c>
      <c r="J22" s="574" t="s">
        <v>420</v>
      </c>
      <c r="K22" s="359"/>
      <c r="N22" s="259" t="s">
        <v>247</v>
      </c>
      <c r="O22" s="217" t="s">
        <v>190</v>
      </c>
      <c r="Q22" s="248">
        <f t="shared" si="2"/>
        <v>19</v>
      </c>
    </row>
    <row r="23" spans="1:17" ht="18" customHeight="1" thickBot="1" x14ac:dyDescent="0.3">
      <c r="C23" s="248" t="s">
        <v>215</v>
      </c>
      <c r="F23" s="251" t="s">
        <v>76</v>
      </c>
      <c r="G23" s="359" t="str">
        <f>IF(F23="Yes",C23,"")</f>
        <v xml:space="preserve">SLTB Route </v>
      </c>
      <c r="H23" s="359"/>
      <c r="I23" s="359" t="str">
        <f>IF(AND(G23&lt;&gt;"",I20&lt;&gt;G23,I21&lt;&gt;G23,I22&lt;&gt;G23),G23,IF(AND(G24&lt;&gt;"",G24&lt;&gt;I20,G24&lt;&gt;I21,G24&lt;&gt;I22),G24,""))</f>
        <v xml:space="preserve">SLTB Route </v>
      </c>
      <c r="J23" s="574" t="s">
        <v>419</v>
      </c>
      <c r="K23" s="359"/>
      <c r="N23" s="259" t="s">
        <v>248</v>
      </c>
      <c r="O23" s="217" t="s">
        <v>191</v>
      </c>
      <c r="Q23" s="248">
        <f t="shared" si="2"/>
        <v>20</v>
      </c>
    </row>
    <row r="24" spans="1:17" ht="18" customHeight="1" thickBot="1" x14ac:dyDescent="0.3">
      <c r="C24" s="248" t="s">
        <v>217</v>
      </c>
      <c r="F24" s="251" t="s">
        <v>111</v>
      </c>
      <c r="G24" s="359" t="str">
        <f>IF(F24="Yes",C24,"")</f>
        <v/>
      </c>
      <c r="H24" s="359"/>
      <c r="I24" s="359" t="str">
        <f>IF(AND(G24&lt;&gt;"",I21&lt;&gt;G24,I22&lt;&gt;G24,I23&lt;&gt;G24,G24&lt;&gt;I20),G24,"")</f>
        <v/>
      </c>
      <c r="J24" s="574" t="s">
        <v>429</v>
      </c>
      <c r="K24" s="359"/>
      <c r="N24" s="259" t="s">
        <v>249</v>
      </c>
      <c r="O24" s="217" t="s">
        <v>192</v>
      </c>
      <c r="Q24" s="248">
        <f t="shared" si="2"/>
        <v>21</v>
      </c>
    </row>
    <row r="25" spans="1:17" ht="18" customHeight="1" x14ac:dyDescent="0.25">
      <c r="G25" s="359"/>
      <c r="H25" s="359"/>
      <c r="I25" s="359"/>
      <c r="J25" s="574" t="s">
        <v>416</v>
      </c>
      <c r="K25" s="359"/>
      <c r="N25" s="259" t="s">
        <v>250</v>
      </c>
      <c r="O25" s="217" t="s">
        <v>193</v>
      </c>
      <c r="Q25" s="248">
        <f t="shared" si="2"/>
        <v>22</v>
      </c>
    </row>
    <row r="26" spans="1:17" ht="18" customHeight="1" thickBot="1" x14ac:dyDescent="0.3">
      <c r="G26" s="359"/>
      <c r="H26" s="359"/>
      <c r="I26" s="359"/>
      <c r="J26" s="574" t="s">
        <v>390</v>
      </c>
      <c r="K26" s="359"/>
      <c r="N26" s="259" t="s">
        <v>251</v>
      </c>
      <c r="O26" s="217" t="s">
        <v>194</v>
      </c>
      <c r="Q26" s="248">
        <f t="shared" si="2"/>
        <v>23</v>
      </c>
    </row>
    <row r="27" spans="1:17" ht="25" customHeight="1" thickBot="1" x14ac:dyDescent="0.35">
      <c r="A27" s="253" t="s">
        <v>213</v>
      </c>
      <c r="F27" s="251" t="s">
        <v>76</v>
      </c>
      <c r="G27" s="359"/>
      <c r="H27" s="359"/>
      <c r="I27" s="359"/>
      <c r="J27" s="574" t="s">
        <v>415</v>
      </c>
      <c r="K27" s="359"/>
      <c r="N27" s="259" t="s">
        <v>252</v>
      </c>
      <c r="O27" s="217" t="s">
        <v>195</v>
      </c>
      <c r="Q27" s="248">
        <f t="shared" si="2"/>
        <v>24</v>
      </c>
    </row>
    <row r="28" spans="1:17" ht="25" customHeight="1" thickBot="1" x14ac:dyDescent="0.3">
      <c r="G28" s="359"/>
      <c r="H28" s="359"/>
      <c r="I28" s="359"/>
      <c r="J28" s="574" t="s">
        <v>423</v>
      </c>
      <c r="K28" s="359"/>
      <c r="N28" s="259" t="s">
        <v>253</v>
      </c>
      <c r="O28" s="217" t="s">
        <v>196</v>
      </c>
      <c r="Q28" s="248">
        <f t="shared" si="2"/>
        <v>25</v>
      </c>
    </row>
    <row r="29" spans="1:17" ht="25" customHeight="1" thickBot="1" x14ac:dyDescent="0.35">
      <c r="A29" s="218" t="s">
        <v>274</v>
      </c>
      <c r="C29" s="1"/>
      <c r="F29" s="277">
        <v>19</v>
      </c>
      <c r="G29" s="359"/>
      <c r="I29" s="359"/>
      <c r="J29" s="574" t="s">
        <v>425</v>
      </c>
      <c r="K29" s="359"/>
      <c r="N29" s="259" t="s">
        <v>254</v>
      </c>
      <c r="O29" s="217" t="s">
        <v>197</v>
      </c>
      <c r="Q29" s="248">
        <f t="shared" si="2"/>
        <v>26</v>
      </c>
    </row>
    <row r="30" spans="1:17" ht="25" customHeight="1" thickBot="1" x14ac:dyDescent="0.3">
      <c r="G30" s="359"/>
      <c r="H30" s="359"/>
      <c r="I30" s="359"/>
      <c r="J30" s="574" t="s">
        <v>438</v>
      </c>
      <c r="K30" s="359"/>
      <c r="N30" s="259" t="s">
        <v>255</v>
      </c>
      <c r="O30" s="217" t="s">
        <v>198</v>
      </c>
      <c r="Q30" s="248">
        <f t="shared" si="2"/>
        <v>27</v>
      </c>
    </row>
    <row r="31" spans="1:17" ht="25" customHeight="1" thickBot="1" x14ac:dyDescent="0.35">
      <c r="A31" s="218" t="s">
        <v>285</v>
      </c>
      <c r="C31" s="1"/>
      <c r="F31" s="251" t="s">
        <v>76</v>
      </c>
      <c r="J31" s="574" t="s">
        <v>427</v>
      </c>
      <c r="N31" s="259" t="s">
        <v>256</v>
      </c>
      <c r="O31" s="217" t="s">
        <v>199</v>
      </c>
      <c r="Q31" s="248">
        <f t="shared" si="2"/>
        <v>28</v>
      </c>
    </row>
    <row r="32" spans="1:17" ht="8.25" customHeight="1" x14ac:dyDescent="0.25">
      <c r="A32" s="151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17"/>
      <c r="C32" s="1517"/>
      <c r="D32" s="1517"/>
      <c r="E32" s="1517"/>
      <c r="F32" s="1517"/>
      <c r="G32" s="1517"/>
      <c r="J32" s="574" t="s">
        <v>418</v>
      </c>
      <c r="N32" s="259"/>
      <c r="Q32" s="248">
        <f>IF(AND(M3&lt;&gt;0,G3=2),"",29)</f>
        <v>29</v>
      </c>
    </row>
    <row r="33" spans="1:17" ht="25" customHeight="1" x14ac:dyDescent="0.25">
      <c r="A33" s="1517"/>
      <c r="B33" s="1517"/>
      <c r="C33" s="1517"/>
      <c r="D33" s="1517"/>
      <c r="E33" s="1517"/>
      <c r="F33" s="1517"/>
      <c r="G33" s="1517"/>
      <c r="J33" s="574" t="s">
        <v>385</v>
      </c>
      <c r="N33" s="259"/>
      <c r="Q33" s="248">
        <f>IF(G3=2,"",30)</f>
        <v>30</v>
      </c>
    </row>
    <row r="34" spans="1:17" ht="25" customHeight="1" x14ac:dyDescent="0.25">
      <c r="I34" s="575" t="s">
        <v>440</v>
      </c>
      <c r="J34" s="574"/>
      <c r="N34" s="259"/>
      <c r="Q34" s="248">
        <f>IF(OR(G3=2,G3=4,G3=6,G3=9,G3=11),"",31)</f>
        <v>31</v>
      </c>
    </row>
    <row r="35" spans="1:17" ht="25" customHeight="1" x14ac:dyDescent="0.25">
      <c r="J35" s="574"/>
      <c r="N35" s="259"/>
    </row>
    <row r="36" spans="1:17" ht="25" customHeight="1" x14ac:dyDescent="0.25">
      <c r="J36" s="574"/>
    </row>
    <row r="37" spans="1:17" ht="25" customHeight="1" x14ac:dyDescent="0.25">
      <c r="J37" s="574"/>
    </row>
    <row r="38" spans="1:17" ht="25" customHeight="1" x14ac:dyDescent="0.25">
      <c r="J38" s="574"/>
    </row>
    <row r="39" spans="1:17" ht="25" customHeight="1" x14ac:dyDescent="0.25">
      <c r="J39" s="574"/>
    </row>
    <row r="40" spans="1:17" ht="25" customHeight="1" x14ac:dyDescent="0.25">
      <c r="J40" s="574"/>
    </row>
  </sheetData>
  <dataConsolidate/>
  <mergeCells count="4">
    <mergeCell ref="A1:D1"/>
    <mergeCell ref="IR7:IT7"/>
    <mergeCell ref="C5:E5"/>
    <mergeCell ref="A32:G33"/>
  </mergeCells>
  <phoneticPr fontId="28" type="noConversion"/>
  <conditionalFormatting sqref="F27 F20:F24 F7:F17 F31">
    <cfRule type="cellIs" dxfId="370"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H154"/>
  <sheetViews>
    <sheetView showGridLines="0" topLeftCell="A34" zoomScale="75" zoomScaleNormal="82" workbookViewId="0">
      <selection activeCell="M63" sqref="M63"/>
    </sheetView>
  </sheetViews>
  <sheetFormatPr defaultColWidth="0" defaultRowHeight="14" zeroHeight="1" x14ac:dyDescent="0.3"/>
  <cols>
    <col min="1" max="1" width="0.81640625" style="690" customWidth="1"/>
    <col min="2" max="2" width="0.54296875" style="690" customWidth="1"/>
    <col min="3" max="3" width="5.26953125" style="690" customWidth="1"/>
    <col min="4" max="4" width="3.26953125" style="690" customWidth="1"/>
    <col min="5" max="5" width="4.26953125" style="690" customWidth="1"/>
    <col min="6" max="6" width="33.26953125" style="690" customWidth="1"/>
    <col min="7" max="7" width="5.81640625" style="690" customWidth="1"/>
    <col min="8" max="8" width="18.54296875" style="690" customWidth="1"/>
    <col min="9" max="9" width="16.453125" style="690" customWidth="1"/>
    <col min="10" max="10" width="3.81640625" style="690" customWidth="1"/>
    <col min="11" max="11" width="14.54296875" style="690" customWidth="1"/>
    <col min="12" max="12" width="4" style="690" customWidth="1"/>
    <col min="13" max="13" width="25.26953125" style="690" customWidth="1"/>
    <col min="14" max="14" width="11.453125" style="690" customWidth="1"/>
    <col min="15" max="15" width="9.81640625" style="690" customWidth="1"/>
    <col min="16" max="16" width="13.54296875" style="690" customWidth="1"/>
    <col min="17" max="17" width="5.453125" style="691" customWidth="1"/>
    <col min="18" max="18" width="6.26953125" style="690" hidden="1" customWidth="1"/>
    <col min="19" max="19" width="5" style="690" hidden="1" customWidth="1"/>
    <col min="20" max="20" width="9.54296875" style="690" hidden="1" customWidth="1"/>
    <col min="21" max="21" width="5.26953125" style="690" hidden="1" customWidth="1"/>
    <col min="22" max="22" width="4.54296875" style="690" hidden="1" customWidth="1"/>
    <col min="23" max="23" width="2.81640625" style="690" hidden="1" customWidth="1"/>
    <col min="24" max="24" width="0" style="690" hidden="1" customWidth="1"/>
    <col min="25" max="25" width="5.81640625" style="690" hidden="1" customWidth="1"/>
    <col min="26" max="26" width="7.1796875" style="690" hidden="1" customWidth="1"/>
    <col min="27" max="27" width="26.54296875" style="690" hidden="1" customWidth="1"/>
    <col min="28" max="29" width="0" style="690" hidden="1" customWidth="1"/>
    <col min="30" max="30" width="27.1796875" style="690" hidden="1" customWidth="1"/>
    <col min="31" max="35" width="0" style="690" hidden="1" customWidth="1"/>
    <col min="36" max="36" width="0" style="692" hidden="1" customWidth="1"/>
    <col min="37" max="38" width="0" style="690" hidden="1" customWidth="1"/>
    <col min="39" max="39" width="0" style="691" hidden="1" customWidth="1"/>
    <col min="40" max="46" width="0" style="690" hidden="1" customWidth="1"/>
    <col min="47" max="47" width="0" style="692" hidden="1" customWidth="1"/>
    <col min="48" max="49" width="0" style="690" hidden="1" customWidth="1"/>
    <col min="50" max="50" width="47.453125" style="693" hidden="1" customWidth="1"/>
    <col min="51" max="16384" width="0" style="690" hidden="1"/>
  </cols>
  <sheetData>
    <row r="1" spans="1:60" s="143" customFormat="1" ht="45" customHeight="1" thickTop="1" thickBot="1" x14ac:dyDescent="0.35">
      <c r="B1" s="288"/>
      <c r="C1" s="138">
        <f ca="1">IF(OR(C71=0,R15=0),0,1)</f>
        <v>1</v>
      </c>
      <c r="D1" s="175"/>
      <c r="E1" s="176"/>
      <c r="F1" s="176"/>
      <c r="G1" s="176"/>
      <c r="H1" s="176"/>
      <c r="I1" s="176"/>
      <c r="J1" s="176"/>
      <c r="K1" s="176"/>
      <c r="L1" s="176"/>
      <c r="M1" s="177"/>
      <c r="N1" s="1838"/>
      <c r="O1" s="1839"/>
      <c r="P1" s="140"/>
      <c r="Q1" s="140"/>
      <c r="R1" s="140"/>
      <c r="S1" s="140"/>
      <c r="T1" s="140"/>
      <c r="U1" s="143">
        <f ca="1">IF(G36="Yes",H23+H36,H23)</f>
        <v>74.215916129619046</v>
      </c>
      <c r="V1" s="140"/>
      <c r="W1" s="140"/>
      <c r="X1" s="140"/>
      <c r="Y1" s="140"/>
      <c r="Z1" s="140"/>
      <c r="AA1" s="655" t="s">
        <v>401</v>
      </c>
      <c r="AB1" s="140"/>
      <c r="AM1" s="219"/>
    </row>
    <row r="2" spans="1:60" s="142" customFormat="1" ht="18.5" thickBot="1" x14ac:dyDescent="0.45">
      <c r="A2" s="143"/>
      <c r="B2" s="289"/>
      <c r="C2" s="477" t="s">
        <v>111</v>
      </c>
      <c r="D2" s="6"/>
      <c r="E2" s="436" t="s">
        <v>170</v>
      </c>
      <c r="F2" s="178"/>
      <c r="G2" s="317" t="s">
        <v>278</v>
      </c>
      <c r="H2" s="1847" t="s">
        <v>527</v>
      </c>
      <c r="I2" s="1848"/>
      <c r="J2" s="441"/>
      <c r="K2" s="1836" t="s">
        <v>412</v>
      </c>
      <c r="L2" s="1836"/>
      <c r="M2" s="1837"/>
      <c r="N2" s="141">
        <f>IF(N1="takafulshariahamana",1,0)</f>
        <v>0</v>
      </c>
      <c r="O2" s="142">
        <f>IF(AND(M8=Administration!C10,H9=Administration!C23),0,1)</f>
        <v>1</v>
      </c>
      <c r="Q2" s="143">
        <f>IF(M8=Administration!C10,0,1)</f>
        <v>1</v>
      </c>
      <c r="R2" s="143">
        <f>IF(H9=Administration!C23,1,0)</f>
        <v>0</v>
      </c>
      <c r="S2" s="143">
        <f>IF(AND(Rates!D63="Yes",H11="Chinese"),1,IF(AND('MC-Working'!H11="Chinese",'MC-Working'!H8&lt;&gt;Administration!C14),0,1))</f>
        <v>1</v>
      </c>
      <c r="T2" s="143">
        <f>O2+Q2+R2</f>
        <v>2</v>
      </c>
      <c r="U2" s="460">
        <f>IF(OR(Z15=0,T2=3,Z2=0),0,1)*Q15*V2*S2</f>
        <v>1</v>
      </c>
      <c r="V2" s="460">
        <f>IF(H13="",0,1)</f>
        <v>1</v>
      </c>
      <c r="W2" s="143">
        <f>IF(M8="Trade Plate",X2,1)</f>
        <v>1</v>
      </c>
      <c r="X2" s="143">
        <f>IF(H9=Administration!C20,1,0)</f>
        <v>1</v>
      </c>
      <c r="Y2" s="143">
        <f>IF(M8="Trade Plate",0,1)</f>
        <v>1</v>
      </c>
      <c r="Z2" s="461">
        <f>IF(Rates!D50="Yes",1,IF(AND(H9=Administration!C22,OR(M8=Administration!C13,M8=Administration!C14)),0,1))</f>
        <v>1</v>
      </c>
      <c r="AA2" s="143">
        <f>IF(OR(H9=Administration!C22,H9=Administration!C23),0,1)</f>
        <v>1</v>
      </c>
      <c r="AB2" s="143"/>
      <c r="AC2" s="143"/>
      <c r="AD2" s="143"/>
      <c r="AE2" s="143"/>
      <c r="AF2" s="143"/>
      <c r="AG2" s="143"/>
      <c r="AH2" s="143"/>
      <c r="AI2" s="143"/>
      <c r="AJ2" s="143"/>
      <c r="AK2" s="143"/>
      <c r="AL2" s="143"/>
      <c r="AM2" s="143"/>
      <c r="AN2" s="143"/>
      <c r="AO2" s="143"/>
      <c r="AP2" s="143"/>
      <c r="AQ2" s="143"/>
      <c r="AR2" s="143"/>
      <c r="AS2" s="143"/>
      <c r="AT2" s="143"/>
      <c r="AU2" s="143"/>
      <c r="AV2" s="143"/>
      <c r="AW2" s="143"/>
      <c r="AY2" s="143"/>
      <c r="AZ2" s="143"/>
      <c r="BA2" s="143"/>
      <c r="BB2" s="143"/>
      <c r="BC2" s="143"/>
      <c r="BD2" s="143"/>
      <c r="BE2" s="143"/>
      <c r="BF2" s="143"/>
      <c r="BG2" s="143"/>
      <c r="BH2" s="143"/>
    </row>
    <row r="3" spans="1:60" s="142" customFormat="1" ht="18" customHeight="1" thickBot="1" x14ac:dyDescent="0.45">
      <c r="A3" s="143"/>
      <c r="B3" s="289"/>
      <c r="C3" s="244"/>
      <c r="D3" s="391">
        <f>IF(H3="One Year",1,0)</f>
        <v>1</v>
      </c>
      <c r="E3" s="436" t="s">
        <v>297</v>
      </c>
      <c r="F3" s="178"/>
      <c r="G3" s="317" t="s">
        <v>278</v>
      </c>
      <c r="H3" s="697" t="s">
        <v>299</v>
      </c>
      <c r="I3" s="390" t="str">
        <f>IF(Calculation!S6=0,CONCATENATE("     ",Calculation!H9," Days"),IF(OR(Calculation!O6&lt;Calculation!O3,Calculation!O6&gt;=Calculation!O4),"Invalid Cover  Period",CONCATENATE("     ",Calculation!H9," Days")))</f>
        <v xml:space="preserve">     97 Days</v>
      </c>
      <c r="J3" s="390"/>
      <c r="K3" s="385"/>
      <c r="L3" s="1849" t="str">
        <f>IF(D3=0,"Charge SRCC/TC Full?","")</f>
        <v/>
      </c>
      <c r="M3" s="1850"/>
      <c r="N3" s="557">
        <f>IF(H3="One Year",1,IF('MC-Working'!H3="Short Period",Calculation!O12,Calculation!O14)*Calculation!S3*Calculation!S4*Calculation!S6*Calculation!N11)</f>
        <v>1</v>
      </c>
      <c r="O3" s="522" t="e">
        <f>IF(#REF!=Rates!J86,Rates!K86,IF(#REF!=Rates!J87,Rates!K87,IF(#REF!=Rates!J88,Rates!K88,IF(#REF!=Rates!J89,Rates!K89,IF(#REF!=Rates!J90,Rates!K90,0)))))</f>
        <v>#REF!</v>
      </c>
      <c r="P3" s="522"/>
      <c r="Q3" s="522"/>
      <c r="R3" s="522"/>
      <c r="S3" s="548"/>
      <c r="T3" s="143"/>
      <c r="U3" s="460"/>
      <c r="V3" s="460"/>
      <c r="W3" s="143"/>
      <c r="X3" s="143"/>
      <c r="Y3" s="143"/>
      <c r="Z3" s="461"/>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Y3" s="143"/>
      <c r="AZ3" s="143"/>
      <c r="BA3" s="143"/>
      <c r="BB3" s="143"/>
      <c r="BC3" s="143"/>
      <c r="BD3" s="143"/>
      <c r="BE3" s="143"/>
      <c r="BF3" s="143"/>
      <c r="BG3" s="143"/>
      <c r="BH3" s="143"/>
    </row>
    <row r="4" spans="1:60" s="142" customFormat="1" ht="0.75" hidden="1" customHeight="1" thickBot="1" x14ac:dyDescent="0.35">
      <c r="A4" s="143"/>
      <c r="B4" s="289"/>
      <c r="C4" s="244"/>
      <c r="D4" s="6"/>
      <c r="E4" s="387"/>
      <c r="F4" s="388" t="str">
        <f>IF(D3=0,"PERIOD                                       FROM","")</f>
        <v/>
      </c>
      <c r="G4" s="656">
        <v>24</v>
      </c>
      <c r="H4" s="657" t="s">
        <v>347</v>
      </c>
      <c r="I4" s="657">
        <v>2013</v>
      </c>
      <c r="J4" s="658"/>
      <c r="K4" s="390" t="str">
        <f>IF(Calculation!S3=0,"Date Error","")</f>
        <v/>
      </c>
      <c r="L4" s="1849"/>
      <c r="M4" s="1850"/>
      <c r="N4" s="558">
        <f>IF(M5="No",N3,1)</f>
        <v>1</v>
      </c>
      <c r="O4" s="522" t="s">
        <v>407</v>
      </c>
      <c r="P4" s="522" t="s">
        <v>408</v>
      </c>
      <c r="Q4" s="522"/>
      <c r="R4" s="522"/>
      <c r="S4" s="548"/>
      <c r="T4" s="548"/>
      <c r="U4" s="549"/>
      <c r="V4" s="549"/>
      <c r="W4" s="143"/>
      <c r="X4" s="143"/>
      <c r="Y4" s="143"/>
      <c r="Z4" s="461"/>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Y4" s="143"/>
      <c r="AZ4" s="143"/>
      <c r="BA4" s="143"/>
      <c r="BB4" s="143"/>
      <c r="BC4" s="143"/>
      <c r="BD4" s="143"/>
      <c r="BE4" s="143"/>
      <c r="BF4" s="143"/>
      <c r="BG4" s="143"/>
      <c r="BH4" s="143"/>
    </row>
    <row r="5" spans="1:60" s="142" customFormat="1" ht="24" hidden="1" customHeight="1" thickBot="1" x14ac:dyDescent="0.4">
      <c r="A5" s="143"/>
      <c r="B5" s="289"/>
      <c r="C5" s="244"/>
      <c r="D5" s="6"/>
      <c r="E5" s="386"/>
      <c r="F5" s="389" t="str">
        <f>IF(D3=0,"To","")</f>
        <v/>
      </c>
      <c r="G5" s="656">
        <v>28</v>
      </c>
      <c r="H5" s="657" t="s">
        <v>350</v>
      </c>
      <c r="I5" s="659">
        <v>2013</v>
      </c>
      <c r="J5" s="658"/>
      <c r="K5" s="390" t="str">
        <f>IF(Calculation!S6=0,"Date Error","")</f>
        <v/>
      </c>
      <c r="L5" s="437"/>
      <c r="M5" s="660" t="s">
        <v>76</v>
      </c>
      <c r="N5" s="558" t="str">
        <f>Rates!D81</f>
        <v>No</v>
      </c>
      <c r="O5" s="550">
        <f>H15*N7%</f>
        <v>35000</v>
      </c>
      <c r="P5" s="550">
        <f>(O5-M40-M42)/P6*100</f>
        <v>30227.272727272724</v>
      </c>
      <c r="Q5" s="522"/>
      <c r="R5" s="522"/>
      <c r="S5" s="548"/>
      <c r="T5" s="548"/>
      <c r="U5" s="549"/>
      <c r="V5" s="549"/>
      <c r="W5" s="143"/>
      <c r="X5" s="143"/>
      <c r="Y5" s="143"/>
      <c r="Z5" s="461"/>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Y5" s="143"/>
      <c r="AZ5" s="143"/>
      <c r="BA5" s="143"/>
      <c r="BB5" s="143"/>
      <c r="BC5" s="143"/>
      <c r="BD5" s="143"/>
      <c r="BE5" s="143"/>
      <c r="BF5" s="143"/>
      <c r="BG5" s="143"/>
      <c r="BH5" s="143"/>
    </row>
    <row r="6" spans="1:60" s="143" customFormat="1" ht="21.75" customHeight="1" thickTop="1" thickBot="1" x14ac:dyDescent="0.45">
      <c r="B6" s="289"/>
      <c r="C6" s="209"/>
      <c r="D6" s="6"/>
      <c r="E6" s="527" t="s">
        <v>371</v>
      </c>
      <c r="F6" s="528"/>
      <c r="G6" s="317" t="s">
        <v>395</v>
      </c>
      <c r="H6" s="696" t="s">
        <v>443</v>
      </c>
      <c r="I6" s="1857"/>
      <c r="J6" s="1858"/>
      <c r="K6" s="1859"/>
      <c r="L6" s="1855" t="str">
        <f>MC!C8</f>
        <v>to be advised</v>
      </c>
      <c r="M6" s="1856"/>
      <c r="N6" s="369" t="s">
        <v>47</v>
      </c>
      <c r="O6" s="143">
        <f>IF(AND(Rates!D79="Yes",(O57+Q57=1)),0,1)</f>
        <v>1</v>
      </c>
      <c r="P6" s="551">
        <f>IF(H9="Hiring",140,110)</f>
        <v>110</v>
      </c>
      <c r="Q6" s="495">
        <f>IF(AND(M8=Administration!C7,H9=Administration!C20),Rates!D6,R6)</f>
        <v>2.2000000000000002</v>
      </c>
      <c r="R6" s="143">
        <f>IF(AND(M8=Administration!C12,H9=Administration!C20),Rates!D12,T6)</f>
        <v>2.2000000000000002</v>
      </c>
      <c r="T6" s="143">
        <f>IF(AND(M8=Administration!C8,H9=Administration!C20),Rates!D8,U6)</f>
        <v>2.2000000000000002</v>
      </c>
      <c r="U6" s="392">
        <f>IF(M8=Administration!C9,Rates!D5,W6)</f>
        <v>2.2000000000000002</v>
      </c>
      <c r="V6" s="392"/>
      <c r="W6" s="392">
        <f>IF(M8=Administration!C10,Rates!D11,X6)</f>
        <v>2.2000000000000002</v>
      </c>
      <c r="X6" s="392">
        <f>IF(M8=Administration!C11,Rates!D10,Y6)</f>
        <v>2.2000000000000002</v>
      </c>
      <c r="Y6" s="143">
        <f>IF(AND(M8=Administration!C12,H9=Administration!C21),Rates!D13,Z6)</f>
        <v>2.2000000000000002</v>
      </c>
      <c r="Z6" s="392">
        <f>IF(M8=Administration!C13,Rates!D3,AA6)</f>
        <v>2.2000000000000002</v>
      </c>
      <c r="AA6" s="392">
        <f>IF(M8=Administration!C14,Rates!D4,AB6)</f>
        <v>2.2000000000000002</v>
      </c>
      <c r="AB6" s="143">
        <f>IF(AND(M8=Administration!C7,H9=Administration!C21),Rates!D7,AC6)</f>
        <v>0</v>
      </c>
      <c r="AC6" s="143">
        <f>IF(AND(M8=Administration!C7,H9=Administration!C22),Rates!D7,AD6)</f>
        <v>0</v>
      </c>
      <c r="AD6" s="143">
        <f>IF(AND(M8=Administration!C8,H9=Administration!C21),Rates!D9,AE6)</f>
        <v>0</v>
      </c>
      <c r="AE6" s="143">
        <f>IF(AND(M8=Administration!C8,H9=Administration!C22),Rates!D7,AF6)</f>
        <v>0</v>
      </c>
      <c r="AF6" s="143">
        <f>IF(AND(M8=Administration!C12,H9=Administration!C22),Rates!D13,AG6)</f>
        <v>0</v>
      </c>
      <c r="AG6" s="143">
        <f>IF(M8=Administration!C15,Rates!D14,AH6)</f>
        <v>0</v>
      </c>
      <c r="AH6" s="143">
        <f>IF(M8=Administration!C17,Rates!D16,AI6)</f>
        <v>0</v>
      </c>
      <c r="AI6" s="143">
        <f>IF(M8=Administration!C16,Rates!D16,0)</f>
        <v>0</v>
      </c>
      <c r="AM6" s="143" t="str">
        <f>Administration!G7</f>
        <v>Motor Car</v>
      </c>
      <c r="AP6" s="143" t="str">
        <f>Administration!I20</f>
        <v>Private Use Only</v>
      </c>
    </row>
    <row r="7" spans="1:60" s="143" customFormat="1" ht="21" thickBot="1" x14ac:dyDescent="0.5">
      <c r="B7" s="289"/>
      <c r="C7" s="209"/>
      <c r="D7" s="6"/>
      <c r="E7" s="527" t="s">
        <v>276</v>
      </c>
      <c r="F7" s="528"/>
      <c r="G7" s="317" t="s">
        <v>396</v>
      </c>
      <c r="H7" s="1860" t="str">
        <f>MC!C11</f>
        <v>to be advised</v>
      </c>
      <c r="I7" s="1861"/>
      <c r="J7" s="1861"/>
      <c r="K7" s="1862"/>
      <c r="L7" s="1863" t="str">
        <f>IF(AND(H15&gt;0,L6=""),"Enter Name","")</f>
        <v/>
      </c>
      <c r="M7" s="1864"/>
      <c r="N7" s="455">
        <f>IF(M12="Below 250cc",5,10)</f>
        <v>5</v>
      </c>
      <c r="P7" s="496"/>
      <c r="Q7" s="142">
        <f>Q6*U2</f>
        <v>2.2000000000000002</v>
      </c>
      <c r="R7" s="142"/>
      <c r="S7" s="142"/>
      <c r="T7" s="142" t="str">
        <f>Administration!C20</f>
        <v>Private Use Only</v>
      </c>
      <c r="U7" s="463" t="str">
        <f>Administration!C21</f>
        <v>Hiring</v>
      </c>
      <c r="V7" s="463"/>
      <c r="W7" s="142" t="str">
        <f>Administration!C22</f>
        <v>Rent A Vehicle</v>
      </c>
      <c r="X7" s="142">
        <f>IF(M8=Administration!C10,Administration!C23,0)</f>
        <v>0</v>
      </c>
      <c r="Y7" s="142"/>
      <c r="Z7" s="464"/>
      <c r="AA7" s="142"/>
      <c r="AM7" s="143" t="str">
        <f>Administration!G8</f>
        <v>Jeep</v>
      </c>
      <c r="AP7" s="143" t="str">
        <f>Administration!I21</f>
        <v>Hiring</v>
      </c>
    </row>
    <row r="8" spans="1:60" s="143" customFormat="1" ht="21.75" customHeight="1" thickBot="1" x14ac:dyDescent="0.45">
      <c r="B8" s="289"/>
      <c r="C8" s="137"/>
      <c r="D8" s="6"/>
      <c r="E8" s="527" t="s">
        <v>372</v>
      </c>
      <c r="F8" s="529"/>
      <c r="G8" s="317" t="s">
        <v>395</v>
      </c>
      <c r="H8" s="1851" t="s">
        <v>357</v>
      </c>
      <c r="I8" s="1852"/>
      <c r="J8" s="479"/>
      <c r="K8" s="661">
        <v>1.2500000000000001E-2</v>
      </c>
      <c r="L8" s="23" t="str">
        <f>Administration!C11</f>
        <v>Motor Lorry</v>
      </c>
      <c r="M8" s="499" t="str">
        <f>IF(AND(H8=Administration!C14,'MC-Working'!H11="Chinese"),Administration!C13,IF(AND(H8=Administration!C11,'MC-Working'!H11="Chinese"),Administration!C16,'MC-Working'!H8))</f>
        <v>Motor Cycle</v>
      </c>
      <c r="N8" s="363">
        <f>IF(AND(H12="hybrid",H14="No",Rates!D75="Yes",B12="individual"),Rates!F75,0)</f>
        <v>0</v>
      </c>
      <c r="O8" s="229">
        <f>IF(H9="",0,1)</f>
        <v>1</v>
      </c>
      <c r="P8" s="229"/>
      <c r="Q8" s="229"/>
      <c r="R8" s="229"/>
      <c r="S8" s="229"/>
      <c r="T8" s="229"/>
      <c r="U8" s="465"/>
      <c r="V8" s="465"/>
      <c r="W8" s="143">
        <f>IF(O11=1,U11,U8)</f>
        <v>0</v>
      </c>
      <c r="Z8" s="230"/>
      <c r="AM8" s="143" t="str">
        <f>Administration!G9</f>
        <v>Dual Purpose</v>
      </c>
      <c r="AP8" s="143" t="str">
        <f>Administration!I22</f>
        <v>Rent A Vehicle</v>
      </c>
      <c r="AU8" s="143">
        <v>1970</v>
      </c>
    </row>
    <row r="9" spans="1:60" s="143" customFormat="1" ht="16.5" customHeight="1" thickBot="1" x14ac:dyDescent="0.45">
      <c r="B9" s="289"/>
      <c r="C9" s="137"/>
      <c r="D9" s="6"/>
      <c r="E9" s="527" t="s">
        <v>33</v>
      </c>
      <c r="F9" s="529"/>
      <c r="G9" s="317" t="s">
        <v>395</v>
      </c>
      <c r="H9" s="1820" t="s">
        <v>319</v>
      </c>
      <c r="I9" s="1821"/>
      <c r="J9" s="480"/>
      <c r="K9" s="1853" t="str">
        <f>IF(OR(T2=3,W2=0),"ERROR",IF(O8=0,"&lt;= Select Usage of Vehicle",IF(Z2=0,"NOT ALLOWED","")))</f>
        <v/>
      </c>
      <c r="L9" s="1853"/>
      <c r="M9" s="1854"/>
      <c r="N9" s="363"/>
      <c r="O9" s="229"/>
      <c r="P9" s="229"/>
      <c r="Q9" s="229"/>
      <c r="R9" s="229"/>
      <c r="S9" s="229"/>
      <c r="T9" s="229"/>
      <c r="U9" s="465"/>
      <c r="V9" s="465"/>
      <c r="Z9" s="230"/>
      <c r="AM9" s="143" t="str">
        <f>Administration!G10</f>
        <v>Motor Coach</v>
      </c>
      <c r="AP9" s="143" t="str">
        <f>Administration!I23</f>
        <v xml:space="preserve">SLTB Route </v>
      </c>
      <c r="AU9" s="143">
        <f t="shared" ref="AU9:AU14" si="0">AU8+1</f>
        <v>1971</v>
      </c>
    </row>
    <row r="10" spans="1:60" s="143" customFormat="1" ht="18.5" thickBot="1" x14ac:dyDescent="0.45">
      <c r="B10" s="289"/>
      <c r="C10" s="137"/>
      <c r="D10" s="6"/>
      <c r="E10" s="1828" t="s">
        <v>106</v>
      </c>
      <c r="F10" s="1828"/>
      <c r="G10" s="317" t="s">
        <v>396</v>
      </c>
      <c r="H10" s="1824" t="str">
        <f>MC!P8</f>
        <v>OTHER</v>
      </c>
      <c r="I10" s="1825"/>
      <c r="J10" s="480"/>
      <c r="K10" s="303" t="s">
        <v>376</v>
      </c>
      <c r="L10" s="1845" t="str">
        <f>MC!P11</f>
        <v>TO BE ADVISED</v>
      </c>
      <c r="M10" s="1846"/>
      <c r="N10" s="286"/>
      <c r="O10" s="229"/>
      <c r="P10" s="229"/>
      <c r="Q10" s="229"/>
      <c r="R10" s="229"/>
      <c r="S10" s="229"/>
      <c r="T10" s="229"/>
      <c r="U10" s="466"/>
      <c r="V10" s="466"/>
      <c r="Z10" s="230"/>
      <c r="AM10" s="143" t="str">
        <f>Administration!G11</f>
        <v>Motor Lorry</v>
      </c>
      <c r="AP10" s="143" t="str">
        <f>Administration!I24</f>
        <v/>
      </c>
      <c r="AU10" s="143">
        <f t="shared" si="0"/>
        <v>1972</v>
      </c>
    </row>
    <row r="11" spans="1:60" s="143" customFormat="1" ht="20.25" customHeight="1" thickBot="1" x14ac:dyDescent="0.45">
      <c r="B11" s="289"/>
      <c r="C11" s="137"/>
      <c r="D11" s="6"/>
      <c r="E11" s="530" t="s">
        <v>373</v>
      </c>
      <c r="F11" s="531"/>
      <c r="G11" s="317" t="s">
        <v>395</v>
      </c>
      <c r="H11" s="1865" t="str">
        <f>MC!P9</f>
        <v>INDIA</v>
      </c>
      <c r="I11" s="1866"/>
      <c r="J11" s="1840" t="s">
        <v>447</v>
      </c>
      <c r="K11" s="1841"/>
      <c r="L11" s="1842"/>
      <c r="M11" s="497" t="str">
        <f>IF(J11="","&lt;= Enter Field","")</f>
        <v/>
      </c>
      <c r="N11" s="362"/>
      <c r="O11" s="229">
        <f>IF(OR(L10="",L6="",H11="",H12="",H13="",H14="",K14="",L13="",J11="",K14=0,AND(O6=0,N16=0)),0,1)</f>
        <v>1</v>
      </c>
      <c r="P11" s="229"/>
      <c r="Q11" s="229"/>
      <c r="R11" s="229"/>
      <c r="S11" s="229"/>
      <c r="T11" s="229"/>
      <c r="U11" s="393"/>
      <c r="V11" s="393"/>
      <c r="Z11" s="230"/>
      <c r="AM11" s="143" t="str">
        <f>Administration!G12</f>
        <v>Three Wheeler</v>
      </c>
      <c r="AU11" s="143">
        <f t="shared" si="0"/>
        <v>1973</v>
      </c>
    </row>
    <row r="12" spans="1:60" s="143" customFormat="1" ht="18.5" thickBot="1" x14ac:dyDescent="0.45">
      <c r="B12" s="289"/>
      <c r="C12" s="137" t="str">
        <f>IF(H12="Petrol (non hybrid)","Petrol",IF(H12="Diesel (non hybrid)","Diesel",IF(H12="Hybrid","Hybrid","Electric")))</f>
        <v>Petrol</v>
      </c>
      <c r="D12" s="6"/>
      <c r="E12" s="530" t="s">
        <v>353</v>
      </c>
      <c r="F12" s="531"/>
      <c r="G12" s="317" t="s">
        <v>395</v>
      </c>
      <c r="H12" s="1869" t="s">
        <v>448</v>
      </c>
      <c r="I12" s="1870"/>
      <c r="J12" s="1834" t="str">
        <f>IF(H8="Motor Cycle","Important --&gt;","")</f>
        <v>Important --&gt;</v>
      </c>
      <c r="K12" s="1835"/>
      <c r="L12" s="1835"/>
      <c r="M12" s="662" t="str">
        <f>MC!R10</f>
        <v>Below 250cc</v>
      </c>
      <c r="N12" s="363"/>
      <c r="O12" s="229"/>
      <c r="P12" s="229"/>
      <c r="Q12" s="143">
        <f>IF(M8=Administration!C7,Rates!F6,IF(M8=Administration!C8,Rates!F8,IF(M8=Administration!C9,Rates!F5,IF(M8=Administration!C10,Rates!F11,IF(M8=Administration!C13,Rates!F3,IF(M8=Administration!C14,Rates!F4,IF(M8=Administration!C11,Rates!F10,IF(M8=Administration!C12,Rates!F12,R12))))))))</f>
        <v>2</v>
      </c>
      <c r="R12" s="143">
        <f>IF(M8=Administration!C15,Rates!F14,IF(M8=Administration!C17,Rates!F17,IF(M8=Administration!C19,Rates!F15,IF(M8=Administration!C16,Rates!F16,0))))</f>
        <v>0</v>
      </c>
      <c r="T12" s="143">
        <f>IF(L13&gt;Q12,Q12,L13)</f>
        <v>2</v>
      </c>
      <c r="U12" s="231"/>
      <c r="V12" s="231"/>
      <c r="Z12" s="230"/>
      <c r="AM12" s="143" t="str">
        <f>Administration!G14</f>
        <v>Motor Cycle</v>
      </c>
      <c r="AU12" s="143">
        <f>AU11+1</f>
        <v>1974</v>
      </c>
    </row>
    <row r="13" spans="1:60" s="143" customFormat="1" ht="18.5" thickBot="1" x14ac:dyDescent="0.45">
      <c r="B13" s="289"/>
      <c r="C13" s="137"/>
      <c r="D13" s="6"/>
      <c r="E13" s="527" t="s">
        <v>277</v>
      </c>
      <c r="F13" s="106"/>
      <c r="G13" s="317" t="s">
        <v>395</v>
      </c>
      <c r="H13" s="695">
        <f>MC!P13</f>
        <v>2021</v>
      </c>
      <c r="I13" s="1814" t="str">
        <f>IF(H13="","     Enter Year of Make",IF(Z15=0,CONCATENATE("     Vehicles Above ", Administration!F29," Yrs Not Covered"),""))</f>
        <v/>
      </c>
      <c r="J13" s="1794"/>
      <c r="K13" s="1794"/>
      <c r="L13" s="644">
        <v>2</v>
      </c>
      <c r="M13" s="438" t="str">
        <f>IF(OR(L13="",L13=0),"Enter No. of Seats",IF(L13&gt;Q12,CONCATENATE("Max.",Q12," Seats Allowed"),"No.of Seats"))</f>
        <v>No.of Seats</v>
      </c>
      <c r="N13" s="363"/>
      <c r="O13" s="229"/>
      <c r="P13" s="229"/>
      <c r="U13" s="231"/>
      <c r="V13" s="231"/>
      <c r="Z13" s="230"/>
      <c r="AM13" s="143" t="str">
        <f>Administration!G15</f>
        <v>Tractor</v>
      </c>
      <c r="AU13" s="143">
        <f t="shared" si="0"/>
        <v>1975</v>
      </c>
    </row>
    <row r="14" spans="1:60" s="143" customFormat="1" ht="18.5" thickBot="1" x14ac:dyDescent="0.45">
      <c r="B14" s="289"/>
      <c r="C14" s="137"/>
      <c r="D14" s="6"/>
      <c r="E14" s="527" t="s">
        <v>370</v>
      </c>
      <c r="F14" s="531"/>
      <c r="G14" s="317" t="s">
        <v>395</v>
      </c>
      <c r="H14" s="663" t="str">
        <f>IF(MC!C13="Not Applicable","No","Yes")</f>
        <v>Yes</v>
      </c>
      <c r="I14" s="1843" t="str">
        <f>IF(H14="Yes","NAME OF CO.","")</f>
        <v>NAME OF CO.</v>
      </c>
      <c r="J14" s="1844"/>
      <c r="K14" s="1867" t="str">
        <f>MC!C13</f>
        <v>RICHARD PIERIS FINANCE</v>
      </c>
      <c r="L14" s="1867"/>
      <c r="M14" s="1868"/>
      <c r="N14" s="363"/>
      <c r="O14" s="229"/>
      <c r="P14" s="229"/>
      <c r="T14" s="394"/>
      <c r="X14" s="232" t="s">
        <v>218</v>
      </c>
      <c r="Z14" s="230"/>
      <c r="AM14" s="143" t="str">
        <f>Administration!G13</f>
        <v>Motor Cycle (Chinese)</v>
      </c>
      <c r="AU14" s="143">
        <f t="shared" si="0"/>
        <v>1976</v>
      </c>
    </row>
    <row r="15" spans="1:60" s="143" customFormat="1" ht="23.25" customHeight="1" thickBot="1" x14ac:dyDescent="0.45">
      <c r="B15" s="289"/>
      <c r="C15" s="137"/>
      <c r="D15" s="6"/>
      <c r="E15" s="1833" t="str">
        <f>IF(H15&gt;Rates!B27,"SUM COVERED - Above Retention","SUM COVERED"                                    )</f>
        <v>SUM COVERED</v>
      </c>
      <c r="F15" s="1833"/>
      <c r="G15" s="317" t="s">
        <v>395</v>
      </c>
      <c r="H15" s="1822">
        <f>MC!Q16</f>
        <v>700000</v>
      </c>
      <c r="I15" s="1823"/>
      <c r="J15" s="664"/>
      <c r="K15" s="526" t="str">
        <f>IF(AND(Rates!D63="Yes",H11="Chinese"),"N.B.- Chinese Vehicle",IF(AND(H11="Chinese",H8&lt;&gt;Administration!C14),"Chinese Vehicles NOT covered",IF(Q15=0,"EXCEED AUTHORIZED LIMIT","")))</f>
        <v/>
      </c>
      <c r="L15" s="434"/>
      <c r="M15" s="698" t="str">
        <f>IF(MC!B13=1,MC!T13,"")</f>
        <v/>
      </c>
      <c r="N15" s="299"/>
      <c r="O15" s="300">
        <f>IF(T47=0,Rates!B25,Rates!B24)</f>
        <v>2000000</v>
      </c>
      <c r="P15" s="300"/>
      <c r="Q15" s="143">
        <f>IF(H15&gt;O15,0,1)</f>
        <v>1</v>
      </c>
      <c r="R15" s="143">
        <f>IF(AND(H15&gt;0,O11&gt;0,O8=1),1,0)</f>
        <v>1</v>
      </c>
      <c r="T15" s="394"/>
      <c r="X15" s="232">
        <f ca="1">YEAR(F71)</f>
        <v>2024</v>
      </c>
      <c r="Y15" s="143">
        <f ca="1">X15-H13</f>
        <v>3</v>
      </c>
      <c r="Z15" s="301">
        <f>IF(Rates!D52="Yes",1,IF(Y15&gt;Administration!F29,0,1))</f>
        <v>1</v>
      </c>
      <c r="AM15" s="143" t="str">
        <f>Administration!G16</f>
        <v>Motor Lorry (Chinese)</v>
      </c>
      <c r="AU15" s="143">
        <f t="shared" ref="AU15:AU36" si="1">AU14+1</f>
        <v>1977</v>
      </c>
    </row>
    <row r="16" spans="1:60" s="143" customFormat="1" ht="16.5" customHeight="1" thickTop="1" thickBot="1" x14ac:dyDescent="0.35">
      <c r="B16" s="289"/>
      <c r="C16" s="137"/>
      <c r="D16" s="435"/>
      <c r="E16" s="1826" t="str">
        <f ca="1">IF('MC-Working'!$C$71=0,"This Quotation system is not valid anymore",IF(C68-F71&lt;14,CONCATENATE("This quotation shall expire within ",C68-F71," days"),IF(AND(Rates!D79="No",O16=1,H14="No",(O57+Q57=1)),"Should Obtain 3 Tier Quotation","")))</f>
        <v/>
      </c>
      <c r="F16" s="1826"/>
      <c r="G16" s="1826"/>
      <c r="H16" s="1826"/>
      <c r="I16" s="1829" t="str">
        <f>IF(N16=0,"Please Get 3 Tier Quotation",IF(H8="","Enter Vehicle Type",IF(H9="","Enter Vehicle Usage",IF(H11="","Enter Vehicle Country of Make",IF(H12="","Enter Fuel Type",IF(H13="","Enter Year of Make",IF(H14="","Enter Lease Status",IF(L6="","Enter Proposer 2nd Name",""))))))))</f>
        <v/>
      </c>
      <c r="J16" s="1829"/>
      <c r="K16" s="1829"/>
      <c r="L16" s="1829"/>
      <c r="M16" s="1830"/>
      <c r="N16" s="235">
        <f>IF(AND(O6=0,O16=1,H14="No"),0,1)</f>
        <v>1</v>
      </c>
      <c r="O16" s="229">
        <f>IF(H11="Chinese",0,1)</f>
        <v>1</v>
      </c>
      <c r="P16" s="229"/>
      <c r="R16" s="231"/>
      <c r="S16" s="231"/>
      <c r="T16" s="394"/>
      <c r="Z16" s="230"/>
      <c r="AA16" s="140"/>
      <c r="AB16" s="140"/>
      <c r="AC16" s="140"/>
      <c r="AD16" s="140"/>
      <c r="AM16" s="143" t="str">
        <f>Administration!G17</f>
        <v>Others</v>
      </c>
      <c r="AU16" s="143">
        <f t="shared" si="1"/>
        <v>1978</v>
      </c>
    </row>
    <row r="17" spans="2:50" s="143" customFormat="1" ht="15" customHeight="1" thickTop="1" thickBot="1" x14ac:dyDescent="0.35">
      <c r="B17" s="289"/>
      <c r="C17" s="137"/>
      <c r="D17" s="6"/>
      <c r="E17" s="1827"/>
      <c r="F17" s="1827"/>
      <c r="G17" s="1827"/>
      <c r="H17" s="1827"/>
      <c r="I17" s="1831"/>
      <c r="J17" s="1831"/>
      <c r="K17" s="1831"/>
      <c r="L17" s="1831"/>
      <c r="M17" s="1832"/>
      <c r="N17" s="181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06"/>
      <c r="P17" s="229"/>
      <c r="R17" s="231"/>
      <c r="S17" s="231"/>
      <c r="T17" s="394"/>
      <c r="Z17" s="230"/>
      <c r="AM17" s="143">
        <f>Administration!G19</f>
        <v>0</v>
      </c>
      <c r="AU17" s="143">
        <f t="shared" si="1"/>
        <v>1979</v>
      </c>
    </row>
    <row r="18" spans="2:50" s="143" customFormat="1" ht="15" customHeight="1" thickBot="1" x14ac:dyDescent="0.35">
      <c r="B18" s="289"/>
      <c r="C18" s="137"/>
      <c r="D18" s="6"/>
      <c r="E18" s="447" t="s">
        <v>263</v>
      </c>
      <c r="F18" s="9"/>
      <c r="G18" s="9"/>
      <c r="H18" s="498"/>
      <c r="I18" s="564">
        <f>IF(K14=F114,1000,0)</f>
        <v>0</v>
      </c>
      <c r="J18" s="498"/>
      <c r="K18" s="9"/>
      <c r="L18" s="9"/>
      <c r="M18" s="194"/>
      <c r="N18" s="1816"/>
      <c r="O18" s="1808"/>
      <c r="P18" s="229"/>
      <c r="R18" s="231"/>
      <c r="S18" s="231"/>
      <c r="T18" s="394"/>
      <c r="Z18" s="230"/>
      <c r="AU18" s="143">
        <f t="shared" si="1"/>
        <v>1980</v>
      </c>
    </row>
    <row r="19" spans="2:50" s="143" customFormat="1" ht="15.5" thickBot="1" x14ac:dyDescent="0.35">
      <c r="B19" s="289"/>
      <c r="C19" s="137"/>
      <c r="D19" s="6"/>
      <c r="E19" s="339" t="s">
        <v>374</v>
      </c>
      <c r="F19" s="179"/>
      <c r="G19" s="179"/>
      <c r="H19" s="304"/>
      <c r="I19" s="188"/>
      <c r="J19" s="188"/>
      <c r="K19" s="9"/>
      <c r="L19" s="501">
        <v>0</v>
      </c>
      <c r="M19" s="195">
        <f ca="1">IF(AND($C$2="Yes",L19=1),N19*C71,(H15*N7%*R15*C71))*N3</f>
        <v>35000</v>
      </c>
      <c r="N19" s="236">
        <v>0</v>
      </c>
      <c r="O19" s="229"/>
      <c r="P19" s="229"/>
      <c r="Q19" s="467">
        <v>0.01</v>
      </c>
      <c r="R19" s="231"/>
      <c r="S19" s="588"/>
      <c r="T19" s="620"/>
      <c r="U19" s="588"/>
      <c r="V19" s="588"/>
      <c r="W19" s="560"/>
      <c r="X19" s="560"/>
      <c r="Y19" s="560"/>
      <c r="Z19" s="621"/>
      <c r="AA19" s="560"/>
      <c r="AU19" s="143">
        <f t="shared" si="1"/>
        <v>1981</v>
      </c>
    </row>
    <row r="20" spans="2:50" s="143" customFormat="1" ht="16" customHeight="1" thickBot="1" x14ac:dyDescent="0.35">
      <c r="B20" s="289"/>
      <c r="C20" s="137"/>
      <c r="D20" s="321" t="s">
        <v>280</v>
      </c>
      <c r="E20" s="342" t="s">
        <v>10</v>
      </c>
      <c r="F20" s="267" t="s">
        <v>163</v>
      </c>
      <c r="G20" s="267"/>
      <c r="H20" s="559"/>
      <c r="I20" s="188"/>
      <c r="J20" s="188"/>
      <c r="K20" s="9"/>
      <c r="L20" s="501">
        <v>0</v>
      </c>
      <c r="M20" s="196">
        <f ca="1">IF(AND($C$2="Yes",L20=1),N20,(M19*H20%))</f>
        <v>0</v>
      </c>
      <c r="N20" s="236">
        <v>0</v>
      </c>
      <c r="O20" s="229"/>
      <c r="P20" s="229"/>
      <c r="Q20" s="467"/>
      <c r="R20" s="231"/>
      <c r="S20" s="588"/>
      <c r="T20" s="620"/>
      <c r="U20" s="588"/>
      <c r="V20" s="588"/>
      <c r="W20" s="560"/>
      <c r="X20" s="560"/>
      <c r="Y20" s="560"/>
      <c r="Z20" s="621"/>
      <c r="AA20" s="560"/>
      <c r="AM20" s="219"/>
      <c r="AU20" s="143">
        <f t="shared" si="1"/>
        <v>1982</v>
      </c>
    </row>
    <row r="21" spans="2:50" s="143" customFormat="1" ht="16" customHeight="1" thickBot="1" x14ac:dyDescent="0.45">
      <c r="B21" s="665" t="str">
        <f>IF(C21=0,"No",IF(C21=1,"Yes","Free"))</f>
        <v>Free</v>
      </c>
      <c r="C21" s="426">
        <f>IF(H14="Yes",2,0)</f>
        <v>2</v>
      </c>
      <c r="D21" s="321" t="s">
        <v>280</v>
      </c>
      <c r="E21" s="342" t="s">
        <v>10</v>
      </c>
      <c r="F21" s="267" t="s">
        <v>12</v>
      </c>
      <c r="G21" s="267"/>
      <c r="H21" s="200" t="str">
        <f>IF(B21="Free","Free",IF(B21="Yes","Charged",""))</f>
        <v>Free</v>
      </c>
      <c r="I21" s="188"/>
      <c r="J21" s="188"/>
      <c r="K21" s="9"/>
      <c r="L21" s="203"/>
      <c r="M21" s="189">
        <f ca="1">M19*Rates!K13%*Q21</f>
        <v>0</v>
      </c>
      <c r="N21" s="236"/>
      <c r="Q21" s="143">
        <f>IF(B21="Yes",1,0)</f>
        <v>0</v>
      </c>
      <c r="R21" s="395"/>
      <c r="S21" s="622"/>
      <c r="T21" s="588"/>
      <c r="U21" s="588"/>
      <c r="V21" s="588"/>
      <c r="W21" s="592"/>
      <c r="X21" s="592"/>
      <c r="Y21" s="592"/>
      <c r="Z21" s="592"/>
      <c r="AA21" s="592"/>
      <c r="AM21" s="219"/>
      <c r="AU21" s="143">
        <f t="shared" si="1"/>
        <v>1983</v>
      </c>
    </row>
    <row r="22" spans="2:50" s="143" customFormat="1" ht="16" customHeight="1" thickBot="1" x14ac:dyDescent="0.35">
      <c r="B22" s="5"/>
      <c r="C22" s="138"/>
      <c r="D22" s="321" t="s">
        <v>280</v>
      </c>
      <c r="E22" s="342" t="s">
        <v>10</v>
      </c>
      <c r="F22" s="267" t="s">
        <v>2</v>
      </c>
      <c r="G22" s="267"/>
      <c r="H22" s="604">
        <v>0</v>
      </c>
      <c r="I22" s="424">
        <f>IF(AND($C$2="Yes",L22=1),K22,H22)</f>
        <v>0</v>
      </c>
      <c r="J22" s="442"/>
      <c r="K22" s="666">
        <v>10000</v>
      </c>
      <c r="L22" s="501">
        <v>0</v>
      </c>
      <c r="M22" s="197">
        <f>IF(AND($C$2="Yes",L22=1),N22,-IF(I22=2000,MIN(Rates!K38/100*M19,Rates!J38),IF(I22=5000,MIN(Rates!J39,Rates!K39/100*M19),IF(I22=10000,MIN(Rates!K40/100*M19,Rates!J40)))))</f>
        <v>0</v>
      </c>
      <c r="N22" s="236">
        <v>0</v>
      </c>
      <c r="O22" s="233">
        <f>IF(I22&gt;0,1,0)</f>
        <v>0</v>
      </c>
      <c r="P22" s="233"/>
      <c r="Q22" s="468"/>
      <c r="R22" s="231"/>
      <c r="S22" s="588"/>
      <c r="T22" s="588"/>
      <c r="U22" s="588"/>
      <c r="V22" s="588"/>
      <c r="W22" s="623"/>
      <c r="X22" s="592"/>
      <c r="Y22" s="592"/>
      <c r="Z22" s="624">
        <f ca="1">M35+M36</f>
        <v>9024.4293546333356</v>
      </c>
      <c r="AA22" s="592"/>
      <c r="AM22" s="219"/>
      <c r="AU22" s="143">
        <f t="shared" si="1"/>
        <v>1984</v>
      </c>
    </row>
    <row r="23" spans="2:50" s="143" customFormat="1" ht="16" customHeight="1" thickBot="1" x14ac:dyDescent="0.45">
      <c r="B23" s="5"/>
      <c r="C23" s="138"/>
      <c r="D23" s="321" t="s">
        <v>280</v>
      </c>
      <c r="E23" s="342" t="s">
        <v>10</v>
      </c>
      <c r="F23" s="1494" t="str">
        <f ca="1">IF(M23&gt;0,"Policy Loading","Multiple Rebate")</f>
        <v>Multiple Rebate</v>
      </c>
      <c r="G23" s="1424">
        <f ca="1">733.33/M19</f>
        <v>2.0952285714285715E-2</v>
      </c>
      <c r="H23" s="1469">
        <f ca="1">-M23/M19*100</f>
        <v>74.215916129619046</v>
      </c>
      <c r="I23" s="1790" t="str">
        <f ca="1">IF(AND(U23=0,M23&lt;0),"   (Special Rebate Allowed)",IF(U23=0,"   (Rebate Not Allowed)",IF(AND(H12="Hybrid",M23&lt;0),"N.B:- Hybrid Vehicle",IF(AND(H11="Korean",M23&lt;0),"N.B:- Korean Vehicle",""))))</f>
        <v/>
      </c>
      <c r="J23" s="1791"/>
      <c r="K23" s="1791"/>
      <c r="L23" s="1791"/>
      <c r="M23" s="193">
        <f ca="1">M24-M19</f>
        <v>-25975.570645366664</v>
      </c>
      <c r="N23" s="236">
        <v>0</v>
      </c>
      <c r="O23" s="667">
        <v>0</v>
      </c>
      <c r="P23" s="494">
        <f ca="1">IF(M23&lt;0,1,0)</f>
        <v>1</v>
      </c>
      <c r="Q23" s="520">
        <f>Rates!C29</f>
        <v>75</v>
      </c>
      <c r="R23" s="521">
        <f>IF(AND(T47=0,Rates!C28="No"),1,0)</f>
        <v>0</v>
      </c>
      <c r="S23" s="625"/>
      <c r="T23" s="625">
        <f>IF(R23=1,0,IF(AND(H11="Chinese",Rates!D64="No"),0,IF(AND(H12="Hybrid",Rates!D76="No"),0,IF(AND(H11="Korean",Rates!D58="Yes"),1,IF(AND(H11="Korean",H14="No",Rates!D58="No"),0,IF(AND(H11="Korean",H14="Yes",Rates!D58="No",OR(J11="Reconditioned",J11="Registered")),0,Q23))))))</f>
        <v>75</v>
      </c>
      <c r="U23" s="625">
        <f>IF(T23=0,0,1)</f>
        <v>1</v>
      </c>
      <c r="V23" s="625"/>
      <c r="W23" s="603"/>
      <c r="X23" s="603"/>
      <c r="Y23" s="603">
        <v>0</v>
      </c>
      <c r="Z23" s="603">
        <f ca="1">Z22*-H37%</f>
        <v>-2256.1073386583339</v>
      </c>
      <c r="AA23" s="603"/>
      <c r="AB23" s="522"/>
      <c r="AC23" s="522"/>
      <c r="AD23" s="522"/>
      <c r="AE23" s="522"/>
      <c r="AM23" s="219"/>
      <c r="AU23" s="143">
        <f t="shared" si="1"/>
        <v>1985</v>
      </c>
    </row>
    <row r="24" spans="2:50" s="143" customFormat="1" ht="16" thickBot="1" x14ac:dyDescent="0.4">
      <c r="B24" s="5"/>
      <c r="C24" s="138">
        <f>IF(H24=D24,1,0)</f>
        <v>0</v>
      </c>
      <c r="D24" s="432" t="s">
        <v>400</v>
      </c>
      <c r="E24" s="180"/>
      <c r="F24" s="295"/>
      <c r="G24" s="431" t="str">
        <f>IF(U23=0,"Enter Password for Special Rebate =&gt;","")</f>
        <v/>
      </c>
      <c r="H24" s="525"/>
      <c r="I24" s="433">
        <v>15</v>
      </c>
      <c r="J24" s="433"/>
      <c r="K24" s="330"/>
      <c r="L24" s="330" t="s">
        <v>281</v>
      </c>
      <c r="M24" s="439">
        <f ca="1">M35</f>
        <v>9024.4293546333356</v>
      </c>
      <c r="N24" s="237"/>
      <c r="O24" s="233">
        <f ca="1">O23+M24</f>
        <v>9024.4293546333356</v>
      </c>
      <c r="P24" s="233"/>
      <c r="Q24" s="537"/>
      <c r="R24" s="537"/>
      <c r="S24" s="626"/>
      <c r="T24" s="626"/>
      <c r="U24" s="626"/>
      <c r="V24" s="626"/>
      <c r="W24" s="592"/>
      <c r="X24" s="592"/>
      <c r="Y24" s="592"/>
      <c r="Z24" s="627" t="s">
        <v>155</v>
      </c>
      <c r="AA24" s="592"/>
      <c r="AD24" s="381" t="s">
        <v>154</v>
      </c>
      <c r="AJ24" s="143">
        <v>0</v>
      </c>
      <c r="AM24" s="219"/>
      <c r="AU24" s="143">
        <f t="shared" si="1"/>
        <v>1986</v>
      </c>
    </row>
    <row r="25" spans="2:50" s="143" customFormat="1" ht="18" customHeight="1" thickBot="1" x14ac:dyDescent="0.4">
      <c r="B25" s="5"/>
      <c r="C25" s="138"/>
      <c r="D25" s="321" t="s">
        <v>280</v>
      </c>
      <c r="E25" s="342" t="s">
        <v>10</v>
      </c>
      <c r="F25" s="267" t="s">
        <v>322</v>
      </c>
      <c r="G25" s="76" t="s">
        <v>24</v>
      </c>
      <c r="H25" s="1439">
        <v>500000</v>
      </c>
      <c r="I25" s="1817" t="s">
        <v>608</v>
      </c>
      <c r="J25" s="1818"/>
      <c r="K25" s="1819"/>
      <c r="L25" s="328">
        <f>IF(H15&gt;0,AD25,0)</f>
        <v>2</v>
      </c>
      <c r="M25" s="1438"/>
      <c r="N25" s="236">
        <v>0</v>
      </c>
      <c r="O25" s="234">
        <v>0</v>
      </c>
      <c r="P25" s="229">
        <f>IF(H25&gt;0,1,0)</f>
        <v>1</v>
      </c>
      <c r="Q25" s="229">
        <f>IF(L27&gt;0,1,0)</f>
        <v>1</v>
      </c>
      <c r="R25" s="234">
        <f>P25+Q25</f>
        <v>2</v>
      </c>
      <c r="S25" s="587"/>
      <c r="T25" s="587"/>
      <c r="U25" s="587">
        <f>IF(T47=0,Rates!K10,IF(U57=1,Rates!K8,Rates!K9))</f>
        <v>25</v>
      </c>
      <c r="V25" s="587"/>
      <c r="W25" s="592">
        <f>IF(OR(U62=1,Rates!D41="Yes"),MIN(H25/25000*MIN(L25,AC25)*U25,X25),0)</f>
        <v>0</v>
      </c>
      <c r="X25" s="592">
        <f>MIN(H25/25000*MIN(L25,AC25)*U25*Y25,Rates!C40/25000*MIN(L25,AC25)*U25*Y25)</f>
        <v>0</v>
      </c>
      <c r="Y25" s="592">
        <f>IF(Rates!D39="Yes",1,0)</f>
        <v>1</v>
      </c>
      <c r="Z25" s="668">
        <f>IF(AND(AA25=1,R25=2),MAX(H25,Rates!C40),IF(AND(AA25=1,R25&lt;2),Rates!C40,IF(AND(AA25=0,R25=2),H25,0)))</f>
        <v>500000</v>
      </c>
      <c r="AA25" s="592">
        <f>IF(OR(AND(U62=1,Rates!D39="Yes",Rates!C40&gt;0),AND(U62=0,Rates!D39="Yes",Rates!C40&gt;0,Rates!D41="Yes")),1,0)</f>
        <v>0</v>
      </c>
      <c r="AB25" s="143">
        <f>IF(AND(AA25=1,H25&lt;Rates!C40),AC25,L27)</f>
        <v>2</v>
      </c>
      <c r="AC25" s="143">
        <f>IF(OR(O57+Q57=1,W57=1),MIN(L13,Q12,Rates!D42),0)</f>
        <v>0</v>
      </c>
      <c r="AD25" s="143">
        <f>IF(AND(AA25=1,L27&lt;=AC25,H25&lt;=Rates!C40),AC25,IF(AND(AA25=1,L27=0,H25&gt;Rates!C40),AC25,AE25))</f>
        <v>2</v>
      </c>
      <c r="AE25" s="143">
        <f>IF(AND(L27&gt;Q12,Q12&gt;L13),L13,IF(AND(L27&gt;Q12,Q12&lt;=L13),Q12,IF(AND(L27&lt;Q12,L27&gt;L13),L13,L27)))</f>
        <v>2</v>
      </c>
      <c r="AJ25" s="143">
        <f>IF(AND(H9=Administration!C20,OR(M8=Administration!C7,M8=Administration!C8,M8=Administration!C9)),50000,25000)</f>
        <v>25000</v>
      </c>
      <c r="AM25" s="219"/>
      <c r="AU25" s="143">
        <f t="shared" si="1"/>
        <v>1987</v>
      </c>
    </row>
    <row r="26" spans="2:50" s="143" customFormat="1" ht="1.5" customHeight="1" thickBot="1" x14ac:dyDescent="0.35">
      <c r="B26" s="5"/>
      <c r="C26" s="138"/>
      <c r="D26" s="315"/>
      <c r="E26" s="500">
        <f>IF(I25="Full Seating Capacity",1,0)</f>
        <v>1</v>
      </c>
      <c r="F26" s="276" t="str">
        <f>IF(H25&gt;0,"Full Seating Capacity","")</f>
        <v>Full Seating Capacity</v>
      </c>
      <c r="G26" s="500">
        <f>IF(OR(I25="Participant Only",I25="Participant &amp; Driver Only"),1,0)</f>
        <v>0</v>
      </c>
      <c r="H26" s="267" t="str">
        <f>IF(H25&gt;0,"for Participant","")</f>
        <v>for Participant</v>
      </c>
      <c r="I26" s="519">
        <f>IF(H15&gt;0,Z25,0)</f>
        <v>500000</v>
      </c>
      <c r="J26" s="519"/>
      <c r="K26" s="310" t="str">
        <f>IF(H25&gt;0,"for Driver","")</f>
        <v>for Driver</v>
      </c>
      <c r="L26" s="500">
        <f>IF(OR(I25="Driver Only",I25="Participant &amp; Driver Only"),1,0)</f>
        <v>0</v>
      </c>
      <c r="M26" s="309"/>
      <c r="N26" s="238"/>
      <c r="O26" s="229" t="str">
        <f>IF(AND(E26=0,L25&gt;0),CONCATENATE(MIN(L25,L13)," Persons"),IF(E26=1,"Full Seating Capacity",IF(AND(G26=1,L26=1),"Participant &amp; Driver",IF(G26=1,"Participant only",IF(L26=1,"Driver only","")))))</f>
        <v>Full Seating Capacity</v>
      </c>
      <c r="P26" s="229"/>
      <c r="Q26" s="229"/>
      <c r="R26" s="234"/>
      <c r="S26" s="587"/>
      <c r="T26" s="587"/>
      <c r="U26" s="587"/>
      <c r="V26" s="587"/>
      <c r="W26" s="592"/>
      <c r="X26" s="592"/>
      <c r="Y26" s="592"/>
      <c r="Z26" s="668"/>
      <c r="AA26" s="592"/>
      <c r="AJ26" s="143">
        <f>AJ25+25000</f>
        <v>50000</v>
      </c>
      <c r="AM26" s="219"/>
      <c r="AU26" s="143">
        <f t="shared" si="1"/>
        <v>1988</v>
      </c>
      <c r="AX26" s="669"/>
    </row>
    <row r="27" spans="2:50" s="143" customFormat="1" ht="26.25" hidden="1" customHeight="1" thickBot="1" x14ac:dyDescent="0.35">
      <c r="B27" s="5"/>
      <c r="C27" s="138"/>
      <c r="D27" s="315"/>
      <c r="E27" s="295"/>
      <c r="F27" s="1789" t="str">
        <f>IF(OR($R$25&gt;1,AA25=1),"If PAB for Terrorism is Required for paid Driver or workers, state their number","")</f>
        <v>If PAB for Terrorism is Required for paid Driver or workers, state their number</v>
      </c>
      <c r="G27" s="1789"/>
      <c r="H27" s="1789"/>
      <c r="I27" s="312">
        <v>0</v>
      </c>
      <c r="J27" s="368"/>
      <c r="K27" s="201"/>
      <c r="L27" s="312">
        <f>IF(E26=1,L13,IF(AND(G26=1,L26=1),2,IF(OR(G26=1,L26=1),1,0)))</f>
        <v>2</v>
      </c>
      <c r="M27" s="341"/>
      <c r="O27" s="229"/>
      <c r="P27" s="229"/>
      <c r="Q27" s="222"/>
      <c r="R27" s="382"/>
      <c r="S27" s="628"/>
      <c r="T27" s="628"/>
      <c r="U27" s="628"/>
      <c r="V27" s="628"/>
      <c r="W27" s="629"/>
      <c r="X27" s="629"/>
      <c r="Y27" s="592"/>
      <c r="Z27" s="668"/>
      <c r="AA27" s="592"/>
      <c r="AJ27" s="143">
        <f t="shared" ref="AJ27:AJ43" si="2">AJ26+25000</f>
        <v>75000</v>
      </c>
      <c r="AM27" s="219"/>
      <c r="AU27" s="143">
        <f t="shared" si="1"/>
        <v>1989</v>
      </c>
      <c r="AX27" s="669"/>
    </row>
    <row r="28" spans="2:50" s="143" customFormat="1" ht="20.25" hidden="1" customHeight="1" thickBot="1" x14ac:dyDescent="0.35">
      <c r="B28" s="5"/>
      <c r="C28" s="138"/>
      <c r="D28" s="315"/>
      <c r="E28" s="202"/>
      <c r="F28" s="1789"/>
      <c r="G28" s="1789"/>
      <c r="H28" s="1789"/>
      <c r="I28" s="1809" t="str">
        <f>IF(AND(H25=0,L25=0),"",IF(I27&gt;L25,"Invalid Entry",""))</f>
        <v/>
      </c>
      <c r="J28" s="1809"/>
      <c r="K28" s="1809"/>
      <c r="L28" s="295"/>
      <c r="M28" s="198"/>
      <c r="N28" s="239"/>
      <c r="O28" s="233"/>
      <c r="P28" s="233"/>
      <c r="Q28" s="382"/>
      <c r="R28" s="234"/>
      <c r="S28" s="587"/>
      <c r="T28" s="587"/>
      <c r="U28" s="587"/>
      <c r="V28" s="587"/>
      <c r="W28" s="592"/>
      <c r="X28" s="592"/>
      <c r="Y28" s="592"/>
      <c r="Z28" s="592">
        <f>IF(I27&gt;L25,L25,I27)</f>
        <v>0</v>
      </c>
      <c r="AA28" s="592"/>
      <c r="AJ28" s="143">
        <f t="shared" si="2"/>
        <v>100000</v>
      </c>
      <c r="AM28" s="219"/>
      <c r="AU28" s="143">
        <f t="shared" si="1"/>
        <v>1990</v>
      </c>
      <c r="AX28" s="669"/>
    </row>
    <row r="29" spans="2:50" s="143" customFormat="1" ht="20.25" customHeight="1" thickBot="1" x14ac:dyDescent="0.4">
      <c r="B29" s="5"/>
      <c r="C29" s="138"/>
      <c r="D29" s="321" t="s">
        <v>280</v>
      </c>
      <c r="E29" s="342" t="s">
        <v>10</v>
      </c>
      <c r="F29" s="77" t="s">
        <v>45</v>
      </c>
      <c r="G29" s="77"/>
      <c r="H29" s="602">
        <v>0</v>
      </c>
      <c r="I29" s="316" t="str">
        <f>IF(L13&gt;Q12,CONCATENATE(Q12-1," Passengers"),CONCATENATE(L13-1," passengers"))</f>
        <v>1 passengers</v>
      </c>
      <c r="J29" s="318"/>
      <c r="K29" s="563">
        <f>IF(AND(H8="Three Wheeler",K14=F114,H29&lt;20000),20000,H29)</f>
        <v>0</v>
      </c>
      <c r="L29" s="562"/>
      <c r="M29" s="187">
        <f>IF(AND($C$2="Yes",O29=1),N29,IF(K29=2000,Rates!K27,IF(K29=10000,Rates!M27,IF(K29=20000,Rates!K28,IF(K29=50000,Rates!M28,IF(K29=100000,Rates!K29,IF(K29=200000,Rates!M29,IF(K29=500000,Rates!K30,))))))))*T29*U2*R15*Y2*Z49*Y49*Q67*N3</f>
        <v>0</v>
      </c>
      <c r="N29" s="236">
        <v>0</v>
      </c>
      <c r="O29" s="667">
        <v>0</v>
      </c>
      <c r="P29" s="229">
        <f>IF(K29&gt;0,1,0)</f>
        <v>0</v>
      </c>
      <c r="Q29" s="229">
        <f>IF(I29&gt;0,1,0)</f>
        <v>1</v>
      </c>
      <c r="R29" s="234">
        <f>P29+Q29</f>
        <v>1</v>
      </c>
      <c r="S29" s="587"/>
      <c r="T29" s="588">
        <f>IF(I29&gt;L13-1,L13-1,I29)</f>
        <v>1</v>
      </c>
      <c r="U29" s="588"/>
      <c r="V29" s="588">
        <f>IF(AND(H9=Administration!C21,OR('MC-Working'!M8=Administration!C7,M8=Administration!C8,M8=Administration!C9,M8=Administration!C10,M8=Administration!C12)),2000,0)</f>
        <v>0</v>
      </c>
      <c r="W29" s="592"/>
      <c r="X29" s="592"/>
      <c r="Y29" s="592"/>
      <c r="Z29" s="592"/>
      <c r="AA29" s="592"/>
      <c r="AJ29" s="143">
        <f t="shared" si="2"/>
        <v>125000</v>
      </c>
      <c r="AM29" s="219"/>
      <c r="AU29" s="143">
        <f t="shared" si="1"/>
        <v>1991</v>
      </c>
      <c r="AX29" s="670"/>
    </row>
    <row r="30" spans="2:50" s="143" customFormat="1" ht="21" customHeight="1" thickBot="1" x14ac:dyDescent="0.35">
      <c r="B30" s="5"/>
      <c r="C30" s="345" t="s">
        <v>76</v>
      </c>
      <c r="D30" s="321" t="s">
        <v>280</v>
      </c>
      <c r="E30" s="342" t="s">
        <v>10</v>
      </c>
      <c r="F30" s="502" t="str">
        <f>IF(O31=0,"Goods Cover               (Not Provided)",IF(AND(C30="Yes",H30=0),"Goods Cover    - Enter Goods Value","Goods Cover              Goods Value-&gt;"))</f>
        <v>Goods Cover               (Not Provided)</v>
      </c>
      <c r="G30" s="295"/>
      <c r="H30" s="605">
        <v>0</v>
      </c>
      <c r="I30" s="1810" t="s">
        <v>37</v>
      </c>
      <c r="J30" s="1811"/>
      <c r="K30" s="671" t="s">
        <v>399</v>
      </c>
      <c r="L30" s="501">
        <v>0</v>
      </c>
      <c r="M30" s="189"/>
      <c r="N30" s="236">
        <v>0</v>
      </c>
      <c r="O30" s="229">
        <f>IF(AND(C30="Yes",H30&gt;0),1,0)</f>
        <v>0</v>
      </c>
      <c r="P30" s="229"/>
      <c r="Q30" s="219"/>
      <c r="S30" s="560"/>
      <c r="T30" s="560">
        <f>IF(C30="Yes",Rates!B33,0)</f>
        <v>5000</v>
      </c>
      <c r="U30" s="624">
        <f>IF(AND(O31=1,C30="Yes"),Rates!B31,0)</f>
        <v>0</v>
      </c>
      <c r="V30" s="624"/>
      <c r="W30" s="592"/>
      <c r="X30" s="592"/>
      <c r="Y30" s="592"/>
      <c r="Z30" s="592"/>
      <c r="AA30" s="592"/>
      <c r="AJ30" s="143">
        <f t="shared" si="2"/>
        <v>150000</v>
      </c>
      <c r="AM30" s="219"/>
      <c r="AU30" s="143">
        <f t="shared" si="1"/>
        <v>1992</v>
      </c>
    </row>
    <row r="31" spans="2:50" s="143" customFormat="1" ht="0.75" customHeight="1" thickBot="1" x14ac:dyDescent="0.35">
      <c r="B31" s="672">
        <v>1</v>
      </c>
      <c r="C31" s="477">
        <v>1</v>
      </c>
      <c r="D31" s="314"/>
      <c r="E31" s="344" t="str">
        <f>IF(AND(H30&gt;0,O31&gt;0),"Select Nature of Goods","")</f>
        <v/>
      </c>
      <c r="F31" s="295"/>
      <c r="G31" s="205" t="s">
        <v>10</v>
      </c>
      <c r="H31" s="329" t="str">
        <f>IF(AND(H30&gt;0,O31=1),"Non Hazardous","")</f>
        <v/>
      </c>
      <c r="I31" s="311">
        <f>H30*Rates!K53%*T31*O30*O31</f>
        <v>0</v>
      </c>
      <c r="J31" s="673"/>
      <c r="K31" s="673"/>
      <c r="L31" s="673"/>
      <c r="M31" s="192"/>
      <c r="N31" s="240"/>
      <c r="O31" s="143">
        <f>IF(OR(H8=Administration!C9,H8=Administration!C11,H8=Administration!C12,H8=Administration!CY1548),1,IF(Rates!D47="Yes",1,0))</f>
        <v>0</v>
      </c>
      <c r="Q31" s="143">
        <f>B31</f>
        <v>1</v>
      </c>
      <c r="R31" s="143">
        <f>IF(Q31+Q32=3,0,1)</f>
        <v>1</v>
      </c>
      <c r="S31" s="560"/>
      <c r="T31" s="560">
        <f>IF((E32+E33)=0,1,0)</f>
        <v>0</v>
      </c>
      <c r="U31" s="592">
        <f>IF(T31=1,1,0)</f>
        <v>0</v>
      </c>
      <c r="V31" s="592"/>
      <c r="W31" s="592"/>
      <c r="X31" s="592"/>
      <c r="Y31" s="592"/>
      <c r="Z31" s="592"/>
      <c r="AA31" s="592"/>
      <c r="AJ31" s="143">
        <f t="shared" si="2"/>
        <v>175000</v>
      </c>
      <c r="AM31" s="219"/>
      <c r="AU31" s="143">
        <f t="shared" si="1"/>
        <v>1993</v>
      </c>
      <c r="AX31" s="670" t="s">
        <v>388</v>
      </c>
    </row>
    <row r="32" spans="2:50" s="143" customFormat="1" ht="23.25" hidden="1" customHeight="1" thickBot="1" x14ac:dyDescent="0.35">
      <c r="B32" s="5"/>
      <c r="D32" s="314"/>
      <c r="E32" s="501">
        <f>IF(I30="Hazardous",1,0)</f>
        <v>0</v>
      </c>
      <c r="F32" s="295"/>
      <c r="G32" s="205" t="s">
        <v>10</v>
      </c>
      <c r="H32" s="329" t="str">
        <f>IF(AND(H30&gt;0,O31=1),"Hazardous","")</f>
        <v/>
      </c>
      <c r="I32" s="311">
        <f>H30*Rates!K54%*Q32*O30*O31</f>
        <v>0</v>
      </c>
      <c r="J32" s="673"/>
      <c r="K32" s="673"/>
      <c r="L32" s="673"/>
      <c r="M32" s="192"/>
      <c r="N32" s="240"/>
      <c r="Q32" s="143">
        <f>IF(Q33=1,0,E32)</f>
        <v>0</v>
      </c>
      <c r="S32" s="560"/>
      <c r="T32" s="560" t="str">
        <f>IF(AND(E33=1,H30&gt;0,C30="Yes"),"Extra Hazardous",U32)</f>
        <v>-</v>
      </c>
      <c r="U32" s="560" t="str">
        <f>IF(AND(H30&gt;0,E32=1,C30="Yes"),"Hazardous",W32)</f>
        <v>-</v>
      </c>
      <c r="V32" s="560"/>
      <c r="W32" s="560" t="str">
        <f>IF(AND(H30&gt;0,C30="Yes"),"Non Hazardous","-")</f>
        <v>-</v>
      </c>
      <c r="X32" s="560"/>
      <c r="Y32" s="560"/>
      <c r="Z32" s="560"/>
      <c r="AA32" s="560"/>
      <c r="AJ32" s="143">
        <f t="shared" si="2"/>
        <v>200000</v>
      </c>
      <c r="AM32" s="219"/>
      <c r="AU32" s="143">
        <f t="shared" si="1"/>
        <v>1994</v>
      </c>
      <c r="AX32" s="670" t="s">
        <v>381</v>
      </c>
    </row>
    <row r="33" spans="2:50" s="143" customFormat="1" ht="18" hidden="1" customHeight="1" thickTop="1" thickBot="1" x14ac:dyDescent="0.35">
      <c r="B33" s="5"/>
      <c r="D33" s="314"/>
      <c r="E33" s="501">
        <f>IF(I30="Extra Hazardous",1,0)</f>
        <v>1</v>
      </c>
      <c r="F33" s="295"/>
      <c r="G33" s="205" t="s">
        <v>10</v>
      </c>
      <c r="H33" s="329" t="str">
        <f>IF(AND(H30&gt;0,O31=1),"Extra Hazardous","")</f>
        <v/>
      </c>
      <c r="I33" s="311">
        <f>H30*Rates!K55%*E33*O30*O31</f>
        <v>0</v>
      </c>
      <c r="J33" s="673"/>
      <c r="K33" s="673"/>
      <c r="L33" s="673"/>
      <c r="M33" s="192"/>
      <c r="N33" s="1805"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06"/>
      <c r="Q33" s="143">
        <f>E33</f>
        <v>1</v>
      </c>
      <c r="S33" s="560"/>
      <c r="T33" s="560"/>
      <c r="U33" s="560"/>
      <c r="V33" s="560"/>
      <c r="W33" s="560"/>
      <c r="X33" s="560"/>
      <c r="Y33" s="560"/>
      <c r="Z33" s="560"/>
      <c r="AA33" s="560"/>
      <c r="AJ33" s="143">
        <f t="shared" si="2"/>
        <v>225000</v>
      </c>
      <c r="AM33" s="219"/>
      <c r="AU33" s="143">
        <f t="shared" si="1"/>
        <v>1995</v>
      </c>
      <c r="AX33" s="670" t="s">
        <v>389</v>
      </c>
    </row>
    <row r="34" spans="2:50" s="143" customFormat="1" ht="18" customHeight="1" thickBot="1" x14ac:dyDescent="0.35">
      <c r="B34" s="5"/>
      <c r="D34" s="314"/>
      <c r="E34" s="501">
        <f>IF(K30="With Fire",1,0)</f>
        <v>1</v>
      </c>
      <c r="F34" s="270" t="str">
        <f>IF(AND(H30&gt;0,O31=1),"Select to include Damage by Fire","")</f>
        <v/>
      </c>
      <c r="G34" s="205" t="s">
        <v>10</v>
      </c>
      <c r="H34" s="329" t="str">
        <f>IF(AND(H30&gt;0,O31=1),"Fire","")</f>
        <v/>
      </c>
      <c r="I34" s="311">
        <f>H30*E34*Rates!K56%*O30*O31</f>
        <v>0</v>
      </c>
      <c r="J34" s="673"/>
      <c r="K34" s="673"/>
      <c r="L34" s="673"/>
      <c r="M34" s="192"/>
      <c r="N34" s="1807"/>
      <c r="O34" s="1808"/>
      <c r="S34" s="560"/>
      <c r="T34" s="560"/>
      <c r="U34" s="560"/>
      <c r="V34" s="560"/>
      <c r="W34" s="560"/>
      <c r="X34" s="560"/>
      <c r="Y34" s="560"/>
      <c r="Z34" s="560"/>
      <c r="AA34" s="560"/>
      <c r="AJ34" s="143">
        <f t="shared" si="2"/>
        <v>250000</v>
      </c>
      <c r="AM34" s="219"/>
      <c r="AU34" s="539">
        <f t="shared" si="1"/>
        <v>1996</v>
      </c>
    </row>
    <row r="35" spans="2:50" s="143" customFormat="1" ht="16.5" thickTop="1" thickBot="1" x14ac:dyDescent="0.4">
      <c r="B35" s="5"/>
      <c r="C35" s="137"/>
      <c r="D35" s="503"/>
      <c r="E35" s="504"/>
      <c r="F35" s="505"/>
      <c r="G35" s="506"/>
      <c r="H35" s="507">
        <f>IF(H36=0,H37,H36)</f>
        <v>25</v>
      </c>
      <c r="I35" s="508"/>
      <c r="J35" s="508"/>
      <c r="K35" s="509"/>
      <c r="L35" s="509" t="s">
        <v>282</v>
      </c>
      <c r="M35" s="1464">
        <f ca="1">-M37+M38</f>
        <v>9024.4293546333356</v>
      </c>
      <c r="N35" s="237"/>
      <c r="O35" s="229"/>
      <c r="P35" s="229"/>
      <c r="Q35" s="241"/>
      <c r="AJ35" s="143">
        <f t="shared" si="2"/>
        <v>275000</v>
      </c>
      <c r="AM35" s="219"/>
      <c r="AU35" s="539">
        <f t="shared" si="1"/>
        <v>1997</v>
      </c>
    </row>
    <row r="36" spans="2:50" s="143" customFormat="1" ht="16" customHeight="1" thickBot="1" x14ac:dyDescent="0.4">
      <c r="B36" s="5"/>
      <c r="C36" s="138" t="str">
        <f>IF(H38="Upfront NCB","NCB (No Claim Bonus)","No Claim Bonus (NCB)")</f>
        <v>No Claim Bonus (NCB)</v>
      </c>
      <c r="D36" s="321" t="s">
        <v>280</v>
      </c>
      <c r="E36" s="342" t="s">
        <v>10</v>
      </c>
      <c r="F36" s="267" t="s">
        <v>316</v>
      </c>
      <c r="G36" s="375">
        <f>H36+H37</f>
        <v>25</v>
      </c>
      <c r="H36" s="674">
        <f>MC!T34</f>
        <v>0</v>
      </c>
      <c r="I36" s="1814" t="str">
        <f>IF(H36&gt;R36,CONCATENATE("NCB ALLOWED - ",R36),IF(H36&gt;0,"Earned NCB - NOT Upfront NCB",IF(AND(M8=Administration!C19,H9=Administration!C20),"NCB Not Allowed","")))</f>
        <v/>
      </c>
      <c r="J36" s="1794"/>
      <c r="K36" s="1794"/>
      <c r="L36" s="501">
        <v>0</v>
      </c>
      <c r="M36" s="193">
        <f ca="1">IF(AND($C$2="Yes",L36=1),N36,(-M35/1*MIN(H36%,R36%)*Y2))</f>
        <v>0</v>
      </c>
      <c r="N36" s="675">
        <v>0</v>
      </c>
      <c r="O36" s="229">
        <f ca="1">IF(OR(AND(H36&gt;0%,M36&lt;0),M37&lt;0),1,0)</f>
        <v>1</v>
      </c>
      <c r="P36" s="229"/>
      <c r="Q36" s="491"/>
      <c r="R36" s="242">
        <f>IF(T47=0,35,IF(U57=1,75,65))</f>
        <v>35</v>
      </c>
      <c r="S36" s="242"/>
      <c r="T36" s="231"/>
      <c r="U36" s="231"/>
      <c r="V36" s="231"/>
      <c r="W36" s="142"/>
      <c r="X36" s="142"/>
      <c r="Y36" s="142"/>
      <c r="Z36" s="142"/>
      <c r="AJ36" s="143">
        <f t="shared" si="2"/>
        <v>300000</v>
      </c>
      <c r="AU36" s="539">
        <f t="shared" si="1"/>
        <v>1998</v>
      </c>
      <c r="AX36" s="676"/>
    </row>
    <row r="37" spans="2:50" s="143" customFormat="1" ht="16" customHeight="1" thickBot="1" x14ac:dyDescent="0.4">
      <c r="B37" s="5"/>
      <c r="C37" s="138"/>
      <c r="D37" s="321">
        <v>750</v>
      </c>
      <c r="E37" s="511" t="s">
        <v>10</v>
      </c>
      <c r="F37" s="267" t="s">
        <v>317</v>
      </c>
      <c r="G37" s="654">
        <f>IF(H36+H37&gt;35,35-H36,H37)</f>
        <v>25</v>
      </c>
      <c r="H37" s="1425">
        <f>IF(M12="Below 250cc",25,0)</f>
        <v>25</v>
      </c>
      <c r="I37" s="1812">
        <f ca="1">-M37/M35</f>
        <v>0.65</v>
      </c>
      <c r="J37" s="1813"/>
      <c r="K37" s="1813"/>
      <c r="L37" s="501">
        <v>0</v>
      </c>
      <c r="M37" s="458">
        <f ca="1">-M38/35*65</f>
        <v>-5865.8790805116687</v>
      </c>
      <c r="N37" s="675">
        <v>-121</v>
      </c>
      <c r="O37" s="229"/>
      <c r="P37" s="229"/>
      <c r="Q37" s="491"/>
      <c r="R37" s="242">
        <f>IF(H36+H37&gt;R36,0,1)</f>
        <v>1</v>
      </c>
      <c r="S37" s="242"/>
      <c r="T37" s="231"/>
      <c r="U37" s="231"/>
      <c r="V37" s="231"/>
      <c r="W37" s="142"/>
      <c r="X37" s="142"/>
      <c r="Y37" s="142"/>
      <c r="Z37" s="142"/>
      <c r="AU37" s="539">
        <f t="shared" ref="AU37:AU42" si="3">AU36+1</f>
        <v>1999</v>
      </c>
      <c r="AX37" s="676"/>
    </row>
    <row r="38" spans="2:50" s="143" customFormat="1" ht="15" customHeight="1" thickBot="1" x14ac:dyDescent="0.35">
      <c r="B38" s="5"/>
      <c r="C38" s="137"/>
      <c r="D38" s="512"/>
      <c r="E38" s="513"/>
      <c r="F38" s="505"/>
      <c r="G38" s="514"/>
      <c r="H38" s="515" t="s">
        <v>316</v>
      </c>
      <c r="I38" s="516" t="s">
        <v>394</v>
      </c>
      <c r="J38" s="517"/>
      <c r="K38" s="518"/>
      <c r="L38" s="509" t="s">
        <v>283</v>
      </c>
      <c r="M38" s="510">
        <f ca="1">M61-M54-M52-M48-M43-M42-M41-M40-M39</f>
        <v>3158.5502741216678</v>
      </c>
      <c r="N38" s="237"/>
      <c r="O38" s="243">
        <f ca="1">M35+M36</f>
        <v>9024.4293546333356</v>
      </c>
      <c r="P38" s="143">
        <f>IF(O44=1,Rates!K4,Rates!K3)</f>
        <v>0.2</v>
      </c>
      <c r="Q38" s="143">
        <f>IF(B40="Yes",1,0)</f>
        <v>1</v>
      </c>
      <c r="R38" s="492"/>
      <c r="S38" s="492"/>
      <c r="T38" s="492"/>
      <c r="U38" s="492"/>
      <c r="V38" s="492"/>
      <c r="W38" s="142"/>
      <c r="X38" s="142"/>
      <c r="Y38" s="142"/>
      <c r="Z38" s="142"/>
      <c r="AA38" s="560"/>
      <c r="AB38" s="560"/>
      <c r="AC38" s="560"/>
      <c r="AD38" s="560"/>
      <c r="AE38" s="560"/>
      <c r="AF38" s="560"/>
      <c r="AG38" s="560"/>
      <c r="AH38" s="560"/>
      <c r="AJ38" s="143">
        <f>AJ36+25000</f>
        <v>325000</v>
      </c>
      <c r="AU38" s="539">
        <f t="shared" si="3"/>
        <v>2000</v>
      </c>
      <c r="AX38" s="676"/>
    </row>
    <row r="39" spans="2:50" s="143" customFormat="1" ht="15" customHeight="1" thickBot="1" x14ac:dyDescent="0.45">
      <c r="B39" s="665" t="str">
        <f>IF(C39=1,"Yes","No")</f>
        <v>Yes</v>
      </c>
      <c r="C39" s="534">
        <v>1</v>
      </c>
      <c r="D39" s="321" t="s">
        <v>280</v>
      </c>
      <c r="E39" s="342" t="s">
        <v>10</v>
      </c>
      <c r="F39" s="267" t="s">
        <v>284</v>
      </c>
      <c r="G39" s="267"/>
      <c r="H39" s="221"/>
      <c r="I39" s="188"/>
      <c r="J39" s="188"/>
      <c r="K39" s="9"/>
      <c r="L39" s="501">
        <v>0</v>
      </c>
      <c r="M39" s="189">
        <f ca="1">IF(AND($C$2="Yes",L39=1),N39,IF(B39="Yes",M19*Rates!K11%,0))</f>
        <v>3500</v>
      </c>
      <c r="N39" s="236">
        <v>0</v>
      </c>
      <c r="O39" s="143">
        <f>IF(B40="Yes",1,0)</f>
        <v>1</v>
      </c>
      <c r="P39" s="143">
        <f>IF(O44=1,Rates!K6,Rates!K5)</f>
        <v>0.05</v>
      </c>
      <c r="Q39" s="143">
        <f>IF(B41="Yes",1,0)</f>
        <v>1</v>
      </c>
      <c r="R39" s="492"/>
      <c r="S39" s="492"/>
      <c r="T39" s="492"/>
      <c r="U39" s="492"/>
      <c r="V39" s="492"/>
      <c r="W39" s="142"/>
      <c r="X39" s="142"/>
      <c r="Y39" s="142"/>
      <c r="Z39" s="142"/>
      <c r="AA39" s="560"/>
      <c r="AB39" s="560"/>
      <c r="AC39" s="560"/>
      <c r="AD39" s="560"/>
      <c r="AE39" s="560"/>
      <c r="AF39" s="560"/>
      <c r="AG39" s="560"/>
      <c r="AH39" s="560"/>
      <c r="AJ39" s="143">
        <f t="shared" si="2"/>
        <v>350000</v>
      </c>
      <c r="AU39" s="539">
        <f t="shared" si="3"/>
        <v>2001</v>
      </c>
      <c r="AX39" s="676"/>
    </row>
    <row r="40" spans="2:50" s="143" customFormat="1" ht="16" customHeight="1" thickBot="1" x14ac:dyDescent="0.35">
      <c r="B40" s="665" t="str">
        <f>IF(C40=1,"Yes","No")</f>
        <v>Yes</v>
      </c>
      <c r="C40" s="534">
        <v>1</v>
      </c>
      <c r="D40" s="321" t="s">
        <v>280</v>
      </c>
      <c r="E40" s="342" t="s">
        <v>10</v>
      </c>
      <c r="F40" s="267" t="s">
        <v>14</v>
      </c>
      <c r="G40" s="267"/>
      <c r="H40" s="188"/>
      <c r="I40" s="188"/>
      <c r="J40" s="188"/>
      <c r="K40" s="9"/>
      <c r="L40" s="501">
        <v>0</v>
      </c>
      <c r="M40" s="189">
        <f>IF(AND($C$2="Yes",L40=1),N40,(Q38*P38%*H15*U2*Z2*N4))</f>
        <v>1400</v>
      </c>
      <c r="N40" s="236">
        <v>0</v>
      </c>
      <c r="O40" s="1793"/>
      <c r="P40" s="1793"/>
      <c r="Q40" s="1793"/>
      <c r="R40" s="1793"/>
      <c r="S40" s="1793"/>
      <c r="T40" s="1793"/>
      <c r="U40" s="1793"/>
      <c r="V40" s="1793"/>
      <c r="AA40" s="560"/>
      <c r="AB40" s="560"/>
      <c r="AC40" s="560"/>
      <c r="AD40" s="560"/>
      <c r="AE40" s="560"/>
      <c r="AF40" s="560"/>
      <c r="AG40" s="560"/>
      <c r="AH40" s="560"/>
      <c r="AJ40" s="143">
        <f t="shared" si="2"/>
        <v>375000</v>
      </c>
      <c r="AU40" s="539">
        <f t="shared" si="3"/>
        <v>2002</v>
      </c>
      <c r="AX40" s="676"/>
    </row>
    <row r="41" spans="2:50" s="143" customFormat="1" ht="16" customHeight="1" thickBot="1" x14ac:dyDescent="0.35">
      <c r="B41" s="665" t="str">
        <f>IF(C42=1,"Yes","No")</f>
        <v>Yes</v>
      </c>
      <c r="C41" s="137"/>
      <c r="D41" s="443">
        <f>IF(OR($R$25&gt;1,AA25=1),1,0)</f>
        <v>1</v>
      </c>
      <c r="E41" s="501">
        <v>1</v>
      </c>
      <c r="F41" s="267" t="str">
        <f>IF(AND($C$40=1,D41=1),CONCATENATE("     PAB by SRCC (Rs.",Y42,")"),"")</f>
        <v xml:space="preserve">     PAB by SRCC (Rs.375)</v>
      </c>
      <c r="G41" s="501">
        <v>1</v>
      </c>
      <c r="H41" s="444" t="str">
        <f>IF(AND($C$40=1,M30&gt;0),"   Goods Cover by SRCC","")</f>
        <v/>
      </c>
      <c r="I41" s="204"/>
      <c r="J41" s="501">
        <v>1</v>
      </c>
      <c r="K41" s="445" t="str">
        <f>IF(AND($C$40=1,OR(H50&gt;0,H51&gt;0)),"WCT by SRCC","")</f>
        <v/>
      </c>
      <c r="L41" s="501">
        <v>1</v>
      </c>
      <c r="M41" s="189"/>
      <c r="N41" s="236">
        <v>0</v>
      </c>
      <c r="O41" s="1793"/>
      <c r="P41" s="1793"/>
      <c r="Q41" s="1793"/>
      <c r="R41" s="1793"/>
      <c r="S41" s="1793"/>
      <c r="T41" s="1793"/>
      <c r="U41" s="1793"/>
      <c r="V41" s="1793"/>
      <c r="X41" s="476" t="s">
        <v>19</v>
      </c>
      <c r="Y41" s="476" t="s">
        <v>17</v>
      </c>
      <c r="Z41" s="476" t="s">
        <v>18</v>
      </c>
      <c r="AA41" s="595"/>
      <c r="AB41" s="596" t="s">
        <v>144</v>
      </c>
      <c r="AC41" s="597" t="s">
        <v>147</v>
      </c>
      <c r="AD41" s="598" t="s">
        <v>148</v>
      </c>
      <c r="AE41" s="597" t="s">
        <v>147</v>
      </c>
      <c r="AF41" s="560"/>
      <c r="AG41" s="560" t="s">
        <v>150</v>
      </c>
      <c r="AH41" s="560" t="s">
        <v>149</v>
      </c>
      <c r="AJ41" s="143">
        <f t="shared" si="2"/>
        <v>400000</v>
      </c>
      <c r="AU41" s="539">
        <f t="shared" si="3"/>
        <v>2003</v>
      </c>
    </row>
    <row r="42" spans="2:50" s="143" customFormat="1" ht="18.75" customHeight="1" thickBot="1" x14ac:dyDescent="0.35">
      <c r="B42" s="119"/>
      <c r="C42" s="677">
        <f>IF(MC!T20="No",0,1)</f>
        <v>1</v>
      </c>
      <c r="D42" s="321" t="s">
        <v>280</v>
      </c>
      <c r="E42" s="342" t="s">
        <v>10</v>
      </c>
      <c r="F42" s="267" t="s">
        <v>375</v>
      </c>
      <c r="G42" s="267"/>
      <c r="H42" s="446" t="str">
        <f>IF(X42&gt;0,CONCATENATE("    (Rs.",X42,")"),"")</f>
        <v/>
      </c>
      <c r="I42" s="188"/>
      <c r="J42" s="188"/>
      <c r="K42" s="446" t="str">
        <f>IF(Z42&gt;0,CONCATENATE("  (Rs.",FIXED(Z42),")"),"")</f>
        <v/>
      </c>
      <c r="L42" s="501">
        <v>0</v>
      </c>
      <c r="M42" s="189">
        <f>IF(AND($C$2="Yes",L42=1),N41,(H15*P39%*Q39*U2*Q38*Z2*N4))</f>
        <v>350</v>
      </c>
      <c r="N42" s="678">
        <v>0</v>
      </c>
      <c r="O42" s="493"/>
      <c r="Q42" s="469" t="str">
        <f>IF(G41=1,"Yes","No")</f>
        <v>Yes</v>
      </c>
      <c r="R42" s="470"/>
      <c r="T42" s="244" t="str">
        <f>IF(E41=1,"Yes","No")</f>
        <v>Yes</v>
      </c>
      <c r="U42" s="462"/>
      <c r="W42" s="234" t="str">
        <f>IF(J41=1,"Yes","No")</f>
        <v>Yes</v>
      </c>
      <c r="X42" s="245">
        <f>IF(AND(B40="Yes",Q42="Yes",C30="Yes"),H30*Rates!Q8%,0)*Z49*O31</f>
        <v>0</v>
      </c>
      <c r="Y42" s="245">
        <f>IF(AND(B40="Yes",T42="Yes"),AE42,0)</f>
        <v>375</v>
      </c>
      <c r="Z42" s="245">
        <f>IF(AND(B40="Yes",W42="Yes"),(M50+M51)*Rates!Q9%,0)</f>
        <v>0</v>
      </c>
      <c r="AA42" s="599"/>
      <c r="AB42" s="600">
        <f>IF(Y48="Commercial Vehicle Policy",1,0)</f>
        <v>0</v>
      </c>
      <c r="AC42" s="600">
        <f>IF(OR(Y48="Private car policy",Y48="Motor Cycle Policy"),1,0)</f>
        <v>1</v>
      </c>
      <c r="AD42" s="560">
        <f>IF(AND(M8=Administration!C10,H9=Administration!C23),1,0)</f>
        <v>0</v>
      </c>
      <c r="AE42" s="560">
        <f>IF(AC42=1,I26*L25*Rates!Q6%,AF42)</f>
        <v>375</v>
      </c>
      <c r="AF42" s="560">
        <f>AG42+AH42</f>
        <v>375</v>
      </c>
      <c r="AG42" s="560">
        <f>Z28*I26*Rates!Q6%</f>
        <v>0</v>
      </c>
      <c r="AH42" s="560">
        <f>IF(AD42=1,(L25-Z28)*Z25*Rates!Q7%,(L25-Z28)*Z25*Rates!Q6%)</f>
        <v>375</v>
      </c>
      <c r="AJ42" s="143">
        <f>AJ41+25000</f>
        <v>425000</v>
      </c>
      <c r="AU42" s="539">
        <f t="shared" si="3"/>
        <v>2004</v>
      </c>
      <c r="AX42" s="676"/>
    </row>
    <row r="43" spans="2:50" s="143" customFormat="1" ht="16" customHeight="1" x14ac:dyDescent="0.3">
      <c r="B43" s="119"/>
      <c r="C43" s="137"/>
      <c r="D43" s="313"/>
      <c r="E43" s="501">
        <v>1</v>
      </c>
      <c r="F43" s="267" t="str">
        <f>IF(AND($C$40=1,C42=1,D41=1),CONCATENATE("     PAB by TC (Rs.",Y43,")"),"")</f>
        <v xml:space="preserve">     PAB by TC (Rs.125)</v>
      </c>
      <c r="G43" s="501">
        <v>1</v>
      </c>
      <c r="H43" s="444" t="str">
        <f>IF(AND($C$40=1,C42=1,M30&gt;0),"   Goods Cover by TC","")</f>
        <v/>
      </c>
      <c r="I43" s="204"/>
      <c r="J43" s="501">
        <v>1</v>
      </c>
      <c r="K43" s="445" t="str">
        <f>IF(AND($C$40=1,C42=1,OR(H50&gt;0,H51&gt;0)),"WCT by TC","")</f>
        <v/>
      </c>
      <c r="L43" s="501">
        <v>0</v>
      </c>
      <c r="M43" s="189"/>
      <c r="N43" s="236">
        <v>0</v>
      </c>
      <c r="O43" s="493"/>
      <c r="Q43" s="469" t="str">
        <f>IF(G43=1,"Yes","No")</f>
        <v>Yes</v>
      </c>
      <c r="R43" s="471"/>
      <c r="T43" s="244" t="str">
        <f>IF(E43=1,"Yes","No")</f>
        <v>Yes</v>
      </c>
      <c r="U43" s="472"/>
      <c r="W43" s="234" t="str">
        <f>IF(J43=1,"Yes","No")</f>
        <v>Yes</v>
      </c>
      <c r="X43" s="245">
        <f>IF(AND(B40="Yes",B41="Yes",Q42="Yes",Q43="Yes",C30="Yes"),H30*Rates!R8%,0)*Z49*O31</f>
        <v>0</v>
      </c>
      <c r="Y43" s="245">
        <f>IF(AND(B40="Yes",B41="Yes",T42="Yes",T43="Yes"),AE43,0)</f>
        <v>125</v>
      </c>
      <c r="Z43" s="245">
        <f>IF(AND(B40="Yes",B41="Yes",W42="Yes",W43="Yes"),(M50+M51)*Rates!R9%,0)</f>
        <v>0</v>
      </c>
      <c r="AA43" s="599"/>
      <c r="AB43" s="600"/>
      <c r="AC43" s="600"/>
      <c r="AD43" s="560"/>
      <c r="AE43" s="560">
        <f>IF(AC42=1,I26*L25*Rates!R6%,AF43)</f>
        <v>125</v>
      </c>
      <c r="AF43" s="560">
        <f>AG43+AH43</f>
        <v>125</v>
      </c>
      <c r="AG43" s="560">
        <f>Z28*I26*Rates!R4%</f>
        <v>0</v>
      </c>
      <c r="AH43" s="560">
        <f>IF(AD42=1,Rates!R7,(L25-Z28)*Z25*Rates!R5%)</f>
        <v>125</v>
      </c>
      <c r="AJ43" s="143">
        <f t="shared" si="2"/>
        <v>450000</v>
      </c>
      <c r="AU43" s="539">
        <f t="shared" ref="AU43:AU86" ca="1" si="4">IF(AU42&gt;=$AW$46,"",AU42+1)</f>
        <v>2005</v>
      </c>
      <c r="AX43" s="676"/>
    </row>
    <row r="44" spans="2:50" s="143" customFormat="1" ht="16" customHeight="1" x14ac:dyDescent="0.3">
      <c r="B44" s="119"/>
      <c r="C44" s="137"/>
      <c r="D44" s="321" t="s">
        <v>280</v>
      </c>
      <c r="E44" s="342" t="s">
        <v>10</v>
      </c>
      <c r="F44" s="267" t="s">
        <v>122</v>
      </c>
      <c r="G44" s="267"/>
      <c r="H44" s="446" t="str">
        <f>IF(X43&gt;0,CONCATENATE("    (Rs.",X43,")"),"")</f>
        <v/>
      </c>
      <c r="I44" s="188"/>
      <c r="J44" s="188"/>
      <c r="K44" s="446" t="str">
        <f>IF(Z43&gt;0,CONCATENATE("  (Rs.",FIXED(Z43),")"),"")</f>
        <v/>
      </c>
      <c r="L44" s="501">
        <v>0</v>
      </c>
      <c r="M44" s="189">
        <f ca="1">IF(AND($C$2="Yes",L44=1),M19*N44%,(M19*Rates!K14%*O44*R44))</f>
        <v>0</v>
      </c>
      <c r="N44" s="679">
        <v>0</v>
      </c>
      <c r="O44" s="493">
        <f>IF(OR(H9=Administration!C21,H9=Administration!C22),1,Q44)</f>
        <v>0</v>
      </c>
      <c r="P44" s="234"/>
      <c r="Q44" s="234">
        <f>IF(AND(M8=Administration!C10,H9=Administration!C23),1,0)</f>
        <v>0</v>
      </c>
      <c r="R44" s="231">
        <f>IF(Rates!M14="Free",0,1)</f>
        <v>1</v>
      </c>
      <c r="S44" s="231"/>
      <c r="T44" s="473"/>
      <c r="U44" s="473"/>
      <c r="V44" s="231"/>
      <c r="W44" s="142"/>
      <c r="X44" s="474"/>
      <c r="Y44" s="474"/>
      <c r="Z44" s="232"/>
      <c r="AA44" s="560"/>
      <c r="AB44" s="560"/>
      <c r="AC44" s="560"/>
      <c r="AD44" s="560"/>
      <c r="AE44" s="560"/>
      <c r="AF44" s="560"/>
      <c r="AG44" s="560"/>
      <c r="AH44" s="560"/>
      <c r="AJ44" s="143">
        <f>AJ43+25000</f>
        <v>475000</v>
      </c>
      <c r="AU44" s="539">
        <f t="shared" ca="1" si="4"/>
        <v>2006</v>
      </c>
      <c r="AX44" s="676"/>
    </row>
    <row r="45" spans="2:50" s="143" customFormat="1" ht="15" customHeight="1" thickBot="1" x14ac:dyDescent="0.35">
      <c r="B45" s="119" t="str">
        <f>IF(C47=1,"Yes","No")</f>
        <v>No</v>
      </c>
      <c r="C45" s="585">
        <v>0</v>
      </c>
      <c r="D45" s="321" t="s">
        <v>280</v>
      </c>
      <c r="E45" s="342" t="s">
        <v>10</v>
      </c>
      <c r="F45" s="267" t="s">
        <v>446</v>
      </c>
      <c r="G45" s="267"/>
      <c r="H45" s="188"/>
      <c r="I45" s="188"/>
      <c r="J45" s="188"/>
      <c r="K45" s="9"/>
      <c r="L45" s="501">
        <v>0</v>
      </c>
      <c r="M45" s="189"/>
      <c r="N45" s="680">
        <v>0</v>
      </c>
      <c r="O45" s="586">
        <f>C45</f>
        <v>0</v>
      </c>
      <c r="P45" s="587"/>
      <c r="Q45" s="587"/>
      <c r="R45" s="588">
        <f>IF(Rates!M15="Free",0,1)</f>
        <v>1</v>
      </c>
      <c r="S45" s="588"/>
      <c r="T45" s="589"/>
      <c r="U45" s="589"/>
      <c r="V45" s="231"/>
      <c r="W45" s="142"/>
      <c r="X45" s="142"/>
      <c r="Y45" s="142"/>
      <c r="AA45" s="560"/>
      <c r="AB45" s="560"/>
      <c r="AC45" s="560"/>
      <c r="AD45" s="592"/>
      <c r="AE45" s="592"/>
      <c r="AF45" s="592"/>
      <c r="AG45" s="592"/>
      <c r="AH45" s="592"/>
      <c r="AI45" s="142"/>
      <c r="AJ45" s="143">
        <f>IF(AJ44=500000,"",AJ44+25000)</f>
        <v>500000</v>
      </c>
      <c r="AK45" s="142"/>
      <c r="AL45" s="142"/>
      <c r="AN45" s="142"/>
      <c r="AO45" s="142"/>
      <c r="AP45" s="142"/>
      <c r="AQ45" s="142"/>
      <c r="AR45" s="142"/>
      <c r="AS45" s="142"/>
      <c r="AU45" s="539">
        <f t="shared" ca="1" si="4"/>
        <v>2007</v>
      </c>
      <c r="AX45" s="676"/>
    </row>
    <row r="46" spans="2:50" s="143" customFormat="1" ht="15.75" customHeight="1" thickBot="1" x14ac:dyDescent="0.35">
      <c r="B46" s="665" t="str">
        <f>IF(C46=1,"Yes","No")</f>
        <v>No</v>
      </c>
      <c r="C46" s="601">
        <v>0</v>
      </c>
      <c r="D46" s="321" t="s">
        <v>280</v>
      </c>
      <c r="E46" s="342" t="s">
        <v>10</v>
      </c>
      <c r="F46" s="267" t="s">
        <v>275</v>
      </c>
      <c r="G46" s="267"/>
      <c r="H46" s="1794" t="str">
        <f>IF(U57=1,"Free Cover",IF(AND(B46="Yes",Q48=1,Q46=0,U46=0),"Only for Private Dual Purpose Vehicles",""))</f>
        <v/>
      </c>
      <c r="I46" s="1794"/>
      <c r="J46" s="1794"/>
      <c r="K46" s="1794"/>
      <c r="L46" s="501">
        <v>0</v>
      </c>
      <c r="M46" s="189">
        <f ca="1">IF(AND($C$2="Yes",L46=1),N46,(M19*Rates!K19%*T46))</f>
        <v>0</v>
      </c>
      <c r="N46" s="681">
        <v>0</v>
      </c>
      <c r="O46" s="560">
        <f>IF(B46="Yes",1,0)</f>
        <v>0</v>
      </c>
      <c r="P46" s="560"/>
      <c r="Q46" s="560">
        <f>IF(AND(M8=Administration!C9,H9=Administration!C20),1,U46)</f>
        <v>0</v>
      </c>
      <c r="R46" s="590">
        <f>O46+Q46</f>
        <v>0</v>
      </c>
      <c r="S46" s="590"/>
      <c r="T46" s="590">
        <f>IF(R46=2,1,0)</f>
        <v>0</v>
      </c>
      <c r="U46" s="590">
        <f>IF(AND(Rates!O19="Yes",Q48=1),1,0)</f>
        <v>0</v>
      </c>
      <c r="V46" s="241"/>
      <c r="W46" s="142"/>
      <c r="X46" s="142"/>
      <c r="Y46" s="142"/>
      <c r="Z46" s="142"/>
      <c r="AA46" s="560"/>
      <c r="AB46" s="560"/>
      <c r="AC46" s="560"/>
      <c r="AD46" s="592"/>
      <c r="AE46" s="592"/>
      <c r="AF46" s="592"/>
      <c r="AG46" s="592"/>
      <c r="AH46" s="592"/>
      <c r="AI46" s="142"/>
      <c r="AK46" s="142"/>
      <c r="AL46" s="142"/>
      <c r="AN46" s="142"/>
      <c r="AO46" s="142"/>
      <c r="AP46" s="142"/>
      <c r="AQ46" s="142"/>
      <c r="AR46" s="142"/>
      <c r="AS46" s="142"/>
      <c r="AU46" s="539">
        <f t="shared" ca="1" si="4"/>
        <v>2008</v>
      </c>
      <c r="AW46" s="143">
        <f ca="1">YEAR(F71)</f>
        <v>2024</v>
      </c>
      <c r="AX46" s="676"/>
    </row>
    <row r="47" spans="2:50" s="143" customFormat="1" ht="15.75" customHeight="1" thickBot="1" x14ac:dyDescent="0.35">
      <c r="B47" s="119"/>
      <c r="C47" s="137"/>
      <c r="D47" s="321" t="s">
        <v>280</v>
      </c>
      <c r="E47" s="342" t="s">
        <v>10</v>
      </c>
      <c r="F47" s="267" t="s">
        <v>445</v>
      </c>
      <c r="G47" s="267"/>
      <c r="H47" s="716">
        <v>300000</v>
      </c>
      <c r="I47" s="188" t="s">
        <v>108</v>
      </c>
      <c r="J47" s="188"/>
      <c r="K47" s="618" t="str">
        <f>IF(AND(H47&gt;0,T47=0),"Not Applicable",0)</f>
        <v>Not Applicable</v>
      </c>
      <c r="L47" s="501">
        <v>1</v>
      </c>
      <c r="M47" s="187">
        <v>0</v>
      </c>
      <c r="N47" s="681">
        <v>0</v>
      </c>
      <c r="O47" s="591">
        <f>IF(H47&gt;0,1,0)</f>
        <v>1</v>
      </c>
      <c r="P47" s="591"/>
      <c r="Q47" s="587"/>
      <c r="R47" s="588"/>
      <c r="S47" s="588"/>
      <c r="T47" s="592">
        <f>IF(OR(M8=Administration!C13,M8=Administration!C14,),0,1)</f>
        <v>0</v>
      </c>
      <c r="U47" s="588"/>
      <c r="V47" s="231"/>
      <c r="W47" s="142"/>
      <c r="X47" s="142"/>
      <c r="Y47" s="142"/>
      <c r="Z47" s="142"/>
      <c r="AA47" s="592"/>
      <c r="AB47" s="592"/>
      <c r="AC47" s="592"/>
      <c r="AD47" s="592"/>
      <c r="AE47" s="592"/>
      <c r="AF47" s="592"/>
      <c r="AG47" s="592"/>
      <c r="AH47" s="592"/>
      <c r="AI47" s="142"/>
      <c r="AK47" s="142"/>
      <c r="AL47" s="142"/>
      <c r="AN47" s="142"/>
      <c r="AO47" s="142"/>
      <c r="AP47" s="142"/>
      <c r="AQ47" s="142"/>
      <c r="AR47" s="142"/>
      <c r="AS47" s="142"/>
      <c r="AU47" s="539">
        <f t="shared" ca="1" si="4"/>
        <v>2009</v>
      </c>
      <c r="AX47" s="676"/>
    </row>
    <row r="48" spans="2:50" s="143" customFormat="1" ht="16" customHeight="1" thickBot="1" x14ac:dyDescent="0.35">
      <c r="B48" s="119"/>
      <c r="C48" s="137"/>
      <c r="D48" s="321" t="s">
        <v>280</v>
      </c>
      <c r="E48" s="342" t="s">
        <v>10</v>
      </c>
      <c r="F48" s="267" t="s">
        <v>6</v>
      </c>
      <c r="G48" s="267"/>
      <c r="H48" s="694">
        <f>IF(MC!R33&lt;&gt;"",MC!R33,100000)</f>
        <v>1000000</v>
      </c>
      <c r="I48" s="188" t="s">
        <v>107</v>
      </c>
      <c r="J48" s="188"/>
      <c r="K48" s="340">
        <f>IF(AND(Q48=0,H48&gt;0),"Free Unlimited Cover",0)</f>
        <v>0</v>
      </c>
      <c r="L48" s="501">
        <v>0</v>
      </c>
      <c r="M48" s="187">
        <f>IF(AND($C$2="Yes",L48=1),N48,IF(H48&lt;100000,0,IF(H48=100000,Rates!K17*R48,IF(H48&lt;=300000,Rates!K18*R48,IF(H48&lt;=500000,Rates!M17*R48,IF(H48&lt;=1000000,Rates!M18*R48,IF(H48&lt;=2000000,1200*R48,H48*0.1%)))))))*U2*Q48*R15*Z2*Q67*N3</f>
        <v>650</v>
      </c>
      <c r="N48" s="681">
        <v>0</v>
      </c>
      <c r="O48" s="591">
        <f>IF(H48&gt;1,1,0)</f>
        <v>1</v>
      </c>
      <c r="P48" s="591"/>
      <c r="Q48" s="593">
        <f>IF(O57+Q57=1,0,1)</f>
        <v>1</v>
      </c>
      <c r="R48" s="588">
        <f>IF(AND(H48&gt;=100000,Q48=1),1,0)</f>
        <v>1</v>
      </c>
      <c r="S48" s="588"/>
      <c r="T48" s="592">
        <f>IF(OR(Q48=0,H48&gt;0),1,0)</f>
        <v>1</v>
      </c>
      <c r="U48" s="588"/>
      <c r="V48" s="231"/>
      <c r="W48" s="142"/>
      <c r="X48" s="142">
        <f>IF(O57+Q57=1,0,1)</f>
        <v>1</v>
      </c>
      <c r="Y48" s="142" t="str">
        <f>IF(X48=0,"Private Car Policy",Z48)</f>
        <v>Motor Cycle Policy</v>
      </c>
      <c r="Z48" s="142" t="str">
        <f>IF(T47=0,"Motor Cycle Policy",AA48)</f>
        <v>Motor Cycle Policy</v>
      </c>
      <c r="AA48" s="592" t="str">
        <f>IF(M8=Administration!C19,"Trade Plate Policy","Commercial Vehicle Policy")</f>
        <v>Commercial Vehicle Policy</v>
      </c>
      <c r="AB48" s="592"/>
      <c r="AC48" s="592"/>
      <c r="AD48" s="592"/>
      <c r="AE48" s="592"/>
      <c r="AF48" s="592"/>
      <c r="AG48" s="592"/>
      <c r="AH48" s="592"/>
      <c r="AI48" s="142"/>
      <c r="AK48" s="142"/>
      <c r="AL48" s="142"/>
      <c r="AN48" s="142"/>
      <c r="AO48" s="142"/>
      <c r="AP48" s="142"/>
      <c r="AQ48" s="142"/>
      <c r="AR48" s="142"/>
      <c r="AS48" s="142"/>
      <c r="AU48" s="539">
        <f t="shared" ca="1" si="4"/>
        <v>2010</v>
      </c>
      <c r="AX48" s="676"/>
    </row>
    <row r="49" spans="2:52" s="143" customFormat="1" ht="15" customHeight="1" thickBot="1" x14ac:dyDescent="0.35">
      <c r="B49" s="119"/>
      <c r="C49" s="137"/>
      <c r="D49" s="321" t="s">
        <v>280</v>
      </c>
      <c r="E49" s="342" t="s">
        <v>10</v>
      </c>
      <c r="F49" s="267" t="s">
        <v>13</v>
      </c>
      <c r="G49" s="267"/>
      <c r="H49" s="694"/>
      <c r="I49" s="1795" t="str">
        <f>IF(Q49&gt;0,CONCATENATE("Free Cover of Rs.",Q49,"/-"),"")</f>
        <v/>
      </c>
      <c r="J49" s="1796"/>
      <c r="K49" s="1796"/>
      <c r="L49" s="501">
        <v>0</v>
      </c>
      <c r="M49" s="187">
        <f>IF(AND($C$2="Yes",L49=1),N49,((H49*Rates!K32%-R49)*U2*R15*Y2*Z2))*N3</f>
        <v>0</v>
      </c>
      <c r="N49" s="681">
        <v>0</v>
      </c>
      <c r="O49" s="594">
        <f>IF(H49&gt;=Rates!B36,1,0)</f>
        <v>0</v>
      </c>
      <c r="P49" s="594"/>
      <c r="Q49" s="588">
        <f>IF(T47=0,Rates!C38,Rates!B36)</f>
        <v>0</v>
      </c>
      <c r="R49" s="588">
        <f>IF(H49&lt;=Q49,H49*Rates!K32%,Q49*Rates!K32%)</f>
        <v>0</v>
      </c>
      <c r="S49" s="588"/>
      <c r="T49" s="588"/>
      <c r="U49" s="592"/>
      <c r="V49" s="142"/>
      <c r="W49" s="142"/>
      <c r="X49" s="142"/>
      <c r="Y49" s="142">
        <f>IF(Y48="Private Car Policy",0,1)</f>
        <v>1</v>
      </c>
      <c r="Z49" s="142">
        <f>IF(Y48="Motor Cycle Policy",0,1)</f>
        <v>0</v>
      </c>
      <c r="AA49" s="142"/>
      <c r="AB49" s="142"/>
      <c r="AC49" s="142"/>
      <c r="AD49" s="142"/>
      <c r="AE49" s="142"/>
      <c r="AF49" s="142"/>
      <c r="AG49" s="142"/>
      <c r="AH49" s="142"/>
      <c r="AI49" s="142"/>
      <c r="AK49" s="142"/>
      <c r="AL49" s="142"/>
      <c r="AN49" s="142"/>
      <c r="AO49" s="142"/>
      <c r="AP49" s="142"/>
      <c r="AQ49" s="142"/>
      <c r="AR49" s="142"/>
      <c r="AS49" s="142"/>
      <c r="AU49" s="539">
        <f t="shared" ca="1" si="4"/>
        <v>2011</v>
      </c>
      <c r="AX49" s="676"/>
    </row>
    <row r="50" spans="2:52" s="143" customFormat="1" ht="15.75" customHeight="1" thickBot="1" x14ac:dyDescent="0.35">
      <c r="B50" s="119"/>
      <c r="C50" s="137"/>
      <c r="D50" s="321" t="s">
        <v>280</v>
      </c>
      <c r="E50" s="342" t="s">
        <v>10</v>
      </c>
      <c r="F50" s="302" t="s">
        <v>109</v>
      </c>
      <c r="G50" s="302"/>
      <c r="H50" s="611">
        <v>0</v>
      </c>
      <c r="I50" s="188" t="s">
        <v>21</v>
      </c>
      <c r="J50" s="188"/>
      <c r="K50" s="617"/>
      <c r="L50" s="501">
        <v>0</v>
      </c>
      <c r="M50" s="187">
        <f>IF(AND($C$2="Yes",L50=1),N50,(H50*R50*U2*R15*Y2))*N3</f>
        <v>0</v>
      </c>
      <c r="N50" s="236">
        <v>0</v>
      </c>
      <c r="O50" s="229">
        <f>IF(H50&gt;0,1,0)</f>
        <v>0</v>
      </c>
      <c r="P50" s="229"/>
      <c r="Q50" s="142">
        <f>IF((O50+O51)&gt;0,1,0)</f>
        <v>0</v>
      </c>
      <c r="R50" s="231">
        <f>IF(O57+Q57=1,Rates!K23,Rates!K24)</f>
        <v>600</v>
      </c>
      <c r="S50" s="231"/>
      <c r="T50" s="231"/>
      <c r="U50" s="142"/>
      <c r="V50" s="142"/>
      <c r="W50" s="142"/>
      <c r="X50" s="142"/>
      <c r="Y50" s="142"/>
      <c r="Z50" s="142"/>
      <c r="AA50" s="142"/>
      <c r="AB50" s="142"/>
      <c r="AC50" s="142"/>
      <c r="AD50" s="142"/>
      <c r="AE50" s="142"/>
      <c r="AF50" s="142"/>
      <c r="AG50" s="142"/>
      <c r="AH50" s="142"/>
      <c r="AI50" s="142"/>
      <c r="AK50" s="142"/>
      <c r="AL50" s="142"/>
      <c r="AN50" s="142"/>
      <c r="AO50" s="142"/>
      <c r="AP50" s="142"/>
      <c r="AQ50" s="142"/>
      <c r="AR50" s="142"/>
      <c r="AS50" s="142"/>
      <c r="AU50" s="539">
        <f t="shared" ca="1" si="4"/>
        <v>2012</v>
      </c>
      <c r="AX50" s="676"/>
    </row>
    <row r="51" spans="2:52" s="143" customFormat="1" ht="1.5" customHeight="1" thickBot="1" x14ac:dyDescent="0.35">
      <c r="B51" s="119"/>
      <c r="C51" s="137"/>
      <c r="D51" s="321" t="s">
        <v>280</v>
      </c>
      <c r="E51" s="342" t="s">
        <v>10</v>
      </c>
      <c r="F51" s="267" t="s">
        <v>20</v>
      </c>
      <c r="G51" s="267"/>
      <c r="H51" s="612">
        <v>0</v>
      </c>
      <c r="I51" s="188" t="s">
        <v>22</v>
      </c>
      <c r="J51" s="188"/>
      <c r="K51" s="199"/>
      <c r="L51" s="501">
        <v>0</v>
      </c>
      <c r="M51" s="187">
        <f>IF(AND($C$2="Yes",L51=1),N51,(H51*Rates!K25*U2*R15*Y2*Z49*Y49))*N3</f>
        <v>0</v>
      </c>
      <c r="N51" s="236">
        <v>0</v>
      </c>
      <c r="O51" s="229">
        <f>IF(H51&gt;0,1,0)</f>
        <v>0</v>
      </c>
      <c r="P51" s="229"/>
      <c r="Q51" s="234">
        <f>IF(OR(H50&gt;0,H51&gt;0),1,0)</f>
        <v>0</v>
      </c>
      <c r="R51" s="231"/>
      <c r="S51" s="231"/>
      <c r="T51" s="231"/>
      <c r="U51" s="231"/>
      <c r="V51" s="231"/>
      <c r="W51" s="142"/>
      <c r="X51" s="142"/>
      <c r="Y51" s="142"/>
      <c r="Z51" s="142"/>
      <c r="AA51" s="142"/>
      <c r="AB51" s="142"/>
      <c r="AC51" s="142"/>
      <c r="AD51" s="142"/>
      <c r="AE51" s="142"/>
      <c r="AF51" s="142"/>
      <c r="AG51" s="142"/>
      <c r="AH51" s="142"/>
      <c r="AI51" s="142"/>
      <c r="AK51" s="142"/>
      <c r="AL51" s="142"/>
      <c r="AN51" s="142"/>
      <c r="AO51" s="142"/>
      <c r="AP51" s="142"/>
      <c r="AQ51" s="142"/>
      <c r="AR51" s="142"/>
      <c r="AS51" s="142"/>
      <c r="AU51" s="539">
        <f t="shared" ca="1" si="4"/>
        <v>2013</v>
      </c>
      <c r="AX51" s="676"/>
    </row>
    <row r="52" spans="2:52" s="143" customFormat="1" ht="20.25" customHeight="1" thickBot="1" x14ac:dyDescent="0.35">
      <c r="B52" s="682" t="str">
        <f>Rates!M21</f>
        <v>Charge</v>
      </c>
      <c r="C52" s="137"/>
      <c r="D52" s="321" t="s">
        <v>280</v>
      </c>
      <c r="E52" s="342" t="s">
        <v>10</v>
      </c>
      <c r="F52" s="723" t="s">
        <v>543</v>
      </c>
      <c r="G52" s="613">
        <v>1</v>
      </c>
      <c r="H52" s="616">
        <v>7500</v>
      </c>
      <c r="I52" s="1797" t="str">
        <f>IF(AND(G52=0,K50&gt;0),"Enter Number of Air Bags",IF(AND(K50&gt;0,T47=0),"Not Applicable",IF(AND(Q52=0,T47=1,K50&gt;0),"Free Cover",IF(R52=0,"Free Cover - Front Seat Bags","Value of 2 Front Dashboard Airbgs"))))</f>
        <v>Value of 2 Front Dashboard Airbgs</v>
      </c>
      <c r="J52" s="1797"/>
      <c r="K52" s="1797"/>
      <c r="L52" s="501">
        <v>1</v>
      </c>
      <c r="M52" s="187">
        <v>1567.48366013072</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2"/>
      <c r="X52" s="142"/>
      <c r="Y52" s="142"/>
      <c r="Z52" s="142"/>
      <c r="AA52" s="142"/>
      <c r="AB52" s="142"/>
      <c r="AC52" s="142"/>
      <c r="AD52" s="142"/>
      <c r="AE52" s="142"/>
      <c r="AF52" s="142"/>
      <c r="AG52" s="142"/>
      <c r="AH52" s="142"/>
      <c r="AI52" s="142"/>
      <c r="AK52" s="142"/>
      <c r="AL52" s="142"/>
      <c r="AN52" s="142"/>
      <c r="AO52" s="142"/>
      <c r="AP52" s="142"/>
      <c r="AQ52" s="142"/>
      <c r="AR52" s="142"/>
      <c r="AS52" s="142"/>
      <c r="AT52" s="142"/>
      <c r="AU52" s="539">
        <f t="shared" ca="1" si="4"/>
        <v>2014</v>
      </c>
      <c r="AV52" s="142"/>
      <c r="AW52" s="269"/>
      <c r="AX52" s="676"/>
      <c r="AY52" s="142"/>
      <c r="AZ52" s="142"/>
    </row>
    <row r="53" spans="2:52" s="143" customFormat="1" ht="18" customHeight="1" thickBot="1" x14ac:dyDescent="0.35">
      <c r="B53" s="683"/>
      <c r="C53" s="137"/>
      <c r="D53" s="321"/>
      <c r="E53" s="377"/>
      <c r="F53" s="267"/>
      <c r="G53" s="684">
        <v>0</v>
      </c>
      <c r="H53" s="685">
        <v>0</v>
      </c>
      <c r="I53" s="653" t="str">
        <f>IF(AND(G53=0,H53&gt;0),"Enter Number of Air Bags",IF(AND(H53&gt;0,T47=0),"Not Applicable",IF(AND(Q52=0,T47=1,H53&gt;0),"Free Cover","Value of Rear Seat Airbags")))</f>
        <v>Value of Rear Seat Airbags</v>
      </c>
      <c r="J53" s="374"/>
      <c r="K53" s="374"/>
      <c r="L53" s="501">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2"/>
      <c r="X53" s="142"/>
      <c r="Y53" s="142"/>
      <c r="Z53" s="142"/>
      <c r="AA53" s="142"/>
      <c r="AB53" s="142"/>
      <c r="AC53" s="142"/>
      <c r="AD53" s="142"/>
      <c r="AE53" s="142"/>
      <c r="AF53" s="142"/>
      <c r="AG53" s="142"/>
      <c r="AH53" s="142"/>
      <c r="AI53" s="142"/>
      <c r="AK53" s="142"/>
      <c r="AL53" s="142"/>
      <c r="AN53" s="142"/>
      <c r="AO53" s="142"/>
      <c r="AP53" s="142"/>
      <c r="AQ53" s="142"/>
      <c r="AR53" s="142"/>
      <c r="AS53" s="142"/>
      <c r="AT53" s="142"/>
      <c r="AU53" s="539">
        <f t="shared" ca="1" si="4"/>
        <v>2015</v>
      </c>
      <c r="AV53" s="142"/>
      <c r="AW53" s="142"/>
      <c r="AX53" s="560"/>
      <c r="AY53" s="142"/>
      <c r="AZ53" s="142"/>
    </row>
    <row r="54" spans="2:52" s="143" customFormat="1" ht="16" customHeight="1" thickBot="1" x14ac:dyDescent="0.35">
      <c r="B54" s="119"/>
      <c r="C54" s="137"/>
      <c r="D54" s="321" t="s">
        <v>280</v>
      </c>
      <c r="E54" s="342" t="s">
        <v>10</v>
      </c>
      <c r="F54" s="267" t="s">
        <v>8</v>
      </c>
      <c r="G54" s="267"/>
      <c r="H54" s="686">
        <v>2</v>
      </c>
      <c r="I54" s="1436" t="s">
        <v>557</v>
      </c>
      <c r="J54" s="1430"/>
      <c r="K54" s="1432"/>
      <c r="L54" s="1431"/>
      <c r="M54" s="187">
        <f>IF(AND($C$2="Yes",L54=1),N54,(H54*Q54*U2*R15*Y2))*N3</f>
        <v>400</v>
      </c>
      <c r="N54" s="236">
        <v>0</v>
      </c>
      <c r="O54" s="229">
        <f>IF(H54&gt;0,1,0)</f>
        <v>1</v>
      </c>
      <c r="P54" s="229"/>
      <c r="Q54" s="234">
        <f>IF(O57+Q57=1,Rates!K34,IF(T47=0,Rates!K35,Rates!K36))</f>
        <v>200</v>
      </c>
      <c r="R54" s="231"/>
      <c r="S54" s="231"/>
      <c r="T54" s="231"/>
      <c r="U54" s="231"/>
      <c r="V54" s="231"/>
      <c r="W54" s="142"/>
      <c r="X54" s="142"/>
      <c r="Y54" s="142"/>
      <c r="Z54" s="142"/>
      <c r="AA54" s="142"/>
      <c r="AD54" s="142"/>
      <c r="AE54" s="142"/>
      <c r="AF54" s="142"/>
      <c r="AG54" s="142"/>
      <c r="AH54" s="142"/>
      <c r="AI54" s="142"/>
      <c r="AK54" s="142"/>
      <c r="AL54" s="142"/>
      <c r="AN54" s="142"/>
      <c r="AO54" s="142"/>
      <c r="AP54" s="142"/>
      <c r="AQ54" s="142"/>
      <c r="AR54" s="142"/>
      <c r="AS54" s="142"/>
      <c r="AT54" s="142"/>
      <c r="AU54" s="539">
        <f t="shared" ca="1" si="4"/>
        <v>2016</v>
      </c>
      <c r="AV54" s="142"/>
      <c r="AW54" s="142"/>
      <c r="AX54" s="676"/>
      <c r="AY54" s="142"/>
      <c r="AZ54" s="142"/>
    </row>
    <row r="55" spans="2:52" s="143" customFormat="1" ht="15" customHeight="1" thickBot="1" x14ac:dyDescent="0.35">
      <c r="B55" s="665" t="str">
        <f>IF(C55=1,"Yes","No")</f>
        <v>Yes</v>
      </c>
      <c r="C55" s="601">
        <v>1</v>
      </c>
      <c r="D55" s="321" t="s">
        <v>280</v>
      </c>
      <c r="E55" s="342" t="s">
        <v>10</v>
      </c>
      <c r="F55" s="1497" t="s">
        <v>602</v>
      </c>
      <c r="G55" s="1498"/>
      <c r="H55" s="1499"/>
      <c r="I55" s="1499"/>
      <c r="J55" s="1652"/>
      <c r="K55" s="1652"/>
      <c r="L55" s="1500">
        <v>0</v>
      </c>
      <c r="M55" s="187"/>
      <c r="N55" s="687">
        <v>0</v>
      </c>
      <c r="O55" s="522"/>
      <c r="P55" s="522"/>
      <c r="Q55" s="522">
        <f>IF(B55="Yes",1,0)</f>
        <v>1</v>
      </c>
      <c r="R55" s="521"/>
      <c r="S55" s="521"/>
      <c r="T55" s="521"/>
      <c r="U55" s="521"/>
      <c r="V55" s="521"/>
      <c r="W55" s="522"/>
      <c r="X55" s="522"/>
      <c r="Y55" s="522"/>
      <c r="Z55" s="522"/>
      <c r="AA55" s="522"/>
      <c r="AB55" s="522"/>
      <c r="AC55" s="522"/>
      <c r="AD55" s="522"/>
      <c r="AE55" s="522"/>
      <c r="AF55" s="522"/>
      <c r="AG55" s="522"/>
      <c r="AH55" s="522"/>
      <c r="AI55" s="522"/>
      <c r="AK55" s="142"/>
      <c r="AL55" s="142"/>
      <c r="AN55" s="142"/>
      <c r="AO55" s="142"/>
      <c r="AP55" s="142"/>
      <c r="AQ55" s="142"/>
      <c r="AR55" s="142"/>
      <c r="AS55" s="142"/>
      <c r="AT55" s="142"/>
      <c r="AU55" s="539">
        <f t="shared" ca="1" si="4"/>
        <v>2017</v>
      </c>
      <c r="AV55" s="142"/>
      <c r="AW55" s="142"/>
      <c r="AX55" s="676"/>
      <c r="AY55" s="142"/>
      <c r="AZ55" s="142"/>
    </row>
    <row r="56" spans="2:52" s="143" customFormat="1" ht="21.75" customHeight="1" thickBot="1" x14ac:dyDescent="0.35">
      <c r="B56" s="665" t="str">
        <f>IF(C56=1,"Yes","No")</f>
        <v>No</v>
      </c>
      <c r="C56" s="601">
        <v>0</v>
      </c>
      <c r="D56" s="321" t="s">
        <v>280</v>
      </c>
      <c r="E56" s="342" t="s">
        <v>10</v>
      </c>
      <c r="F56" s="267" t="s">
        <v>130</v>
      </c>
      <c r="G56" s="267"/>
      <c r="H56" s="1411"/>
      <c r="I56" s="303" t="str">
        <f>IF(AND(Rates!D43="No",B56="Yes"),"Provided only for Private Cars","")</f>
        <v/>
      </c>
      <c r="J56" s="303"/>
      <c r="K56" s="1412"/>
      <c r="L56" s="501">
        <v>0</v>
      </c>
      <c r="M56" s="189">
        <f ca="1">IF(AND($C$2="Yes",L56=1),N56,(M19*O56*R56%*Q61))</f>
        <v>0</v>
      </c>
      <c r="N56" s="687">
        <v>0</v>
      </c>
      <c r="O56" s="522">
        <f>IF(OR(R57=2,R61=1),1,0)</f>
        <v>0</v>
      </c>
      <c r="P56" s="522"/>
      <c r="Q56" s="522">
        <f>IF(B56="Yes",1,0)</f>
        <v>0</v>
      </c>
      <c r="R56" s="521">
        <f>IF(H35&lt;25,Rates!K42,T56)</f>
        <v>5.25</v>
      </c>
      <c r="S56" s="521"/>
      <c r="T56" s="521">
        <f>IF(AND(H35&gt;=25,H35&lt;30),Rates!K43,U56)</f>
        <v>5.25</v>
      </c>
      <c r="U56" s="521">
        <f>IF(AND(H35&lt;38.33,H35&gt;=30),Rates!K44,W56)</f>
        <v>4.5</v>
      </c>
      <c r="V56" s="521"/>
      <c r="W56" s="521">
        <f>IF(AND(H35&gt;=38.33,H35&lt;45),Rates!K45,X56)</f>
        <v>4.5</v>
      </c>
      <c r="X56" s="521">
        <f>IF(AND(H35&gt;=45,H35&lt;55),Rates!K46,Y56)</f>
        <v>4.5</v>
      </c>
      <c r="Y56" s="521">
        <f>IF(AND(H35&gt;=55,H35&lt;60),Rates!K47,Z56)</f>
        <v>4.5</v>
      </c>
      <c r="Z56" s="521">
        <f>IF(AND(H35&gt;=60,H35&lt;65),Rates!K48,AA56)</f>
        <v>4.5</v>
      </c>
      <c r="AA56" s="521">
        <f>IF(AND(H35&gt;=65,H35&lt;70),Rates!K49,AB56)</f>
        <v>4.5</v>
      </c>
      <c r="AB56" s="521">
        <f>IF(AND(H35&gt;=70,H35&lt;75),Rates!K50,AC56)</f>
        <v>4.5</v>
      </c>
      <c r="AC56" s="521">
        <f>IF(H35&gt;=75,Rates!K51,AD56)</f>
        <v>4.5</v>
      </c>
      <c r="AD56" s="522">
        <v>4.5</v>
      </c>
      <c r="AE56" s="522"/>
      <c r="AF56" s="522"/>
      <c r="AG56" s="522"/>
      <c r="AH56" s="522"/>
      <c r="AI56" s="522"/>
      <c r="AK56" s="142"/>
      <c r="AL56" s="142"/>
      <c r="AN56" s="142"/>
      <c r="AO56" s="142"/>
      <c r="AP56" s="142"/>
      <c r="AQ56" s="142"/>
      <c r="AR56" s="142"/>
      <c r="AS56" s="142"/>
      <c r="AT56" s="142"/>
      <c r="AU56" s="539">
        <f t="shared" ca="1" si="4"/>
        <v>2018</v>
      </c>
      <c r="AV56" s="142"/>
      <c r="AW56" s="142"/>
      <c r="AX56" s="676"/>
      <c r="AY56" s="142"/>
      <c r="AZ56" s="142"/>
    </row>
    <row r="57" spans="2:52" s="143" customFormat="1" ht="18.75" hidden="1" customHeight="1" x14ac:dyDescent="0.3">
      <c r="B57" s="119"/>
      <c r="C57" s="137"/>
      <c r="D57" s="6"/>
      <c r="E57" s="343" t="s">
        <v>10</v>
      </c>
      <c r="F57" s="75" t="str">
        <f>IF(AND(M8=Administration!C10,H9=Administration!C23,R15=1),"Unlimited Third Party Property Damage &amp; Passenger Liability Cover",".")</f>
        <v>.</v>
      </c>
      <c r="G57" s="75"/>
      <c r="H57" s="190"/>
      <c r="I57" s="188"/>
      <c r="J57" s="188"/>
      <c r="K57" s="9"/>
      <c r="L57" s="501">
        <v>0</v>
      </c>
      <c r="M57" s="187">
        <f>IF(AND($C$2="Yes",L57=1),N57,IF(AND(M8=Administration!C10,H9=Administration!C23),2000,0)*U2*R15)*N3</f>
        <v>0</v>
      </c>
      <c r="N57" s="687">
        <v>0</v>
      </c>
      <c r="O57" s="523">
        <f>IF(AND(M8=Administration!C7,H9=Administration!C20),1,0)</f>
        <v>0</v>
      </c>
      <c r="P57" s="523"/>
      <c r="Q57" s="523">
        <f>IF(AND(M8=Administration!C8,H9=Administration!C20),1,0)</f>
        <v>0</v>
      </c>
      <c r="R57" s="524">
        <f>Q56+Q57+O57</f>
        <v>0</v>
      </c>
      <c r="S57" s="524"/>
      <c r="T57" s="523">
        <f>IF(AND(M8=Administration!C12,H9=Administration!C20),1,0)</f>
        <v>0</v>
      </c>
      <c r="U57" s="521">
        <f>IF(O57+Q57=1,1,0)</f>
        <v>0</v>
      </c>
      <c r="V57" s="521"/>
      <c r="W57" s="522">
        <f>IF(AND(M8=Administration!C9,H9=Administration!C20),1,0)</f>
        <v>0</v>
      </c>
      <c r="X57" s="548"/>
      <c r="Y57" s="548"/>
      <c r="Z57" s="548"/>
      <c r="AA57" s="548"/>
      <c r="AB57" s="522"/>
      <c r="AC57" s="522"/>
      <c r="AD57" s="522"/>
      <c r="AE57" s="522"/>
      <c r="AF57" s="522"/>
      <c r="AG57" s="522"/>
      <c r="AH57" s="522"/>
      <c r="AI57" s="522"/>
      <c r="AK57" s="142"/>
      <c r="AL57" s="142"/>
      <c r="AN57" s="142"/>
      <c r="AO57" s="142"/>
      <c r="AP57" s="142"/>
      <c r="AQ57" s="142"/>
      <c r="AR57" s="142"/>
      <c r="AS57" s="142"/>
      <c r="AT57" s="142"/>
      <c r="AU57" s="539">
        <f t="shared" ca="1" si="4"/>
        <v>2019</v>
      </c>
      <c r="AV57" s="142"/>
      <c r="AW57" s="142"/>
      <c r="AX57" s="676"/>
      <c r="AY57" s="142"/>
      <c r="AZ57" s="142"/>
    </row>
    <row r="58" spans="2:52" s="143" customFormat="1" ht="20.25" hidden="1" customHeight="1" thickBot="1" x14ac:dyDescent="0.35">
      <c r="B58" s="119"/>
      <c r="C58" s="534">
        <v>0</v>
      </c>
      <c r="D58" s="6"/>
      <c r="E58" s="343" t="s">
        <v>10</v>
      </c>
      <c r="F58" s="1804"/>
      <c r="G58" s="1804"/>
      <c r="H58" s="307" t="str">
        <f>IF(AND(C58=1,F58=""),"Enter Name of Cover","Additional Cover 1")</f>
        <v>Additional Cover 1</v>
      </c>
      <c r="I58" s="188"/>
      <c r="J58" s="188"/>
      <c r="K58" s="9"/>
      <c r="L58" s="501">
        <v>0</v>
      </c>
      <c r="M58" s="191">
        <f>IF(AND(C58=1,F58&lt;&gt;""),N58,0)</f>
        <v>0</v>
      </c>
      <c r="N58" s="535">
        <v>0</v>
      </c>
      <c r="O58" s="305">
        <f>IF(AND(C58=1,N58&lt;&gt;0,F58&lt;&gt;""),1,0)</f>
        <v>0</v>
      </c>
      <c r="P58" s="305"/>
      <c r="Q58" s="305"/>
      <c r="R58" s="246"/>
      <c r="S58" s="484"/>
      <c r="T58" s="483"/>
      <c r="U58" s="481"/>
      <c r="V58" s="481"/>
      <c r="W58" s="140"/>
      <c r="X58" s="140"/>
      <c r="Y58" s="140"/>
      <c r="Z58" s="140"/>
      <c r="AA58" s="140"/>
      <c r="AB58" s="140"/>
      <c r="AC58" s="140"/>
      <c r="AD58" s="482"/>
      <c r="AE58" s="482"/>
      <c r="AF58" s="482"/>
      <c r="AG58" s="482"/>
      <c r="AH58" s="482"/>
      <c r="AI58" s="482"/>
      <c r="AJ58" s="140"/>
      <c r="AK58" s="482"/>
      <c r="AL58" s="482"/>
      <c r="AM58" s="140"/>
      <c r="AN58" s="482"/>
      <c r="AO58" s="482"/>
      <c r="AP58" s="142"/>
      <c r="AQ58" s="142"/>
      <c r="AR58" s="142"/>
      <c r="AS58" s="142"/>
      <c r="AT58" s="142"/>
      <c r="AU58" s="539">
        <f t="shared" ca="1" si="4"/>
        <v>2020</v>
      </c>
      <c r="AV58" s="142"/>
      <c r="AW58" s="142"/>
      <c r="AX58" s="676"/>
      <c r="AY58" s="142"/>
      <c r="AZ58" s="142"/>
    </row>
    <row r="59" spans="2:52" s="143" customFormat="1" ht="17.25" hidden="1" customHeight="1" thickBot="1" x14ac:dyDescent="0.35">
      <c r="B59" s="119"/>
      <c r="C59" s="534">
        <v>0</v>
      </c>
      <c r="D59" s="6"/>
      <c r="E59" s="343" t="s">
        <v>10</v>
      </c>
      <c r="F59" s="1804"/>
      <c r="G59" s="1804"/>
      <c r="H59" s="307" t="str">
        <f>IF(AND(C59=1,F59=""),"Enter Name of Cover","Additional Cover 2")</f>
        <v>Additional Cover 2</v>
      </c>
      <c r="I59" s="188"/>
      <c r="J59" s="188"/>
      <c r="K59" s="9"/>
      <c r="L59" s="501">
        <v>0</v>
      </c>
      <c r="M59" s="191">
        <f>IF(AND(C59=1,F59&lt;&gt;""),N59,0)</f>
        <v>0</v>
      </c>
      <c r="N59" s="535">
        <v>0</v>
      </c>
      <c r="O59" s="305">
        <f>IF(AND(C59=1,N59&lt;&gt;0,F59&lt;&gt;""),1,0)</f>
        <v>0</v>
      </c>
      <c r="P59" s="305"/>
      <c r="Q59" s="305"/>
      <c r="R59" s="246"/>
      <c r="S59" s="484"/>
      <c r="T59" s="483"/>
      <c r="U59" s="481"/>
      <c r="V59" s="481"/>
      <c r="W59" s="140"/>
      <c r="X59" s="140"/>
      <c r="Y59" s="140"/>
      <c r="Z59" s="140"/>
      <c r="AA59" s="140"/>
      <c r="AB59" s="140"/>
      <c r="AC59" s="140"/>
      <c r="AD59" s="482"/>
      <c r="AE59" s="482"/>
      <c r="AF59" s="482"/>
      <c r="AG59" s="482"/>
      <c r="AH59" s="482"/>
      <c r="AI59" s="482"/>
      <c r="AJ59" s="140"/>
      <c r="AK59" s="482"/>
      <c r="AL59" s="482"/>
      <c r="AM59" s="140"/>
      <c r="AN59" s="482"/>
      <c r="AO59" s="482"/>
      <c r="AP59" s="142"/>
      <c r="AQ59" s="142"/>
      <c r="AR59" s="142"/>
      <c r="AS59" s="142"/>
      <c r="AT59" s="142"/>
      <c r="AU59" s="539">
        <f t="shared" ca="1" si="4"/>
        <v>2021</v>
      </c>
      <c r="AV59" s="142"/>
      <c r="AW59" s="142"/>
      <c r="AX59" s="676"/>
      <c r="AY59" s="142"/>
      <c r="AZ59" s="142"/>
    </row>
    <row r="60" spans="2:52" s="143" customFormat="1" ht="18" hidden="1" customHeight="1" thickBot="1" x14ac:dyDescent="0.35">
      <c r="B60" s="119"/>
      <c r="C60" s="534">
        <v>0</v>
      </c>
      <c r="D60" s="448"/>
      <c r="E60" s="449" t="s">
        <v>10</v>
      </c>
      <c r="F60" s="450" t="s">
        <v>165</v>
      </c>
      <c r="G60" s="450"/>
      <c r="H60" s="451"/>
      <c r="I60" s="452"/>
      <c r="J60" s="452"/>
      <c r="K60" s="453"/>
      <c r="L60" s="454"/>
      <c r="M60" s="191">
        <f>IF(AND('MC-Working'!H8="Three Wheeler",'MC-Working'!B12="Above 5 yrs",Rates!D81="Yes",C60=1,N60&gt;Rates!F81,H13&lt;2009),N60,IF(AND('MC-Working'!H8="Three Wheeler",'MC-Working'!B12="Above 5 yrs",Rates!D81="Yes",H13&lt;2009),Rates!F81,IF(C60=1,N60,0)))</f>
        <v>0</v>
      </c>
      <c r="N60" s="535">
        <v>0</v>
      </c>
      <c r="P60" s="305"/>
      <c r="Q60" s="305"/>
      <c r="R60" s="246"/>
      <c r="S60" s="484"/>
      <c r="T60" s="483"/>
      <c r="U60" s="481"/>
      <c r="V60" s="481"/>
      <c r="W60" s="140"/>
      <c r="X60" s="140"/>
      <c r="Y60" s="140"/>
      <c r="Z60" s="140"/>
      <c r="AA60" s="140"/>
      <c r="AB60" s="140"/>
      <c r="AC60" s="140"/>
      <c r="AD60" s="482"/>
      <c r="AE60" s="482"/>
      <c r="AF60" s="482"/>
      <c r="AG60" s="482"/>
      <c r="AH60" s="482"/>
      <c r="AI60" s="482"/>
      <c r="AJ60" s="140"/>
      <c r="AK60" s="482"/>
      <c r="AL60" s="482"/>
      <c r="AM60" s="140"/>
      <c r="AN60" s="482"/>
      <c r="AO60" s="482"/>
      <c r="AP60" s="142"/>
      <c r="AQ60" s="142"/>
      <c r="AR60" s="142"/>
      <c r="AS60" s="142"/>
      <c r="AT60" s="142"/>
      <c r="AU60" s="539">
        <f t="shared" ca="1" si="4"/>
        <v>2022</v>
      </c>
      <c r="AV60" s="142"/>
      <c r="AW60" s="142"/>
      <c r="AX60" s="676"/>
      <c r="AY60" s="142"/>
      <c r="AZ60" s="142"/>
    </row>
    <row r="61" spans="2:52" s="143" customFormat="1" ht="19.5" customHeight="1" x14ac:dyDescent="0.3">
      <c r="B61" s="119"/>
      <c r="C61" s="137"/>
      <c r="D61" s="6"/>
      <c r="E61" s="1798"/>
      <c r="F61" s="1799"/>
      <c r="G61" s="9"/>
      <c r="H61" s="73" t="s">
        <v>11</v>
      </c>
      <c r="I61" s="1495">
        <f>M61/H15</f>
        <v>1.5751477048931983E-2</v>
      </c>
      <c r="J61" s="73"/>
      <c r="K61" s="1463">
        <f>IF(OR(MC!P8="KTM",MC!P8="PCX"),4%,IF(MC!$R$10="Above 250cc",4%,VLOOKUP(H15,'MC-TW New Premiums'!A3:N14,14,1)))</f>
        <v>1.5751477048931983E-2</v>
      </c>
      <c r="L61" s="185"/>
      <c r="M61" s="440">
        <f>(K61*H15)</f>
        <v>11026.033934252388</v>
      </c>
      <c r="N61" s="207"/>
      <c r="O61" s="306">
        <f>M61-M40-M42-M41-M43</f>
        <v>9276.0339342523876</v>
      </c>
      <c r="P61" s="306"/>
      <c r="Q61" s="234">
        <f>IF(Rates!D45="Yes",0,1)</f>
        <v>1</v>
      </c>
      <c r="R61" s="231">
        <f>IF(AND(Rates!D43="Yes",B56="Yes"),1,0)</f>
        <v>0</v>
      </c>
      <c r="S61" s="481"/>
      <c r="T61" s="481"/>
      <c r="U61" s="481"/>
      <c r="V61" s="481"/>
      <c r="W61" s="140"/>
      <c r="X61" s="140"/>
      <c r="Y61" s="140"/>
      <c r="Z61" s="140"/>
      <c r="AA61" s="140"/>
      <c r="AB61" s="140"/>
      <c r="AC61" s="140"/>
      <c r="AD61" s="482"/>
      <c r="AE61" s="482"/>
      <c r="AF61" s="482"/>
      <c r="AG61" s="482"/>
      <c r="AH61" s="482"/>
      <c r="AI61" s="482"/>
      <c r="AJ61" s="140"/>
      <c r="AK61" s="482"/>
      <c r="AL61" s="482"/>
      <c r="AM61" s="140"/>
      <c r="AN61" s="482"/>
      <c r="AO61" s="482"/>
      <c r="AP61" s="142"/>
      <c r="AQ61" s="142"/>
      <c r="AR61" s="142"/>
      <c r="AS61" s="142"/>
      <c r="AT61" s="142"/>
      <c r="AU61" s="539">
        <f t="shared" ca="1" si="4"/>
        <v>2023</v>
      </c>
      <c r="AV61" s="142"/>
      <c r="AW61" s="142"/>
      <c r="AX61" s="676"/>
      <c r="AY61" s="142"/>
      <c r="AZ61" s="142"/>
    </row>
    <row r="62" spans="2:52" s="143" customFormat="1" ht="15.75" customHeight="1" x14ac:dyDescent="0.3">
      <c r="B62" s="119"/>
      <c r="C62" s="137"/>
      <c r="D62" s="6"/>
      <c r="E62" s="1798"/>
      <c r="F62" s="1799"/>
      <c r="G62" s="9"/>
      <c r="H62" s="74" t="s">
        <v>131</v>
      </c>
      <c r="I62" s="295"/>
      <c r="J62" s="74"/>
      <c r="K62" s="78">
        <f>Rates!D19</f>
        <v>2.5</v>
      </c>
      <c r="L62" s="186" t="s">
        <v>54</v>
      </c>
      <c r="M62" s="257">
        <f>(MAX(750,M61*2.5%))+250</f>
        <v>1000</v>
      </c>
      <c r="N62" s="208"/>
      <c r="Q62" s="234"/>
      <c r="R62" s="231"/>
      <c r="S62" s="231"/>
      <c r="T62" s="231"/>
      <c r="U62" s="242">
        <f>O57+Q57+W57</f>
        <v>0</v>
      </c>
      <c r="V62" s="242"/>
      <c r="AD62" s="142"/>
      <c r="AE62" s="142"/>
      <c r="AF62" s="142"/>
      <c r="AG62" s="142"/>
      <c r="AH62" s="142"/>
      <c r="AI62" s="142"/>
      <c r="AK62" s="142"/>
      <c r="AL62" s="142"/>
      <c r="AM62" s="219"/>
      <c r="AN62" s="142"/>
      <c r="AO62" s="142"/>
      <c r="AP62" s="142"/>
      <c r="AQ62" s="142"/>
      <c r="AR62" s="142"/>
      <c r="AS62" s="142"/>
      <c r="AT62" s="142"/>
      <c r="AU62" s="539">
        <f t="shared" ca="1" si="4"/>
        <v>2024</v>
      </c>
      <c r="AV62" s="142"/>
      <c r="AW62" s="142"/>
      <c r="AX62" s="676"/>
      <c r="AY62" s="142"/>
      <c r="AZ62" s="142"/>
    </row>
    <row r="63" spans="2:52" s="143" customFormat="1" ht="15.75" customHeight="1" x14ac:dyDescent="0.3">
      <c r="B63" s="119"/>
      <c r="C63" s="137"/>
      <c r="D63" s="6"/>
      <c r="E63" s="1798"/>
      <c r="F63" s="1799"/>
      <c r="G63" s="9"/>
      <c r="H63" s="74" t="s">
        <v>607</v>
      </c>
      <c r="I63" s="295"/>
      <c r="J63" s="74"/>
      <c r="K63" s="78"/>
      <c r="L63" s="186"/>
      <c r="M63" s="257">
        <v>1900.79</v>
      </c>
      <c r="N63" s="208"/>
      <c r="Q63" s="234"/>
      <c r="R63" s="231"/>
      <c r="S63" s="231"/>
      <c r="T63" s="231"/>
      <c r="U63" s="242"/>
      <c r="V63" s="242"/>
      <c r="AD63" s="142"/>
      <c r="AE63" s="142"/>
      <c r="AF63" s="142"/>
      <c r="AG63" s="142"/>
      <c r="AH63" s="142"/>
      <c r="AI63" s="142"/>
      <c r="AK63" s="142"/>
      <c r="AL63" s="142"/>
      <c r="AM63" s="219"/>
      <c r="AN63" s="142"/>
      <c r="AO63" s="142"/>
      <c r="AP63" s="142"/>
      <c r="AQ63" s="142"/>
      <c r="AR63" s="142"/>
      <c r="AS63" s="142"/>
      <c r="AT63" s="142"/>
      <c r="AU63" s="539"/>
      <c r="AV63" s="142"/>
      <c r="AW63" s="142"/>
      <c r="AX63" s="676"/>
      <c r="AY63" s="142"/>
      <c r="AZ63" s="142"/>
    </row>
    <row r="64" spans="2:52" s="143" customFormat="1" ht="17.25" customHeight="1" x14ac:dyDescent="0.35">
      <c r="B64" s="119"/>
      <c r="C64" s="137"/>
      <c r="D64" s="6"/>
      <c r="E64" s="1798"/>
      <c r="F64" s="1799"/>
      <c r="G64" s="9"/>
      <c r="H64" s="948" t="s">
        <v>548</v>
      </c>
      <c r="I64" s="946"/>
      <c r="J64" s="948"/>
      <c r="K64" s="945"/>
      <c r="L64" s="1363"/>
      <c r="M64" s="1258">
        <f>IF(H15&lt;=650000,2500,2000)</f>
        <v>2000</v>
      </c>
      <c r="N64" s="208"/>
      <c r="O64" s="229"/>
      <c r="P64" s="229"/>
      <c r="Q64" s="234"/>
      <c r="R64" s="231"/>
      <c r="S64" s="231"/>
      <c r="T64" s="231"/>
      <c r="U64" s="231"/>
      <c r="V64" s="231"/>
      <c r="AD64" s="142"/>
      <c r="AE64" s="142"/>
      <c r="AF64" s="142"/>
      <c r="AG64" s="142"/>
      <c r="AH64" s="142"/>
      <c r="AI64" s="142"/>
      <c r="AK64" s="142"/>
      <c r="AL64" s="142"/>
      <c r="AM64" s="219"/>
      <c r="AN64" s="142"/>
      <c r="AO64" s="142"/>
      <c r="AP64" s="142"/>
      <c r="AQ64" s="142"/>
      <c r="AR64" s="142"/>
      <c r="AS64" s="142"/>
      <c r="AT64" s="142"/>
      <c r="AU64" s="539" t="str">
        <f ca="1">IF(AU62&gt;=$AW$46,"",AU62+1)</f>
        <v/>
      </c>
      <c r="AV64" s="142"/>
      <c r="AW64" s="142"/>
      <c r="AX64" s="676"/>
      <c r="AY64" s="142"/>
      <c r="AZ64" s="142"/>
    </row>
    <row r="65" spans="1:52" s="143" customFormat="1" ht="15.75" customHeight="1" x14ac:dyDescent="0.3">
      <c r="B65" s="119"/>
      <c r="C65" s="137"/>
      <c r="D65" s="6"/>
      <c r="E65" s="1798"/>
      <c r="F65" s="1799"/>
      <c r="G65" s="9"/>
      <c r="H65" s="1060" t="s">
        <v>547</v>
      </c>
      <c r="I65" s="946"/>
      <c r="J65" s="1060"/>
      <c r="K65" s="1367"/>
      <c r="L65" s="1368"/>
      <c r="M65" s="1258">
        <v>2000</v>
      </c>
      <c r="N65" s="208"/>
      <c r="O65" s="229"/>
      <c r="P65" s="229"/>
      <c r="Q65" s="234"/>
      <c r="R65" s="619">
        <v>1</v>
      </c>
      <c r="S65" s="231"/>
      <c r="T65" s="231"/>
      <c r="U65" s="231"/>
      <c r="V65" s="231"/>
      <c r="AD65" s="142"/>
      <c r="AE65" s="142"/>
      <c r="AF65" s="142"/>
      <c r="AG65" s="142"/>
      <c r="AH65" s="142"/>
      <c r="AI65" s="142"/>
      <c r="AK65" s="142"/>
      <c r="AL65" s="142"/>
      <c r="AM65" s="219"/>
      <c r="AN65" s="142"/>
      <c r="AO65" s="142"/>
      <c r="AP65" s="142"/>
      <c r="AQ65" s="142"/>
      <c r="AR65" s="142"/>
      <c r="AS65" s="142"/>
      <c r="AT65" s="142"/>
      <c r="AU65" s="539" t="str">
        <f t="shared" ca="1" si="4"/>
        <v/>
      </c>
      <c r="AV65" s="142"/>
      <c r="AW65" s="142"/>
      <c r="AX65" s="676"/>
      <c r="AY65" s="142"/>
      <c r="AZ65" s="142"/>
    </row>
    <row r="66" spans="1:52" s="143" customFormat="1" ht="15.75" customHeight="1" x14ac:dyDescent="0.3">
      <c r="B66" s="119"/>
      <c r="C66" s="137"/>
      <c r="D66" s="6"/>
      <c r="E66" s="1798"/>
      <c r="F66" s="1799"/>
      <c r="G66" s="9"/>
      <c r="H66" s="74" t="s">
        <v>545</v>
      </c>
      <c r="I66" s="295"/>
      <c r="J66" s="74"/>
      <c r="K66" s="1420">
        <v>2.5000000000000001E-2</v>
      </c>
      <c r="L66" s="186"/>
      <c r="M66" s="187">
        <f>SUM(M61:M65)*K66</f>
        <v>448.17059835630971</v>
      </c>
      <c r="N66" s="208"/>
      <c r="O66" s="229"/>
      <c r="P66" s="229"/>
      <c r="Q66" s="234"/>
      <c r="R66" s="619"/>
      <c r="S66" s="231"/>
      <c r="T66" s="231"/>
      <c r="U66" s="231"/>
      <c r="V66" s="231"/>
      <c r="AD66" s="142"/>
      <c r="AE66" s="142"/>
      <c r="AF66" s="142"/>
      <c r="AG66" s="142"/>
      <c r="AH66" s="142"/>
      <c r="AI66" s="142"/>
      <c r="AK66" s="142"/>
      <c r="AL66" s="142"/>
      <c r="AM66" s="219"/>
      <c r="AN66" s="142"/>
      <c r="AO66" s="142"/>
      <c r="AP66" s="142"/>
      <c r="AQ66" s="142"/>
      <c r="AR66" s="142"/>
      <c r="AS66" s="142"/>
      <c r="AT66" s="142"/>
      <c r="AU66" s="539"/>
      <c r="AV66" s="142"/>
      <c r="AW66" s="142"/>
      <c r="AX66" s="676"/>
      <c r="AY66" s="142"/>
      <c r="AZ66" s="142"/>
    </row>
    <row r="67" spans="1:52" s="143" customFormat="1" ht="15.5" thickBot="1" x14ac:dyDescent="0.35">
      <c r="B67" s="119"/>
      <c r="C67" s="137"/>
      <c r="D67" s="6"/>
      <c r="E67" s="1798"/>
      <c r="F67" s="1799"/>
      <c r="G67" s="9"/>
      <c r="H67" s="74" t="s">
        <v>1</v>
      </c>
      <c r="I67" s="295"/>
      <c r="J67" s="74"/>
      <c r="K67" s="78">
        <f>Rates!D21</f>
        <v>18</v>
      </c>
      <c r="L67" s="186" t="s">
        <v>54</v>
      </c>
      <c r="M67" s="187">
        <f>SUM(M61:M66)*K67%</f>
        <v>3307.499015869565</v>
      </c>
      <c r="N67" s="208"/>
      <c r="O67" s="229"/>
      <c r="P67" s="229"/>
      <c r="Q67" s="143">
        <f>IF(AND(M8=Administration!C10,H9=Administration!C23),0,1)</f>
        <v>1</v>
      </c>
      <c r="R67" s="246"/>
      <c r="S67" s="246"/>
      <c r="W67" s="475"/>
      <c r="AD67" s="142"/>
      <c r="AE67" s="142"/>
      <c r="AF67" s="142"/>
      <c r="AG67" s="142"/>
      <c r="AH67" s="142"/>
      <c r="AI67" s="142"/>
      <c r="AK67" s="142"/>
      <c r="AL67" s="142"/>
      <c r="AM67" s="219"/>
      <c r="AN67" s="142"/>
      <c r="AO67" s="142"/>
      <c r="AP67" s="142"/>
      <c r="AQ67" s="142"/>
      <c r="AR67" s="142"/>
      <c r="AS67" s="142"/>
      <c r="AT67" s="142"/>
      <c r="AU67" s="539" t="str">
        <f ca="1">IF(AU65&gt;=$AW$46,"",AU65+1)</f>
        <v/>
      </c>
      <c r="AV67" s="142"/>
      <c r="AW67" s="142"/>
      <c r="AX67" s="676"/>
      <c r="AY67" s="142"/>
      <c r="AZ67" s="142"/>
    </row>
    <row r="68" spans="1:52" s="143" customFormat="1" ht="25.5" customHeight="1" thickTop="1" thickBot="1" x14ac:dyDescent="0.35">
      <c r="B68" s="119"/>
      <c r="C68" s="308">
        <f>Administration!I3</f>
        <v>45413</v>
      </c>
      <c r="D68" s="6"/>
      <c r="E68" s="1800"/>
      <c r="F68" s="1801"/>
      <c r="G68" s="9"/>
      <c r="H68" s="73" t="s">
        <v>377</v>
      </c>
      <c r="I68" s="295"/>
      <c r="J68" s="73"/>
      <c r="K68" s="9"/>
      <c r="L68" s="185"/>
      <c r="M68" s="115">
        <f ca="1">SUM(M61:M67)*C71*U2</f>
        <v>21682.493548478262</v>
      </c>
      <c r="N68" s="163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8" s="1640"/>
      <c r="P68" s="297"/>
      <c r="Q68" s="138"/>
      <c r="AD68" s="142"/>
      <c r="AE68" s="142"/>
      <c r="AF68" s="142"/>
      <c r="AG68" s="142"/>
      <c r="AH68" s="142"/>
      <c r="AI68" s="142"/>
      <c r="AK68" s="142"/>
      <c r="AL68" s="142"/>
      <c r="AM68" s="219"/>
      <c r="AN68" s="142"/>
      <c r="AO68" s="142"/>
      <c r="AP68" s="142"/>
      <c r="AQ68" s="142"/>
      <c r="AR68" s="142"/>
      <c r="AS68" s="142"/>
      <c r="AT68" s="142"/>
      <c r="AU68" s="539" t="str">
        <f t="shared" ca="1" si="4"/>
        <v/>
      </c>
      <c r="AV68" s="142"/>
      <c r="AW68" s="142"/>
      <c r="AX68" s="676"/>
      <c r="AY68" s="142"/>
      <c r="AZ68" s="142"/>
    </row>
    <row r="69" spans="1:52" s="143" customFormat="1" ht="12.75" hidden="1" customHeight="1" x14ac:dyDescent="0.25">
      <c r="B69" s="119"/>
      <c r="C69" s="138"/>
      <c r="D69" s="6"/>
      <c r="E69" s="12"/>
      <c r="F69" s="12"/>
      <c r="G69" s="12"/>
      <c r="H69" s="12"/>
      <c r="I69" s="12"/>
      <c r="J69" s="12"/>
      <c r="K69" s="12"/>
      <c r="L69" s="12"/>
      <c r="M69" s="13"/>
      <c r="N69" s="210"/>
      <c r="O69" s="211"/>
      <c r="P69" s="226"/>
      <c r="AD69" s="142"/>
      <c r="AE69" s="142"/>
      <c r="AF69" s="142"/>
      <c r="AG69" s="142"/>
      <c r="AH69" s="142"/>
      <c r="AI69" s="142"/>
      <c r="AK69" s="142"/>
      <c r="AL69" s="142"/>
      <c r="AM69" s="219"/>
      <c r="AN69" s="142"/>
      <c r="AO69" s="142"/>
      <c r="AP69" s="142"/>
      <c r="AQ69" s="142"/>
      <c r="AR69" s="142"/>
      <c r="AS69" s="142"/>
      <c r="AT69" s="142"/>
      <c r="AU69" s="539" t="str">
        <f t="shared" ca="1" si="4"/>
        <v/>
      </c>
      <c r="AV69" s="142"/>
      <c r="AW69" s="142"/>
      <c r="AX69" s="676"/>
      <c r="AY69" s="142"/>
      <c r="AZ69" s="142"/>
    </row>
    <row r="70" spans="1:52" s="143" customFormat="1" ht="12.75" hidden="1" customHeight="1" x14ac:dyDescent="0.3">
      <c r="B70" s="119"/>
      <c r="C70" s="138"/>
      <c r="D70" s="6"/>
      <c r="E70" s="12"/>
      <c r="F70" s="12"/>
      <c r="G70" s="12"/>
      <c r="H70" s="12"/>
      <c r="I70" s="12"/>
      <c r="J70" s="12"/>
      <c r="K70" s="12"/>
      <c r="L70" s="12"/>
      <c r="M70" s="13"/>
      <c r="N70" s="212"/>
      <c r="O70" s="103"/>
      <c r="P70" s="225"/>
      <c r="AD70" s="142"/>
      <c r="AE70" s="142"/>
      <c r="AF70" s="142"/>
      <c r="AG70" s="142"/>
      <c r="AH70" s="142"/>
      <c r="AI70" s="142"/>
      <c r="AK70" s="142"/>
      <c r="AL70" s="142"/>
      <c r="AM70" s="219"/>
      <c r="AN70" s="142"/>
      <c r="AO70" s="142"/>
      <c r="AP70" s="142"/>
      <c r="AQ70" s="142"/>
      <c r="AR70" s="142"/>
      <c r="AS70" s="142"/>
      <c r="AT70" s="142"/>
      <c r="AU70" s="539" t="str">
        <f t="shared" ca="1" si="4"/>
        <v/>
      </c>
      <c r="AV70" s="142"/>
      <c r="AW70" s="142"/>
      <c r="AX70" s="676"/>
      <c r="AY70" s="142"/>
      <c r="AZ70" s="142"/>
    </row>
    <row r="71" spans="1:52" s="143" customFormat="1" ht="15.75" customHeight="1" thickTop="1" x14ac:dyDescent="0.45">
      <c r="B71" s="119"/>
      <c r="C71" s="138">
        <f ca="1">IF(C68&gt;F71,1,0)</f>
        <v>1</v>
      </c>
      <c r="D71" s="6"/>
      <c r="E71" s="12"/>
      <c r="F71" s="181">
        <f ca="1">TODAY()</f>
        <v>45348</v>
      </c>
      <c r="G71" s="181"/>
      <c r="H71" s="12"/>
      <c r="I71" s="12"/>
      <c r="J71" s="12"/>
      <c r="K71" s="12"/>
      <c r="L71" s="12"/>
      <c r="M71" s="1641"/>
      <c r="N71" s="688"/>
      <c r="O71" s="214"/>
      <c r="P71" s="247"/>
      <c r="Q71" s="138"/>
      <c r="AD71" s="142"/>
      <c r="AE71" s="142"/>
      <c r="AF71" s="142"/>
      <c r="AG71" s="142"/>
      <c r="AH71" s="142"/>
      <c r="AI71" s="142"/>
      <c r="AK71" s="142"/>
      <c r="AL71" s="142"/>
      <c r="AM71" s="219"/>
      <c r="AN71" s="142"/>
      <c r="AO71" s="142"/>
      <c r="AP71" s="142"/>
      <c r="AQ71" s="142"/>
      <c r="AR71" s="142"/>
      <c r="AS71" s="142"/>
      <c r="AT71" s="142"/>
      <c r="AU71" s="539" t="str">
        <f t="shared" ca="1" si="4"/>
        <v/>
      </c>
      <c r="AV71" s="142"/>
      <c r="AW71" s="142"/>
      <c r="AX71" s="676"/>
      <c r="AY71" s="142"/>
      <c r="AZ71" s="142"/>
    </row>
    <row r="72" spans="1:52" s="143" customFormat="1" ht="6.75" customHeight="1" x14ac:dyDescent="0.45">
      <c r="B72" s="119"/>
      <c r="C72" s="137"/>
      <c r="D72" s="6"/>
      <c r="E72" s="14"/>
      <c r="F72" s="1802" t="str">
        <f>IF(O72=1,"Hiring",IF(O72=3,"Rent A Vehicle",IF(O72=0,"Private")))</f>
        <v>Private</v>
      </c>
      <c r="G72" s="1802"/>
      <c r="H72" s="1802"/>
      <c r="I72" s="14"/>
      <c r="J72" s="14"/>
      <c r="K72" s="14"/>
      <c r="L72" s="14"/>
      <c r="M72" s="1641"/>
      <c r="N72" s="688"/>
      <c r="O72" s="229">
        <f>Q45+Q44</f>
        <v>0</v>
      </c>
      <c r="P72" s="229"/>
      <c r="Q72" s="143" t="s">
        <v>39</v>
      </c>
      <c r="R72" s="143" t="s">
        <v>7</v>
      </c>
      <c r="T72" s="143" t="s">
        <v>43</v>
      </c>
      <c r="AD72" s="142"/>
      <c r="AE72" s="142"/>
      <c r="AF72" s="142"/>
      <c r="AG72" s="142"/>
      <c r="AH72" s="142"/>
      <c r="AI72" s="142"/>
      <c r="AK72" s="142"/>
      <c r="AL72" s="142"/>
      <c r="AM72" s="219"/>
      <c r="AN72" s="142"/>
      <c r="AO72" s="142"/>
      <c r="AP72" s="142"/>
      <c r="AQ72" s="142"/>
      <c r="AR72" s="142"/>
      <c r="AS72" s="142"/>
      <c r="AT72" s="142"/>
      <c r="AU72" s="539" t="str">
        <f t="shared" ca="1" si="4"/>
        <v/>
      </c>
      <c r="AV72" s="142"/>
      <c r="AW72" s="142"/>
      <c r="AX72" s="676"/>
      <c r="AY72" s="142"/>
      <c r="AZ72" s="142"/>
    </row>
    <row r="73" spans="1:52" s="143" customFormat="1" ht="13.5" customHeight="1" thickBot="1" x14ac:dyDescent="0.35">
      <c r="B73" s="119"/>
      <c r="C73" s="137"/>
      <c r="D73" s="182"/>
      <c r="E73" s="183"/>
      <c r="F73" s="1803"/>
      <c r="G73" s="1803"/>
      <c r="H73" s="1803"/>
      <c r="I73" s="183"/>
      <c r="J73" s="183"/>
      <c r="K73" s="183"/>
      <c r="L73" s="183"/>
      <c r="M73" s="184"/>
      <c r="N73" s="213"/>
      <c r="O73" s="206"/>
      <c r="P73" s="225"/>
      <c r="AD73" s="142"/>
      <c r="AE73" s="142"/>
      <c r="AF73" s="142"/>
      <c r="AG73" s="142"/>
      <c r="AH73" s="142"/>
      <c r="AI73" s="142"/>
      <c r="AK73" s="142"/>
      <c r="AL73" s="142"/>
      <c r="AM73" s="219"/>
      <c r="AN73" s="142"/>
      <c r="AO73" s="142"/>
      <c r="AP73" s="142"/>
      <c r="AQ73" s="142"/>
      <c r="AR73" s="142"/>
      <c r="AS73" s="142"/>
      <c r="AT73" s="142"/>
      <c r="AU73" s="539" t="str">
        <f t="shared" ca="1" si="4"/>
        <v/>
      </c>
      <c r="AV73" s="142"/>
      <c r="AW73" s="142"/>
      <c r="AX73" s="676"/>
      <c r="AY73" s="142"/>
      <c r="AZ73" s="142"/>
    </row>
    <row r="74" spans="1:52" s="139" customFormat="1" ht="14.5" hidden="1" thickTop="1" x14ac:dyDescent="0.3">
      <c r="A74" s="219"/>
      <c r="B74" s="223"/>
      <c r="C74" s="219"/>
      <c r="D74" s="298" t="s">
        <v>15</v>
      </c>
      <c r="E74" s="219"/>
      <c r="F74" s="222"/>
      <c r="G74" s="222"/>
      <c r="H74" s="222"/>
      <c r="I74" s="222"/>
      <c r="J74" s="222"/>
      <c r="K74" s="222"/>
      <c r="L74" s="219"/>
      <c r="M74" s="219"/>
      <c r="N74" s="140"/>
      <c r="O74" s="206"/>
      <c r="P74" s="225"/>
      <c r="Q74" s="143"/>
      <c r="R74" s="143"/>
      <c r="S74" s="143"/>
      <c r="T74" s="143"/>
      <c r="U74" s="143"/>
      <c r="V74" s="143"/>
      <c r="W74" s="143"/>
      <c r="X74" s="143"/>
      <c r="Y74" s="143"/>
      <c r="Z74" s="143"/>
      <c r="AA74" s="143"/>
      <c r="AB74" s="143"/>
      <c r="AC74" s="143"/>
      <c r="AD74" s="142"/>
      <c r="AE74" s="142"/>
      <c r="AF74" s="142"/>
      <c r="AG74" s="142"/>
      <c r="AH74" s="142"/>
      <c r="AI74" s="142"/>
      <c r="AJ74" s="143"/>
      <c r="AK74" s="142"/>
      <c r="AL74" s="142"/>
      <c r="AM74" s="219"/>
      <c r="AN74" s="142"/>
      <c r="AO74" s="142"/>
      <c r="AP74" s="142"/>
      <c r="AQ74" s="142"/>
      <c r="AR74" s="142"/>
      <c r="AS74" s="142"/>
      <c r="AT74" s="142"/>
      <c r="AU74" s="539" t="str">
        <f t="shared" ca="1" si="4"/>
        <v/>
      </c>
      <c r="AV74" s="142"/>
      <c r="AW74" s="142"/>
      <c r="AX74" s="676"/>
      <c r="AY74" s="142"/>
      <c r="AZ74" s="142"/>
    </row>
    <row r="75" spans="1:52" s="139" customFormat="1" ht="22.5" hidden="1" customHeight="1" x14ac:dyDescent="0.25">
      <c r="A75" s="219"/>
      <c r="B75" s="224"/>
      <c r="C75" s="219"/>
      <c r="D75" s="143"/>
      <c r="E75" s="143"/>
      <c r="F75" s="143"/>
      <c r="G75" s="143"/>
      <c r="H75" s="143"/>
      <c r="I75" s="143"/>
      <c r="J75" s="143"/>
      <c r="K75" s="143"/>
      <c r="L75" s="143"/>
      <c r="M75" s="539"/>
      <c r="N75" s="539"/>
      <c r="O75" s="539"/>
      <c r="P75" s="539"/>
      <c r="Q75" s="539"/>
      <c r="R75" s="539"/>
      <c r="S75" s="539"/>
      <c r="T75" s="539"/>
      <c r="U75" s="143"/>
      <c r="V75" s="143"/>
      <c r="W75" s="143"/>
      <c r="X75" s="143"/>
      <c r="Y75" s="143"/>
      <c r="Z75" s="143"/>
      <c r="AA75" s="143"/>
      <c r="AB75" s="143"/>
      <c r="AC75" s="143"/>
      <c r="AD75" s="142"/>
      <c r="AE75" s="142"/>
      <c r="AF75" s="142"/>
      <c r="AG75" s="142"/>
      <c r="AH75" s="142"/>
      <c r="AI75" s="142"/>
      <c r="AJ75" s="143"/>
      <c r="AK75" s="142"/>
      <c r="AL75" s="142"/>
      <c r="AM75" s="219"/>
      <c r="AN75" s="142"/>
      <c r="AO75" s="142"/>
      <c r="AP75" s="142"/>
      <c r="AQ75" s="142"/>
      <c r="AR75" s="142"/>
      <c r="AS75" s="142"/>
      <c r="AT75" s="142"/>
      <c r="AU75" s="539" t="str">
        <f t="shared" ca="1" si="4"/>
        <v/>
      </c>
      <c r="AV75" s="142"/>
      <c r="AW75" s="142"/>
      <c r="AY75" s="142"/>
      <c r="AZ75" s="142"/>
    </row>
    <row r="76" spans="1:52" s="139" customFormat="1" hidden="1" x14ac:dyDescent="0.3">
      <c r="A76" s="219"/>
      <c r="B76" s="224"/>
      <c r="C76" s="219"/>
      <c r="D76" s="143" t="s">
        <v>76</v>
      </c>
      <c r="E76" s="143" t="s">
        <v>76</v>
      </c>
      <c r="F76" s="143"/>
      <c r="G76" s="143"/>
      <c r="H76" s="143"/>
      <c r="I76" s="143"/>
      <c r="J76" s="143"/>
      <c r="K76" s="143"/>
      <c r="L76" s="143"/>
      <c r="M76" s="539"/>
      <c r="N76" s="539"/>
      <c r="O76" s="539"/>
      <c r="P76" s="539"/>
      <c r="Q76" s="539"/>
      <c r="R76" s="539"/>
      <c r="S76" s="539"/>
      <c r="T76" s="539"/>
      <c r="U76" s="143"/>
      <c r="V76" s="143"/>
      <c r="W76" s="143"/>
      <c r="X76" s="143"/>
      <c r="Y76" s="143"/>
      <c r="Z76" s="143"/>
      <c r="AA76" s="143"/>
      <c r="AB76" s="143"/>
      <c r="AC76" s="143"/>
      <c r="AD76" s="142"/>
      <c r="AE76" s="142"/>
      <c r="AF76" s="142"/>
      <c r="AG76" s="142"/>
      <c r="AH76" s="142"/>
      <c r="AI76" s="142"/>
      <c r="AJ76" s="143"/>
      <c r="AK76" s="142"/>
      <c r="AL76" s="142"/>
      <c r="AM76" s="219"/>
      <c r="AN76" s="142"/>
      <c r="AO76" s="142"/>
      <c r="AP76" s="142"/>
      <c r="AQ76" s="142"/>
      <c r="AR76" s="142"/>
      <c r="AS76" s="142"/>
      <c r="AT76" s="142"/>
      <c r="AU76" s="539" t="str">
        <f t="shared" ca="1" si="4"/>
        <v/>
      </c>
      <c r="AV76" s="142"/>
      <c r="AW76" s="142"/>
      <c r="AX76" s="487"/>
      <c r="AY76" s="142"/>
      <c r="AZ76" s="142"/>
    </row>
    <row r="77" spans="1:52" s="139" customFormat="1" hidden="1" x14ac:dyDescent="0.3">
      <c r="A77" s="219"/>
      <c r="B77" s="224"/>
      <c r="C77" s="219"/>
      <c r="D77" s="143" t="s">
        <v>111</v>
      </c>
      <c r="E77" s="143" t="s">
        <v>111</v>
      </c>
      <c r="F77" s="143"/>
      <c r="G77" s="143"/>
      <c r="H77" s="143"/>
      <c r="I77" s="143"/>
      <c r="J77" s="143"/>
      <c r="K77" s="143"/>
      <c r="L77" s="143"/>
      <c r="M77" s="539"/>
      <c r="N77" s="522"/>
      <c r="O77" s="522"/>
      <c r="P77" s="522"/>
      <c r="Q77" s="522"/>
      <c r="R77" s="522"/>
      <c r="S77" s="522"/>
      <c r="T77" s="522"/>
      <c r="U77" s="143"/>
      <c r="V77" s="143"/>
      <c r="W77" s="143"/>
      <c r="X77" s="143"/>
      <c r="Y77" s="143"/>
      <c r="Z77" s="143"/>
      <c r="AA77" s="143"/>
      <c r="AB77" s="143"/>
      <c r="AC77" s="143"/>
      <c r="AD77" s="142"/>
      <c r="AE77" s="142"/>
      <c r="AF77" s="142"/>
      <c r="AG77" s="142"/>
      <c r="AH77" s="142"/>
      <c r="AI77" s="142"/>
      <c r="AJ77" s="143"/>
      <c r="AK77" s="142"/>
      <c r="AL77" s="142"/>
      <c r="AM77" s="219"/>
      <c r="AN77" s="142"/>
      <c r="AO77" s="142"/>
      <c r="AP77" s="142"/>
      <c r="AQ77" s="142"/>
      <c r="AR77" s="142"/>
      <c r="AS77" s="142"/>
      <c r="AT77" s="142"/>
      <c r="AU77" s="539" t="str">
        <f t="shared" ca="1" si="4"/>
        <v/>
      </c>
      <c r="AV77" s="142"/>
      <c r="AW77" s="142"/>
      <c r="AX77" s="487"/>
      <c r="AY77" s="142"/>
      <c r="AZ77" s="142"/>
    </row>
    <row r="78" spans="1:52" s="139" customFormat="1" hidden="1" x14ac:dyDescent="0.3">
      <c r="A78" s="219"/>
      <c r="B78" s="224"/>
      <c r="C78" s="219"/>
      <c r="D78" s="143">
        <v>1</v>
      </c>
      <c r="E78" s="143"/>
      <c r="F78" s="143"/>
      <c r="G78" s="143"/>
      <c r="H78" s="143"/>
      <c r="I78" s="143"/>
      <c r="J78" s="143"/>
      <c r="K78" s="143"/>
      <c r="L78" s="143"/>
      <c r="M78" s="539"/>
      <c r="N78" s="522"/>
      <c r="O78" s="541" t="s">
        <v>219</v>
      </c>
      <c r="P78" s="522"/>
      <c r="Q78" s="522"/>
      <c r="R78" s="522"/>
      <c r="S78" s="522"/>
      <c r="T78" s="522"/>
      <c r="U78" s="143"/>
      <c r="V78" s="143"/>
      <c r="W78" s="143"/>
      <c r="X78" s="143"/>
      <c r="Y78" s="143"/>
      <c r="Z78" s="143"/>
      <c r="AA78" s="143"/>
      <c r="AB78" s="143"/>
      <c r="AC78" s="143"/>
      <c r="AD78" s="142"/>
      <c r="AE78" s="142"/>
      <c r="AF78" s="142"/>
      <c r="AG78" s="142"/>
      <c r="AH78" s="142"/>
      <c r="AI78" s="142"/>
      <c r="AJ78" s="143"/>
      <c r="AK78" s="142"/>
      <c r="AL78" s="142"/>
      <c r="AM78" s="219"/>
      <c r="AN78" s="142"/>
      <c r="AO78" s="142"/>
      <c r="AP78" s="142"/>
      <c r="AQ78" s="142"/>
      <c r="AR78" s="142"/>
      <c r="AS78" s="142"/>
      <c r="AT78" s="142"/>
      <c r="AU78" s="539" t="str">
        <f t="shared" ca="1" si="4"/>
        <v/>
      </c>
      <c r="AV78" s="142"/>
      <c r="AW78" s="142"/>
      <c r="AX78" s="487"/>
      <c r="AY78" s="142"/>
      <c r="AZ78" s="142"/>
    </row>
    <row r="79" spans="1:52" s="139" customFormat="1" ht="25.5" hidden="1" customHeight="1" x14ac:dyDescent="0.3">
      <c r="A79" s="219"/>
      <c r="B79" s="224"/>
      <c r="C79" s="219"/>
      <c r="D79" s="143" t="s">
        <v>76</v>
      </c>
      <c r="E79" s="143" t="s">
        <v>76</v>
      </c>
      <c r="F79" s="143"/>
      <c r="G79" s="143"/>
      <c r="H79" s="143"/>
      <c r="I79" s="143"/>
      <c r="J79" s="143"/>
      <c r="K79" s="143"/>
      <c r="L79" s="143"/>
      <c r="M79" s="539"/>
      <c r="N79" s="522"/>
      <c r="O79" s="522" t="s">
        <v>220</v>
      </c>
      <c r="P79" s="522"/>
      <c r="Q79" s="522"/>
      <c r="R79" s="522">
        <f ca="1">IF(AND(Y15&gt;10,Y15&lt;15),Rates!K59,IF(AND(Y15&gt;=15,Y15&lt;20),Rates!K60,IF(Y15&lt;11,0,'MC-Working'!I20)))</f>
        <v>0</v>
      </c>
      <c r="S79" s="522"/>
      <c r="T79" s="522"/>
      <c r="U79" s="143"/>
      <c r="V79" s="143"/>
      <c r="W79" s="143"/>
      <c r="X79" s="143"/>
      <c r="Y79" s="143"/>
      <c r="Z79" s="143"/>
      <c r="AA79" s="143"/>
      <c r="AB79" s="143"/>
      <c r="AC79" s="143"/>
      <c r="AD79" s="142"/>
      <c r="AE79" s="142"/>
      <c r="AF79" s="142"/>
      <c r="AG79" s="142"/>
      <c r="AH79" s="142"/>
      <c r="AI79" s="142"/>
      <c r="AJ79" s="143"/>
      <c r="AK79" s="142"/>
      <c r="AL79" s="142"/>
      <c r="AM79" s="219"/>
      <c r="AN79" s="142"/>
      <c r="AO79" s="142"/>
      <c r="AP79" s="142"/>
      <c r="AQ79" s="142"/>
      <c r="AR79" s="142"/>
      <c r="AS79" s="142"/>
      <c r="AT79" s="142"/>
      <c r="AU79" s="539" t="str">
        <f t="shared" ca="1" si="4"/>
        <v/>
      </c>
      <c r="AV79" s="142"/>
      <c r="AW79" s="142"/>
      <c r="AX79" s="487"/>
      <c r="AY79" s="142"/>
      <c r="AZ79" s="142"/>
    </row>
    <row r="80" spans="1:52" s="139" customFormat="1" hidden="1" x14ac:dyDescent="0.3">
      <c r="A80" s="219"/>
      <c r="B80" s="224"/>
      <c r="C80" s="219"/>
      <c r="D80" s="143" t="s">
        <v>111</v>
      </c>
      <c r="E80" s="143" t="s">
        <v>111</v>
      </c>
      <c r="F80" s="143"/>
      <c r="G80" s="143"/>
      <c r="H80" s="143"/>
      <c r="I80" s="143"/>
      <c r="J80" s="143"/>
      <c r="K80" s="143"/>
      <c r="L80" s="143"/>
      <c r="M80" s="539"/>
      <c r="N80" s="522"/>
      <c r="O80" s="522" t="s">
        <v>39</v>
      </c>
      <c r="P80" s="522"/>
      <c r="Q80" s="522"/>
      <c r="R80" s="522">
        <f>IF(OR(H9=Administration!C21,'MC-Working'!H9=Administration!C22),Rates!K61,0)</f>
        <v>0</v>
      </c>
      <c r="S80" s="522"/>
      <c r="T80" s="522"/>
      <c r="U80" s="143"/>
      <c r="V80" s="143"/>
      <c r="W80" s="143"/>
      <c r="X80" s="143"/>
      <c r="Y80" s="143"/>
      <c r="Z80" s="143"/>
      <c r="AA80" s="143"/>
      <c r="AB80" s="143"/>
      <c r="AC80" s="143"/>
      <c r="AD80" s="142"/>
      <c r="AE80" s="142"/>
      <c r="AF80" s="142"/>
      <c r="AG80" s="142"/>
      <c r="AH80" s="142"/>
      <c r="AI80" s="142"/>
      <c r="AJ80" s="143"/>
      <c r="AK80" s="142"/>
      <c r="AL80" s="142"/>
      <c r="AM80" s="219"/>
      <c r="AN80" s="142"/>
      <c r="AO80" s="142"/>
      <c r="AP80" s="142"/>
      <c r="AQ80" s="142"/>
      <c r="AR80" s="142"/>
      <c r="AS80" s="142"/>
      <c r="AT80" s="142"/>
      <c r="AU80" s="539" t="str">
        <f t="shared" ca="1" si="4"/>
        <v/>
      </c>
      <c r="AV80" s="142"/>
      <c r="AW80" s="142"/>
      <c r="AX80" s="487"/>
      <c r="AY80" s="142"/>
      <c r="AZ80" s="142"/>
    </row>
    <row r="81" spans="1:52" s="139" customFormat="1" hidden="1" x14ac:dyDescent="0.3">
      <c r="A81" s="219"/>
      <c r="B81" s="224"/>
      <c r="C81" s="219"/>
      <c r="D81" s="143"/>
      <c r="E81" s="143"/>
      <c r="F81" s="143"/>
      <c r="G81" s="143"/>
      <c r="H81" s="143"/>
      <c r="I81" s="143"/>
      <c r="J81" s="143"/>
      <c r="K81" s="143"/>
      <c r="L81" s="143"/>
      <c r="M81" s="539"/>
      <c r="N81" s="522"/>
      <c r="O81" s="522" t="s">
        <v>40</v>
      </c>
      <c r="P81" s="522"/>
      <c r="Q81" s="522"/>
      <c r="R81" s="522">
        <f>IF(H9="Rent A vehicle",Rates!K62,0)</f>
        <v>0</v>
      </c>
      <c r="S81" s="522"/>
      <c r="T81" s="522"/>
      <c r="U81" s="143"/>
      <c r="V81" s="143"/>
      <c r="W81" s="143"/>
      <c r="X81" s="143"/>
      <c r="Y81" s="143"/>
      <c r="Z81" s="143"/>
      <c r="AA81" s="143"/>
      <c r="AB81" s="143"/>
      <c r="AC81" s="143"/>
      <c r="AD81" s="142"/>
      <c r="AE81" s="142"/>
      <c r="AF81" s="142"/>
      <c r="AG81" s="142"/>
      <c r="AH81" s="142"/>
      <c r="AI81" s="142"/>
      <c r="AJ81" s="143"/>
      <c r="AK81" s="142"/>
      <c r="AL81" s="142"/>
      <c r="AM81" s="219"/>
      <c r="AN81" s="142"/>
      <c r="AO81" s="142"/>
      <c r="AP81" s="142"/>
      <c r="AQ81" s="142"/>
      <c r="AR81" s="142"/>
      <c r="AS81" s="142"/>
      <c r="AT81" s="142"/>
      <c r="AU81" s="539" t="str">
        <f t="shared" ca="1" si="4"/>
        <v/>
      </c>
      <c r="AV81" s="142"/>
      <c r="AW81" s="142"/>
      <c r="AX81" s="487"/>
      <c r="AY81" s="142"/>
      <c r="AZ81" s="142"/>
    </row>
    <row r="82" spans="1:52" s="139" customFormat="1" hidden="1" x14ac:dyDescent="0.3">
      <c r="A82" s="219"/>
      <c r="B82" s="224"/>
      <c r="C82" s="219"/>
      <c r="D82" s="143" t="s">
        <v>76</v>
      </c>
      <c r="E82" s="143" t="s">
        <v>76</v>
      </c>
      <c r="F82" s="143"/>
      <c r="G82" s="143"/>
      <c r="H82" s="143"/>
      <c r="I82" s="143"/>
      <c r="J82" s="143"/>
      <c r="K82" s="143"/>
      <c r="L82" s="143"/>
      <c r="M82" s="539"/>
      <c r="N82" s="522"/>
      <c r="O82" s="521" t="s">
        <v>273</v>
      </c>
      <c r="P82" s="522"/>
      <c r="Q82" s="522"/>
      <c r="R82" s="542">
        <f ca="1">SUM(R79:R81)</f>
        <v>0</v>
      </c>
      <c r="S82" s="522"/>
      <c r="T82" s="522"/>
      <c r="U82" s="143"/>
      <c r="V82" s="143"/>
      <c r="W82" s="143"/>
      <c r="X82" s="143"/>
      <c r="Y82" s="143"/>
      <c r="Z82" s="143"/>
      <c r="AA82" s="143"/>
      <c r="AB82" s="143"/>
      <c r="AC82" s="143"/>
      <c r="AD82" s="142"/>
      <c r="AE82" s="142"/>
      <c r="AF82" s="142"/>
      <c r="AG82" s="142"/>
      <c r="AH82" s="142"/>
      <c r="AI82" s="142"/>
      <c r="AJ82" s="143"/>
      <c r="AK82" s="142"/>
      <c r="AL82" s="142"/>
      <c r="AM82" s="219"/>
      <c r="AN82" s="142"/>
      <c r="AO82" s="142"/>
      <c r="AP82" s="142"/>
      <c r="AQ82" s="142"/>
      <c r="AR82" s="142"/>
      <c r="AS82" s="142"/>
      <c r="AT82" s="142"/>
      <c r="AU82" s="539" t="str">
        <f t="shared" ca="1" si="4"/>
        <v/>
      </c>
      <c r="AV82" s="142"/>
      <c r="AW82" s="142"/>
      <c r="AX82" s="487"/>
      <c r="AY82" s="142"/>
      <c r="AZ82" s="142"/>
    </row>
    <row r="83" spans="1:52" s="139" customFormat="1" hidden="1" x14ac:dyDescent="0.3">
      <c r="A83" s="219"/>
      <c r="B83" s="224"/>
      <c r="C83" s="219"/>
      <c r="D83" s="143" t="s">
        <v>111</v>
      </c>
      <c r="E83" s="143" t="s">
        <v>111</v>
      </c>
      <c r="F83" s="143"/>
      <c r="G83" s="143"/>
      <c r="H83" s="143"/>
      <c r="I83" s="143"/>
      <c r="J83" s="143"/>
      <c r="K83" s="143"/>
      <c r="L83" s="143"/>
      <c r="M83" s="539"/>
      <c r="N83" s="522"/>
      <c r="O83" s="522"/>
      <c r="P83" s="522"/>
      <c r="Q83" s="522"/>
      <c r="R83" s="522"/>
      <c r="S83" s="522"/>
      <c r="T83" s="522"/>
      <c r="U83" s="143"/>
      <c r="V83" s="143"/>
      <c r="W83" s="143"/>
      <c r="X83" s="143"/>
      <c r="Y83" s="143"/>
      <c r="Z83" s="143"/>
      <c r="AA83" s="143"/>
      <c r="AB83" s="143"/>
      <c r="AC83" s="143"/>
      <c r="AD83" s="142"/>
      <c r="AE83" s="142"/>
      <c r="AF83" s="142"/>
      <c r="AG83" s="142"/>
      <c r="AH83" s="142"/>
      <c r="AI83" s="142"/>
      <c r="AJ83" s="143"/>
      <c r="AK83" s="142"/>
      <c r="AL83" s="142"/>
      <c r="AM83" s="219"/>
      <c r="AN83" s="142"/>
      <c r="AO83" s="142"/>
      <c r="AP83" s="142"/>
      <c r="AQ83" s="142"/>
      <c r="AR83" s="142"/>
      <c r="AS83" s="142"/>
      <c r="AT83" s="142"/>
      <c r="AU83" s="539" t="str">
        <f t="shared" ca="1" si="4"/>
        <v/>
      </c>
      <c r="AV83" s="142"/>
      <c r="AW83" s="142"/>
      <c r="AX83" s="487"/>
      <c r="AY83" s="142"/>
      <c r="AZ83" s="142"/>
    </row>
    <row r="84" spans="1:52" s="139" customFormat="1" hidden="1" x14ac:dyDescent="0.3">
      <c r="A84" s="219"/>
      <c r="B84" s="224"/>
      <c r="C84" s="219"/>
      <c r="D84" s="143"/>
      <c r="E84" s="143"/>
      <c r="F84" s="143"/>
      <c r="G84" s="143"/>
      <c r="H84" s="143"/>
      <c r="I84" s="143"/>
      <c r="J84" s="143"/>
      <c r="K84" s="143"/>
      <c r="L84" s="143"/>
      <c r="M84" s="539"/>
      <c r="N84" s="522"/>
      <c r="O84" s="522" t="s">
        <v>58</v>
      </c>
      <c r="P84" s="522"/>
      <c r="Q84" s="522"/>
      <c r="R84" s="522">
        <f>IF(M8=Administration!C13,Rates!K66,IF('MC-Working'!M8=Administration!C14,Rates!K67,0))</f>
        <v>2500</v>
      </c>
      <c r="S84" s="522"/>
      <c r="T84" s="522"/>
      <c r="U84" s="143"/>
      <c r="V84" s="143"/>
      <c r="W84" s="143"/>
      <c r="X84" s="143"/>
      <c r="Y84" s="143"/>
      <c r="Z84" s="143"/>
      <c r="AA84" s="143"/>
      <c r="AB84" s="143"/>
      <c r="AC84" s="143"/>
      <c r="AD84" s="142"/>
      <c r="AE84" s="142"/>
      <c r="AF84" s="142"/>
      <c r="AG84" s="142"/>
      <c r="AH84" s="142"/>
      <c r="AI84" s="142"/>
      <c r="AJ84" s="143"/>
      <c r="AK84" s="142"/>
      <c r="AL84" s="142"/>
      <c r="AM84" s="219"/>
      <c r="AN84" s="142"/>
      <c r="AO84" s="142"/>
      <c r="AP84" s="142"/>
      <c r="AQ84" s="142"/>
      <c r="AR84" s="142"/>
      <c r="AS84" s="142"/>
      <c r="AT84" s="142"/>
      <c r="AU84" s="539" t="str">
        <f t="shared" ca="1" si="4"/>
        <v/>
      </c>
      <c r="AV84" s="142"/>
      <c r="AW84" s="142"/>
      <c r="AX84" s="487"/>
      <c r="AY84" s="142"/>
      <c r="AZ84" s="142"/>
    </row>
    <row r="85" spans="1:52" s="139" customFormat="1" hidden="1" x14ac:dyDescent="0.3">
      <c r="A85" s="219"/>
      <c r="B85" s="224"/>
      <c r="C85" s="219"/>
      <c r="D85" s="143"/>
      <c r="E85" s="143"/>
      <c r="F85" s="143"/>
      <c r="G85" s="143"/>
      <c r="H85" s="143"/>
      <c r="I85" s="143"/>
      <c r="J85" s="143"/>
      <c r="K85" s="143"/>
      <c r="L85" s="143"/>
      <c r="M85" s="539"/>
      <c r="N85" s="522"/>
      <c r="O85" s="522" t="s">
        <v>206</v>
      </c>
      <c r="P85" s="522"/>
      <c r="Q85" s="522"/>
      <c r="R85" s="522">
        <f>IF(M8=Administration!C9,Rates!K69,0)</f>
        <v>0</v>
      </c>
      <c r="S85" s="522"/>
      <c r="T85" s="522"/>
      <c r="U85" s="143"/>
      <c r="V85" s="143"/>
      <c r="W85" s="143"/>
      <c r="X85" s="143"/>
      <c r="Y85" s="143"/>
      <c r="Z85" s="143"/>
      <c r="AA85" s="143"/>
      <c r="AB85" s="143"/>
      <c r="AC85" s="143"/>
      <c r="AD85" s="142"/>
      <c r="AE85" s="142"/>
      <c r="AF85" s="142"/>
      <c r="AG85" s="142"/>
      <c r="AH85" s="142"/>
      <c r="AI85" s="142"/>
      <c r="AJ85" s="143"/>
      <c r="AK85" s="142"/>
      <c r="AL85" s="142"/>
      <c r="AM85" s="219"/>
      <c r="AN85" s="142"/>
      <c r="AO85" s="142"/>
      <c r="AP85" s="142"/>
      <c r="AQ85" s="142"/>
      <c r="AR85" s="142"/>
      <c r="AS85" s="142"/>
      <c r="AT85" s="142"/>
      <c r="AU85" s="539" t="str">
        <f t="shared" ca="1" si="4"/>
        <v/>
      </c>
      <c r="AV85" s="142"/>
      <c r="AW85" s="142"/>
      <c r="AX85" s="487"/>
      <c r="AY85" s="142"/>
      <c r="AZ85" s="142"/>
    </row>
    <row r="86" spans="1:52" s="139" customFormat="1" hidden="1" x14ac:dyDescent="0.3">
      <c r="A86" s="219"/>
      <c r="B86" s="224"/>
      <c r="C86" s="219"/>
      <c r="D86" s="143"/>
      <c r="E86" s="143"/>
      <c r="F86" s="143"/>
      <c r="G86" s="143"/>
      <c r="H86" s="143"/>
      <c r="I86" s="143"/>
      <c r="J86" s="143"/>
      <c r="K86" s="143"/>
      <c r="L86" s="143"/>
      <c r="M86" s="539"/>
      <c r="N86" s="522"/>
      <c r="O86" s="522" t="s">
        <v>268</v>
      </c>
      <c r="P86" s="522"/>
      <c r="Q86" s="522"/>
      <c r="R86" s="522">
        <f>IF(M8=Administration!C7,Rates!K70,0)</f>
        <v>0</v>
      </c>
      <c r="S86" s="522"/>
      <c r="T86" s="522"/>
      <c r="U86" s="143"/>
      <c r="V86" s="143"/>
      <c r="W86" s="143"/>
      <c r="X86" s="143"/>
      <c r="Y86" s="143"/>
      <c r="Z86" s="143"/>
      <c r="AA86" s="143"/>
      <c r="AB86" s="143"/>
      <c r="AC86" s="143"/>
      <c r="AD86" s="142"/>
      <c r="AE86" s="142"/>
      <c r="AF86" s="142"/>
      <c r="AG86" s="142"/>
      <c r="AH86" s="142"/>
      <c r="AI86" s="142"/>
      <c r="AJ86" s="143"/>
      <c r="AK86" s="142"/>
      <c r="AL86" s="142"/>
      <c r="AM86" s="219"/>
      <c r="AN86" s="142"/>
      <c r="AO86" s="142"/>
      <c r="AP86" s="142"/>
      <c r="AQ86" s="142"/>
      <c r="AR86" s="142"/>
      <c r="AS86" s="142"/>
      <c r="AT86" s="142"/>
      <c r="AU86" s="539" t="str">
        <f t="shared" ca="1" si="4"/>
        <v/>
      </c>
      <c r="AV86" s="142"/>
      <c r="AW86" s="142"/>
      <c r="AX86" s="487"/>
      <c r="AY86" s="142"/>
      <c r="AZ86" s="142"/>
    </row>
    <row r="87" spans="1:52" s="139" customFormat="1" hidden="1" x14ac:dyDescent="0.3">
      <c r="A87" s="219"/>
      <c r="B87" s="224"/>
      <c r="C87" s="219"/>
      <c r="D87" s="143"/>
      <c r="E87" s="143"/>
      <c r="F87" s="143"/>
      <c r="G87" s="143"/>
      <c r="H87" s="143"/>
      <c r="I87" s="143"/>
      <c r="J87" s="143"/>
      <c r="K87" s="143"/>
      <c r="L87" s="143"/>
      <c r="M87" s="539"/>
      <c r="N87" s="522"/>
      <c r="O87" s="522" t="s">
        <v>269</v>
      </c>
      <c r="P87" s="522"/>
      <c r="Q87" s="522"/>
      <c r="R87" s="522">
        <f>IF(M8=Administration!C8,Rates!K71,0)</f>
        <v>0</v>
      </c>
      <c r="S87" s="522"/>
      <c r="T87" s="522"/>
      <c r="U87" s="143"/>
      <c r="V87" s="143"/>
      <c r="W87" s="143"/>
      <c r="X87" s="143"/>
      <c r="Y87" s="143"/>
      <c r="Z87" s="143"/>
      <c r="AA87" s="143"/>
      <c r="AB87" s="143"/>
      <c r="AC87" s="143"/>
      <c r="AD87" s="142"/>
      <c r="AE87" s="142"/>
      <c r="AF87" s="142"/>
      <c r="AG87" s="142"/>
      <c r="AH87" s="142"/>
      <c r="AI87" s="142"/>
      <c r="AJ87" s="143"/>
      <c r="AK87" s="142"/>
      <c r="AL87" s="142"/>
      <c r="AM87" s="219"/>
      <c r="AN87" s="142"/>
      <c r="AO87" s="142"/>
      <c r="AP87" s="142"/>
      <c r="AQ87" s="142"/>
      <c r="AR87" s="142"/>
      <c r="AS87" s="142"/>
      <c r="AT87" s="142"/>
      <c r="AU87" s="539" t="e">
        <f t="shared" ref="AU87:AU107" ca="1" si="5">AU86+1</f>
        <v>#VALUE!</v>
      </c>
      <c r="AV87" s="142"/>
      <c r="AW87" s="142"/>
      <c r="AX87" s="487"/>
      <c r="AY87" s="142"/>
      <c r="AZ87" s="142"/>
    </row>
    <row r="88" spans="1:52" s="139" customFormat="1" hidden="1" x14ac:dyDescent="0.3">
      <c r="A88" s="219"/>
      <c r="B88" s="224"/>
      <c r="C88" s="219"/>
      <c r="D88" s="143"/>
      <c r="E88" s="143"/>
      <c r="F88" s="143"/>
      <c r="G88" s="143"/>
      <c r="H88" s="143"/>
      <c r="I88" s="143"/>
      <c r="J88" s="143"/>
      <c r="K88" s="143"/>
      <c r="L88" s="143"/>
      <c r="M88" s="539"/>
      <c r="N88" s="522"/>
      <c r="O88" s="522" t="s">
        <v>270</v>
      </c>
      <c r="P88" s="522"/>
      <c r="Q88" s="522"/>
      <c r="R88" s="522">
        <f>IF(M8=Administration!C16,Rates!K72,0)</f>
        <v>0</v>
      </c>
      <c r="S88" s="522"/>
      <c r="T88" s="522"/>
      <c r="U88" s="143"/>
      <c r="V88" s="143"/>
      <c r="W88" s="143"/>
      <c r="X88" s="143"/>
      <c r="Y88" s="143"/>
      <c r="Z88" s="143"/>
      <c r="AA88" s="143"/>
      <c r="AB88" s="143"/>
      <c r="AC88" s="143"/>
      <c r="AD88" s="142"/>
      <c r="AE88" s="142"/>
      <c r="AF88" s="142"/>
      <c r="AG88" s="142"/>
      <c r="AH88" s="142"/>
      <c r="AI88" s="142"/>
      <c r="AJ88" s="143"/>
      <c r="AK88" s="142"/>
      <c r="AL88" s="142"/>
      <c r="AM88" s="219"/>
      <c r="AN88" s="142"/>
      <c r="AO88" s="142"/>
      <c r="AP88" s="142"/>
      <c r="AQ88" s="142"/>
      <c r="AR88" s="142"/>
      <c r="AS88" s="142"/>
      <c r="AT88" s="142"/>
      <c r="AU88" s="539" t="e">
        <f t="shared" ca="1" si="5"/>
        <v>#VALUE!</v>
      </c>
      <c r="AV88" s="142"/>
      <c r="AW88" s="142"/>
      <c r="AX88" s="487"/>
      <c r="AY88" s="142"/>
      <c r="AZ88" s="142"/>
    </row>
    <row r="89" spans="1:52" s="139" customFormat="1" hidden="1" x14ac:dyDescent="0.3">
      <c r="A89" s="219"/>
      <c r="B89" s="224"/>
      <c r="C89" s="219"/>
      <c r="D89" s="143"/>
      <c r="E89" s="143"/>
      <c r="F89" s="143"/>
      <c r="G89" s="143"/>
      <c r="H89" s="143"/>
      <c r="I89" s="143"/>
      <c r="J89" s="143"/>
      <c r="K89" s="143"/>
      <c r="L89" s="143"/>
      <c r="M89" s="539"/>
      <c r="N89" s="522"/>
      <c r="O89" s="522" t="s">
        <v>356</v>
      </c>
      <c r="P89" s="522"/>
      <c r="Q89" s="522"/>
      <c r="R89" s="522">
        <f>IF(M8=Administration!C11,Rates!K73,0)</f>
        <v>0</v>
      </c>
      <c r="S89" s="522"/>
      <c r="T89" s="522"/>
      <c r="U89" s="143"/>
      <c r="V89" s="143"/>
      <c r="W89" s="143"/>
      <c r="X89" s="143"/>
      <c r="Y89" s="143"/>
      <c r="Z89" s="143"/>
      <c r="AA89" s="143"/>
      <c r="AB89" s="143"/>
      <c r="AC89" s="143"/>
      <c r="AD89" s="142"/>
      <c r="AE89" s="142"/>
      <c r="AF89" s="142"/>
      <c r="AG89" s="142"/>
      <c r="AH89" s="142"/>
      <c r="AI89" s="142"/>
      <c r="AJ89" s="143"/>
      <c r="AK89" s="142"/>
      <c r="AL89" s="142"/>
      <c r="AM89" s="219"/>
      <c r="AN89" s="142"/>
      <c r="AO89" s="142"/>
      <c r="AP89" s="142"/>
      <c r="AQ89" s="142"/>
      <c r="AR89" s="142"/>
      <c r="AS89" s="142"/>
      <c r="AT89" s="142"/>
      <c r="AU89" s="539" t="e">
        <f t="shared" ca="1" si="5"/>
        <v>#VALUE!</v>
      </c>
      <c r="AV89" s="142"/>
      <c r="AW89" s="142"/>
      <c r="AX89" s="487"/>
      <c r="AY89" s="142"/>
      <c r="AZ89" s="142"/>
    </row>
    <row r="90" spans="1:52" s="139" customFormat="1" hidden="1" x14ac:dyDescent="0.3">
      <c r="A90" s="219"/>
      <c r="B90" s="224"/>
      <c r="C90" s="219"/>
      <c r="D90" s="143"/>
      <c r="E90" s="143"/>
      <c r="F90" s="143"/>
      <c r="G90" s="143"/>
      <c r="H90" s="143"/>
      <c r="I90" s="143"/>
      <c r="J90" s="143"/>
      <c r="K90" s="143"/>
      <c r="L90" s="143"/>
      <c r="M90" s="539"/>
      <c r="N90" s="522"/>
      <c r="O90" s="522" t="s">
        <v>207</v>
      </c>
      <c r="P90" s="522"/>
      <c r="Q90" s="522"/>
      <c r="R90" s="522">
        <f>IF(M8=Administration!C10,Rates!K74,0)</f>
        <v>0</v>
      </c>
      <c r="S90" s="522"/>
      <c r="T90" s="522"/>
      <c r="U90" s="143"/>
      <c r="V90" s="143"/>
      <c r="W90" s="143"/>
      <c r="X90" s="143"/>
      <c r="Y90" s="143"/>
      <c r="Z90" s="143"/>
      <c r="AA90" s="143"/>
      <c r="AB90" s="143"/>
      <c r="AC90" s="143"/>
      <c r="AD90" s="142"/>
      <c r="AE90" s="142"/>
      <c r="AF90" s="142"/>
      <c r="AG90" s="142"/>
      <c r="AH90" s="142"/>
      <c r="AI90" s="142"/>
      <c r="AJ90" s="143"/>
      <c r="AK90" s="142"/>
      <c r="AL90" s="142"/>
      <c r="AM90" s="219"/>
      <c r="AN90" s="142"/>
      <c r="AO90" s="142"/>
      <c r="AP90" s="142"/>
      <c r="AQ90" s="142"/>
      <c r="AR90" s="142"/>
      <c r="AS90" s="142"/>
      <c r="AT90" s="142"/>
      <c r="AU90" s="539" t="e">
        <f t="shared" ca="1" si="5"/>
        <v>#VALUE!</v>
      </c>
      <c r="AV90" s="142"/>
      <c r="AW90" s="142"/>
      <c r="AX90" s="487"/>
      <c r="AY90" s="142"/>
      <c r="AZ90" s="142"/>
    </row>
    <row r="91" spans="1:52" s="139" customFormat="1" hidden="1" x14ac:dyDescent="0.3">
      <c r="A91" s="219"/>
      <c r="B91" s="224"/>
      <c r="C91" s="219"/>
      <c r="D91" s="143"/>
      <c r="E91" s="143"/>
      <c r="F91" s="143"/>
      <c r="G91" s="143"/>
      <c r="H91" s="143"/>
      <c r="I91" s="143"/>
      <c r="J91" s="143"/>
      <c r="K91" s="143"/>
      <c r="L91" s="143"/>
      <c r="M91" s="539"/>
      <c r="N91" s="522"/>
      <c r="O91" s="522" t="s">
        <v>211</v>
      </c>
      <c r="P91" s="522"/>
      <c r="Q91" s="522"/>
      <c r="R91" s="522">
        <f>IF(M8=Administration!C15,Rates!K75,0)</f>
        <v>0</v>
      </c>
      <c r="S91" s="522"/>
      <c r="T91" s="522"/>
      <c r="U91" s="143"/>
      <c r="V91" s="143"/>
      <c r="W91" s="143"/>
      <c r="X91" s="143"/>
      <c r="Y91" s="143"/>
      <c r="Z91" s="143"/>
      <c r="AA91" s="143"/>
      <c r="AB91" s="143"/>
      <c r="AC91" s="143"/>
      <c r="AD91" s="142"/>
      <c r="AE91" s="142"/>
      <c r="AF91" s="142"/>
      <c r="AG91" s="142"/>
      <c r="AH91" s="142"/>
      <c r="AI91" s="142"/>
      <c r="AJ91" s="143"/>
      <c r="AK91" s="142"/>
      <c r="AL91" s="142"/>
      <c r="AM91" s="219"/>
      <c r="AN91" s="142"/>
      <c r="AO91" s="142"/>
      <c r="AP91" s="142"/>
      <c r="AQ91" s="142"/>
      <c r="AR91" s="142"/>
      <c r="AS91" s="142"/>
      <c r="AT91" s="142"/>
      <c r="AU91" s="539" t="e">
        <f t="shared" ca="1" si="5"/>
        <v>#VALUE!</v>
      </c>
      <c r="AV91" s="142"/>
      <c r="AW91" s="142"/>
      <c r="AX91" s="487"/>
      <c r="AY91" s="142"/>
      <c r="AZ91" s="142"/>
    </row>
    <row r="92" spans="1:52" s="139" customFormat="1" hidden="1" x14ac:dyDescent="0.3">
      <c r="A92" s="143"/>
      <c r="B92" s="4"/>
      <c r="C92" s="219"/>
      <c r="D92" s="143"/>
      <c r="E92" s="143"/>
      <c r="F92" s="143"/>
      <c r="G92" s="143"/>
      <c r="H92" s="143"/>
      <c r="I92" s="143"/>
      <c r="J92" s="143"/>
      <c r="K92" s="143"/>
      <c r="L92" s="143"/>
      <c r="M92" s="539"/>
      <c r="N92" s="522"/>
      <c r="O92" s="522" t="s">
        <v>208</v>
      </c>
      <c r="P92" s="522"/>
      <c r="Q92" s="522"/>
      <c r="R92" s="522">
        <f>IF(M8=Administration!C12,Rates!K76,0)</f>
        <v>0</v>
      </c>
      <c r="S92" s="522"/>
      <c r="T92" s="522"/>
      <c r="U92" s="143"/>
      <c r="V92" s="143"/>
      <c r="W92" s="143"/>
      <c r="X92" s="143"/>
      <c r="Y92" s="143"/>
      <c r="Z92" s="143"/>
      <c r="AA92" s="143"/>
      <c r="AB92" s="143"/>
      <c r="AC92" s="143"/>
      <c r="AD92" s="142"/>
      <c r="AE92" s="142"/>
      <c r="AF92" s="142"/>
      <c r="AG92" s="142"/>
      <c r="AH92" s="142"/>
      <c r="AI92" s="142"/>
      <c r="AJ92" s="143"/>
      <c r="AK92" s="142"/>
      <c r="AL92" s="142"/>
      <c r="AM92" s="219"/>
      <c r="AN92" s="142"/>
      <c r="AO92" s="142"/>
      <c r="AP92" s="142"/>
      <c r="AQ92" s="142"/>
      <c r="AR92" s="142"/>
      <c r="AS92" s="142"/>
      <c r="AT92" s="142"/>
      <c r="AU92" s="539" t="e">
        <f t="shared" ca="1" si="5"/>
        <v>#VALUE!</v>
      </c>
      <c r="AV92" s="142"/>
      <c r="AW92" s="142"/>
      <c r="AX92" s="487"/>
      <c r="AY92" s="142"/>
      <c r="AZ92" s="142"/>
    </row>
    <row r="93" spans="1:52" s="139" customFormat="1" hidden="1" x14ac:dyDescent="0.3">
      <c r="A93" s="143"/>
      <c r="B93" s="4"/>
      <c r="C93" s="219"/>
      <c r="D93" s="143"/>
      <c r="E93" s="143"/>
      <c r="F93" s="143"/>
      <c r="G93" s="143"/>
      <c r="H93" s="143"/>
      <c r="I93" s="143"/>
      <c r="J93" s="143"/>
      <c r="K93" s="143"/>
      <c r="L93" s="143"/>
      <c r="M93" s="539"/>
      <c r="N93" s="522"/>
      <c r="O93" s="521" t="s">
        <v>264</v>
      </c>
      <c r="P93" s="522"/>
      <c r="Q93" s="522"/>
      <c r="R93" s="543">
        <f ca="1">R82+SUM(R84:R92)+R97</f>
        <v>2500</v>
      </c>
      <c r="S93" s="522"/>
      <c r="T93" s="522"/>
      <c r="U93" s="143"/>
      <c r="V93" s="143"/>
      <c r="W93" s="143"/>
      <c r="X93" s="143"/>
      <c r="Y93" s="143"/>
      <c r="Z93" s="143"/>
      <c r="AA93" s="143"/>
      <c r="AB93" s="143"/>
      <c r="AC93" s="143"/>
      <c r="AD93" s="142"/>
      <c r="AE93" s="142"/>
      <c r="AF93" s="142"/>
      <c r="AG93" s="142"/>
      <c r="AH93" s="142"/>
      <c r="AI93" s="142"/>
      <c r="AJ93" s="143"/>
      <c r="AK93" s="142"/>
      <c r="AL93" s="142"/>
      <c r="AM93" s="219"/>
      <c r="AN93" s="142"/>
      <c r="AO93" s="142"/>
      <c r="AP93" s="142"/>
      <c r="AQ93" s="142"/>
      <c r="AR93" s="142"/>
      <c r="AS93" s="142"/>
      <c r="AT93" s="142"/>
      <c r="AU93" s="539" t="e">
        <f t="shared" ca="1" si="5"/>
        <v>#VALUE!</v>
      </c>
      <c r="AV93" s="142"/>
      <c r="AW93" s="142"/>
      <c r="AX93" s="487"/>
      <c r="AY93" s="142"/>
      <c r="AZ93" s="142"/>
    </row>
    <row r="94" spans="1:52" s="139" customFormat="1" hidden="1" x14ac:dyDescent="0.3">
      <c r="A94" s="143"/>
      <c r="B94" s="4"/>
      <c r="C94" s="219"/>
      <c r="D94" s="143"/>
      <c r="E94" s="143"/>
      <c r="F94" s="143"/>
      <c r="G94" s="143"/>
      <c r="H94" s="143"/>
      <c r="I94" s="143"/>
      <c r="J94" s="143"/>
      <c r="K94" s="143"/>
      <c r="L94" s="143"/>
      <c r="M94" s="539"/>
      <c r="N94" s="522"/>
      <c r="O94" s="522"/>
      <c r="P94" s="522"/>
      <c r="Q94" s="522"/>
      <c r="R94" s="522">
        <f ca="1">IF(AND(I18&gt;R93,I18&lt;H15/2),I18,R93)</f>
        <v>2500</v>
      </c>
      <c r="S94" s="522"/>
      <c r="T94" s="522"/>
      <c r="U94" s="143"/>
      <c r="V94" s="143"/>
      <c r="W94" s="143"/>
      <c r="X94" s="143"/>
      <c r="Y94" s="143"/>
      <c r="Z94" s="143"/>
      <c r="AA94" s="143"/>
      <c r="AB94" s="143"/>
      <c r="AC94" s="143"/>
      <c r="AD94" s="142"/>
      <c r="AE94" s="142"/>
      <c r="AF94" s="142"/>
      <c r="AG94" s="142"/>
      <c r="AH94" s="142"/>
      <c r="AI94" s="142"/>
      <c r="AJ94" s="143"/>
      <c r="AK94" s="142"/>
      <c r="AL94" s="142"/>
      <c r="AM94" s="219"/>
      <c r="AN94" s="142"/>
      <c r="AO94" s="142"/>
      <c r="AP94" s="142"/>
      <c r="AQ94" s="142"/>
      <c r="AR94" s="142"/>
      <c r="AS94" s="142"/>
      <c r="AT94" s="142"/>
      <c r="AU94" s="143" t="e">
        <f t="shared" ca="1" si="5"/>
        <v>#VALUE!</v>
      </c>
      <c r="AV94" s="142"/>
      <c r="AW94" s="142"/>
      <c r="AX94" s="487"/>
      <c r="AY94" s="142"/>
      <c r="AZ94" s="142"/>
    </row>
    <row r="95" spans="1:52" s="139" customFormat="1" hidden="1" x14ac:dyDescent="0.3">
      <c r="A95" s="143"/>
      <c r="B95" s="4"/>
      <c r="D95" s="143"/>
      <c r="E95" s="143"/>
      <c r="F95" s="669" t="s">
        <v>391</v>
      </c>
      <c r="G95" s="143"/>
      <c r="H95" s="143"/>
      <c r="I95" s="143"/>
      <c r="J95" s="143"/>
      <c r="K95" s="143"/>
      <c r="L95" s="143"/>
      <c r="M95" s="539"/>
      <c r="N95" s="522"/>
      <c r="O95" s="522"/>
      <c r="P95" s="522"/>
      <c r="Q95" s="522"/>
      <c r="R95" s="522"/>
      <c r="S95" s="522"/>
      <c r="T95" s="522"/>
      <c r="U95" s="143"/>
      <c r="V95" s="143"/>
      <c r="W95" s="143"/>
      <c r="X95" s="143"/>
      <c r="Y95" s="143"/>
      <c r="Z95" s="143"/>
      <c r="AA95" s="143"/>
      <c r="AB95" s="143"/>
      <c r="AC95" s="143"/>
      <c r="AD95" s="142"/>
      <c r="AE95" s="142"/>
      <c r="AF95" s="142"/>
      <c r="AG95" s="142"/>
      <c r="AH95" s="142"/>
      <c r="AI95" s="142"/>
      <c r="AJ95" s="143"/>
      <c r="AK95" s="142"/>
      <c r="AL95" s="142"/>
      <c r="AM95" s="219"/>
      <c r="AN95" s="142"/>
      <c r="AO95" s="142"/>
      <c r="AP95" s="142"/>
      <c r="AQ95" s="142"/>
      <c r="AR95" s="142"/>
      <c r="AS95" s="142"/>
      <c r="AT95" s="142"/>
      <c r="AU95" s="143" t="e">
        <f t="shared" ca="1" si="5"/>
        <v>#VALUE!</v>
      </c>
      <c r="AV95" s="142"/>
      <c r="AW95" s="142"/>
      <c r="AX95" s="487"/>
      <c r="AY95" s="142"/>
      <c r="AZ95" s="142"/>
    </row>
    <row r="96" spans="1:52" s="139" customFormat="1" ht="20.149999999999999" hidden="1" customHeight="1" x14ac:dyDescent="0.3">
      <c r="A96" s="143"/>
      <c r="B96" s="4"/>
      <c r="D96" s="143"/>
      <c r="E96" s="143"/>
      <c r="F96" s="689" t="str">
        <f>Administration!J6</f>
        <v>Abans Finance PLC</v>
      </c>
      <c r="G96" s="143"/>
      <c r="H96" s="143"/>
      <c r="I96" s="143"/>
      <c r="J96" s="143"/>
      <c r="K96" s="143"/>
      <c r="L96" s="219"/>
      <c r="M96" s="540" t="s">
        <v>230</v>
      </c>
      <c r="N96" s="522" t="s">
        <v>265</v>
      </c>
      <c r="O96" s="522"/>
      <c r="P96" s="522"/>
      <c r="Q96" s="522"/>
      <c r="R96" s="1792" t="str">
        <f>IF(X43&gt;0,MAX(H30*Rates!K68%,Rates!L68),"")</f>
        <v/>
      </c>
      <c r="S96" s="1792"/>
      <c r="T96" s="1792"/>
      <c r="U96" s="143"/>
      <c r="V96" s="143"/>
      <c r="W96" s="143"/>
      <c r="X96" s="143"/>
      <c r="Y96" s="143"/>
      <c r="Z96" s="143"/>
      <c r="AA96" s="143"/>
      <c r="AB96" s="143"/>
      <c r="AC96" s="143"/>
      <c r="AD96" s="142"/>
      <c r="AE96" s="142"/>
      <c r="AF96" s="142"/>
      <c r="AG96" s="142"/>
      <c r="AH96" s="142"/>
      <c r="AI96" s="142"/>
      <c r="AJ96" s="143"/>
      <c r="AK96" s="142"/>
      <c r="AL96" s="142"/>
      <c r="AM96" s="219"/>
      <c r="AN96" s="142"/>
      <c r="AO96" s="142"/>
      <c r="AP96" s="142"/>
      <c r="AQ96" s="142"/>
      <c r="AR96" s="142"/>
      <c r="AS96" s="142"/>
      <c r="AT96" s="142"/>
      <c r="AU96" s="143" t="e">
        <f t="shared" ca="1" si="5"/>
        <v>#VALUE!</v>
      </c>
      <c r="AV96" s="142"/>
      <c r="AW96" s="142"/>
      <c r="AX96" s="487"/>
      <c r="AY96" s="142"/>
      <c r="AZ96" s="142"/>
    </row>
    <row r="97" spans="1:52" s="139" customFormat="1" ht="20.149999999999999" hidden="1" customHeight="1" x14ac:dyDescent="0.3">
      <c r="A97" s="143"/>
      <c r="B97" s="4"/>
      <c r="D97" s="143"/>
      <c r="E97" s="143"/>
      <c r="F97" s="689" t="str">
        <f>Administration!J7</f>
        <v>Alliance Finance Co. PLC</v>
      </c>
      <c r="G97" s="143"/>
      <c r="H97" s="143"/>
      <c r="I97" s="143"/>
      <c r="J97" s="143"/>
      <c r="K97" s="143"/>
      <c r="L97" s="219"/>
      <c r="M97" s="539"/>
      <c r="N97" s="522"/>
      <c r="O97" s="522" t="s">
        <v>223</v>
      </c>
      <c r="P97" s="522"/>
      <c r="Q97" s="522"/>
      <c r="R97" s="544">
        <f>I22</f>
        <v>0</v>
      </c>
      <c r="S97" s="522"/>
      <c r="T97" s="522"/>
      <c r="U97" s="143"/>
      <c r="V97" s="143"/>
      <c r="W97" s="143"/>
      <c r="X97" s="143"/>
      <c r="Y97" s="143"/>
      <c r="Z97" s="143"/>
      <c r="AA97" s="143"/>
      <c r="AB97" s="143"/>
      <c r="AC97" s="143"/>
      <c r="AD97" s="142"/>
      <c r="AE97" s="142"/>
      <c r="AF97" s="142"/>
      <c r="AG97" s="142"/>
      <c r="AH97" s="142"/>
      <c r="AI97" s="142"/>
      <c r="AJ97" s="143"/>
      <c r="AK97" s="142"/>
      <c r="AL97" s="142"/>
      <c r="AM97" s="219"/>
      <c r="AN97" s="142"/>
      <c r="AO97" s="142"/>
      <c r="AP97" s="142"/>
      <c r="AQ97" s="142"/>
      <c r="AR97" s="142"/>
      <c r="AS97" s="142"/>
      <c r="AT97" s="142"/>
      <c r="AU97" s="143" t="e">
        <f t="shared" ca="1" si="5"/>
        <v>#VALUE!</v>
      </c>
      <c r="AV97" s="142"/>
      <c r="AW97" s="142"/>
      <c r="AX97" s="487"/>
      <c r="AY97" s="142"/>
      <c r="AZ97" s="142"/>
    </row>
    <row r="98" spans="1:52" s="139" customFormat="1" ht="20.149999999999999" hidden="1" customHeight="1" x14ac:dyDescent="0.3">
      <c r="A98" s="143"/>
      <c r="B98" s="4"/>
      <c r="D98" s="143"/>
      <c r="E98" s="143"/>
      <c r="F98" s="689" t="str">
        <f>Administration!J8</f>
        <v>Asia Asset Finance Ltd</v>
      </c>
      <c r="G98" s="143"/>
      <c r="H98" s="143"/>
      <c r="I98" s="143"/>
      <c r="J98" s="143"/>
      <c r="K98" s="143"/>
      <c r="L98" s="143"/>
      <c r="M98" s="143"/>
      <c r="N98" s="143"/>
      <c r="O98" s="143" t="s">
        <v>221</v>
      </c>
      <c r="P98" s="219"/>
      <c r="Q98" s="143"/>
      <c r="R98" s="143">
        <f ca="1">IF(OR(C39=1,M39&gt;0),Rates!K63,0)</f>
        <v>0</v>
      </c>
      <c r="S98" s="143"/>
      <c r="T98" s="143"/>
      <c r="U98" s="143"/>
      <c r="V98" s="143"/>
      <c r="W98" s="143"/>
      <c r="X98" s="143"/>
      <c r="Y98" s="143"/>
      <c r="Z98" s="143"/>
      <c r="AA98" s="143"/>
      <c r="AB98" s="143"/>
      <c r="AC98" s="143"/>
      <c r="AD98" s="142"/>
      <c r="AE98" s="142"/>
      <c r="AF98" s="142"/>
      <c r="AG98" s="142"/>
      <c r="AH98" s="142"/>
      <c r="AI98" s="142"/>
      <c r="AJ98" s="143"/>
      <c r="AK98" s="142"/>
      <c r="AL98" s="142"/>
      <c r="AM98" s="219"/>
      <c r="AN98" s="142"/>
      <c r="AO98" s="142"/>
      <c r="AP98" s="142"/>
      <c r="AQ98" s="142"/>
      <c r="AR98" s="142"/>
      <c r="AS98" s="142"/>
      <c r="AT98" s="142"/>
      <c r="AU98" s="143" t="e">
        <f t="shared" ca="1" si="5"/>
        <v>#VALUE!</v>
      </c>
      <c r="AV98" s="142"/>
      <c r="AW98" s="142"/>
      <c r="AX98" s="487"/>
      <c r="AY98" s="142"/>
      <c r="AZ98" s="142"/>
    </row>
    <row r="99" spans="1:52" s="139" customFormat="1" ht="20.149999999999999" hidden="1" customHeight="1" x14ac:dyDescent="0.3">
      <c r="A99" s="143"/>
      <c r="B99" s="4"/>
      <c r="D99" s="143"/>
      <c r="E99" s="143"/>
      <c r="F99" s="689" t="str">
        <f>Administration!J9</f>
        <v>Assetline Leasing Co Ltd</v>
      </c>
      <c r="G99" s="143"/>
      <c r="H99" s="143"/>
      <c r="I99" s="143"/>
      <c r="J99" s="143"/>
      <c r="K99" s="143"/>
      <c r="L99" s="143"/>
      <c r="M99" s="143"/>
      <c r="N99" s="143"/>
      <c r="O99" s="143" t="s">
        <v>222</v>
      </c>
      <c r="P99" s="219"/>
      <c r="Q99" s="143"/>
      <c r="R99" s="143">
        <f>IF(OR(H54&gt;0,M54&gt;0),Rates!K64,0)</f>
        <v>2500</v>
      </c>
      <c r="S99" s="143"/>
      <c r="T99" s="143"/>
      <c r="U99" s="143"/>
      <c r="V99" s="143"/>
      <c r="W99" s="143"/>
      <c r="X99" s="143"/>
      <c r="Y99" s="143"/>
      <c r="Z99" s="143"/>
      <c r="AA99" s="143"/>
      <c r="AB99" s="143"/>
      <c r="AC99" s="143"/>
      <c r="AD99" s="142"/>
      <c r="AE99" s="142"/>
      <c r="AF99" s="142"/>
      <c r="AG99" s="142"/>
      <c r="AH99" s="142"/>
      <c r="AI99" s="142"/>
      <c r="AJ99" s="143"/>
      <c r="AK99" s="142"/>
      <c r="AL99" s="142"/>
      <c r="AM99" s="219"/>
      <c r="AN99" s="142"/>
      <c r="AO99" s="142"/>
      <c r="AP99" s="142"/>
      <c r="AQ99" s="142"/>
      <c r="AR99" s="142"/>
      <c r="AS99" s="142"/>
      <c r="AT99" s="142"/>
      <c r="AU99" s="143" t="e">
        <f t="shared" ca="1" si="5"/>
        <v>#VALUE!</v>
      </c>
      <c r="AV99" s="142"/>
      <c r="AW99" s="142"/>
      <c r="AX99" s="487"/>
      <c r="AY99" s="142"/>
      <c r="AZ99" s="142"/>
    </row>
    <row r="100" spans="1:52" s="139" customFormat="1" ht="20.149999999999999" hidden="1" customHeight="1" x14ac:dyDescent="0.3">
      <c r="A100" s="143"/>
      <c r="B100" s="4"/>
      <c r="D100" s="143"/>
      <c r="E100" s="143"/>
      <c r="F100" s="689" t="str">
        <f>Administration!J10</f>
        <v>Arpico Finance PLC</v>
      </c>
      <c r="G100" s="143"/>
      <c r="H100" s="143"/>
      <c r="I100" s="143"/>
      <c r="J100" s="143"/>
      <c r="K100" s="143"/>
      <c r="L100" s="143"/>
      <c r="M100" s="143"/>
      <c r="N100" s="143"/>
      <c r="O100" s="143" t="s">
        <v>224</v>
      </c>
      <c r="P100" s="219"/>
      <c r="Q100" s="143"/>
      <c r="R100" s="143">
        <f ca="1">IF(OR(U57=1,M46&gt;0),Rates!K65,0)</f>
        <v>0</v>
      </c>
      <c r="S100" s="143"/>
      <c r="T100" s="143"/>
      <c r="U100" s="143"/>
      <c r="V100" s="143"/>
      <c r="W100" s="143"/>
      <c r="X100" s="143"/>
      <c r="Y100" s="143"/>
      <c r="Z100" s="143"/>
      <c r="AA100" s="143"/>
      <c r="AB100" s="143"/>
      <c r="AC100" s="143"/>
      <c r="AD100" s="142"/>
      <c r="AE100" s="142"/>
      <c r="AF100" s="142"/>
      <c r="AG100" s="142"/>
      <c r="AH100" s="142"/>
      <c r="AI100" s="142"/>
      <c r="AJ100" s="143"/>
      <c r="AK100" s="142"/>
      <c r="AL100" s="142"/>
      <c r="AM100" s="219"/>
      <c r="AN100" s="142"/>
      <c r="AO100" s="142"/>
      <c r="AP100" s="142"/>
      <c r="AQ100" s="142"/>
      <c r="AR100" s="142"/>
      <c r="AS100" s="142"/>
      <c r="AT100" s="142"/>
      <c r="AU100" s="143" t="e">
        <f t="shared" ca="1" si="5"/>
        <v>#VALUE!</v>
      </c>
      <c r="AV100" s="142"/>
      <c r="AW100" s="142"/>
      <c r="AX100" s="487"/>
      <c r="AY100" s="142"/>
      <c r="AZ100" s="142"/>
    </row>
    <row r="101" spans="1:52" s="139" customFormat="1" ht="20.149999999999999" hidden="1" customHeight="1" x14ac:dyDescent="0.3">
      <c r="A101" s="143"/>
      <c r="B101" s="4"/>
      <c r="D101" s="143"/>
      <c r="E101" s="143"/>
      <c r="F101" s="689" t="str">
        <f>Administration!J11</f>
        <v>Bank of Ceylon</v>
      </c>
      <c r="G101" s="143"/>
      <c r="H101" s="143"/>
      <c r="I101" s="143"/>
      <c r="J101" s="143"/>
      <c r="K101" s="143"/>
      <c r="L101" s="143"/>
      <c r="M101" s="143"/>
      <c r="N101" s="143"/>
      <c r="O101" s="143"/>
      <c r="P101" s="219"/>
      <c r="Q101" s="143"/>
      <c r="R101" s="143"/>
      <c r="S101" s="143"/>
      <c r="T101" s="143"/>
      <c r="U101" s="143"/>
      <c r="V101" s="143"/>
      <c r="W101" s="143"/>
      <c r="X101" s="143"/>
      <c r="Y101" s="143"/>
      <c r="Z101" s="143"/>
      <c r="AA101" s="143"/>
      <c r="AB101" s="143"/>
      <c r="AC101" s="143"/>
      <c r="AD101" s="142"/>
      <c r="AE101" s="142"/>
      <c r="AF101" s="142"/>
      <c r="AG101" s="142"/>
      <c r="AH101" s="142"/>
      <c r="AI101" s="142"/>
      <c r="AJ101" s="143"/>
      <c r="AK101" s="142"/>
      <c r="AL101" s="142"/>
      <c r="AM101" s="219"/>
      <c r="AN101" s="142"/>
      <c r="AO101" s="142"/>
      <c r="AP101" s="142"/>
      <c r="AQ101" s="142"/>
      <c r="AR101" s="142"/>
      <c r="AS101" s="142"/>
      <c r="AT101" s="142"/>
      <c r="AU101" s="143" t="e">
        <f t="shared" ca="1" si="5"/>
        <v>#VALUE!</v>
      </c>
      <c r="AV101" s="142"/>
      <c r="AW101" s="142"/>
      <c r="AX101" s="487"/>
      <c r="AY101" s="142"/>
      <c r="AZ101" s="142"/>
    </row>
    <row r="102" spans="1:52" s="139" customFormat="1" ht="20.149999999999999" hidden="1" customHeight="1" x14ac:dyDescent="0.3">
      <c r="A102" s="143"/>
      <c r="B102" s="4"/>
      <c r="D102" s="143"/>
      <c r="E102" s="143"/>
      <c r="F102" s="689" t="str">
        <f>Administration!J12</f>
        <v>Citizens Development Business Finance PLC</v>
      </c>
      <c r="G102" s="143"/>
      <c r="H102" s="143"/>
      <c r="I102" s="143"/>
      <c r="J102" s="143"/>
      <c r="K102" s="143"/>
      <c r="L102" s="143"/>
      <c r="M102" s="143"/>
      <c r="N102" s="143"/>
      <c r="O102" s="143"/>
      <c r="P102" s="219"/>
      <c r="Q102" s="143"/>
      <c r="R102" s="143"/>
      <c r="S102" s="143"/>
      <c r="T102" s="143"/>
      <c r="U102" s="143"/>
      <c r="V102" s="143"/>
      <c r="W102" s="143"/>
      <c r="X102" s="143"/>
      <c r="Y102" s="143"/>
      <c r="Z102" s="143"/>
      <c r="AA102" s="143"/>
      <c r="AB102" s="143"/>
      <c r="AC102" s="143"/>
      <c r="AD102" s="142"/>
      <c r="AE102" s="142"/>
      <c r="AF102" s="142"/>
      <c r="AG102" s="142"/>
      <c r="AH102" s="142"/>
      <c r="AI102" s="142"/>
      <c r="AJ102" s="143"/>
      <c r="AK102" s="142"/>
      <c r="AL102" s="142"/>
      <c r="AM102" s="219"/>
      <c r="AN102" s="142"/>
      <c r="AO102" s="142"/>
      <c r="AP102" s="142"/>
      <c r="AQ102" s="142"/>
      <c r="AR102" s="142"/>
      <c r="AS102" s="142"/>
      <c r="AT102" s="142"/>
      <c r="AU102" s="143" t="e">
        <f t="shared" ca="1" si="5"/>
        <v>#VALUE!</v>
      </c>
      <c r="AV102" s="142"/>
      <c r="AW102" s="142"/>
      <c r="AX102" s="487"/>
      <c r="AY102" s="142"/>
      <c r="AZ102" s="142"/>
    </row>
    <row r="103" spans="1:52" s="139" customFormat="1" ht="20.149999999999999" hidden="1" customHeight="1" x14ac:dyDescent="0.3">
      <c r="A103" s="143"/>
      <c r="B103" s="4"/>
      <c r="D103" s="140"/>
      <c r="E103" s="140"/>
      <c r="F103" s="689" t="str">
        <f>Administration!J13</f>
        <v>Commercial Credit PLC</v>
      </c>
      <c r="G103" s="140"/>
      <c r="H103" s="140"/>
      <c r="I103" s="140"/>
      <c r="J103" s="140"/>
      <c r="K103" s="143"/>
      <c r="L103" s="143"/>
      <c r="M103" s="143"/>
      <c r="N103" s="143"/>
      <c r="O103" s="143"/>
      <c r="P103" s="219"/>
      <c r="Q103" s="143"/>
      <c r="R103" s="143"/>
      <c r="S103" s="143"/>
      <c r="T103" s="143"/>
      <c r="U103" s="143"/>
      <c r="V103" s="143"/>
      <c r="W103" s="143"/>
      <c r="X103" s="143"/>
      <c r="Y103" s="143"/>
      <c r="Z103" s="143"/>
      <c r="AA103" s="143"/>
      <c r="AB103" s="143"/>
      <c r="AC103" s="143"/>
      <c r="AD103" s="142"/>
      <c r="AE103" s="142"/>
      <c r="AF103" s="142"/>
      <c r="AG103" s="142"/>
      <c r="AH103" s="142"/>
      <c r="AI103" s="142"/>
      <c r="AJ103" s="143"/>
      <c r="AK103" s="142"/>
      <c r="AL103" s="142"/>
      <c r="AM103" s="219"/>
      <c r="AN103" s="142"/>
      <c r="AO103" s="142"/>
      <c r="AP103" s="142"/>
      <c r="AQ103" s="142"/>
      <c r="AR103" s="142"/>
      <c r="AS103" s="142"/>
      <c r="AT103" s="142"/>
      <c r="AU103" s="143" t="e">
        <f t="shared" ca="1" si="5"/>
        <v>#VALUE!</v>
      </c>
      <c r="AV103" s="142"/>
      <c r="AW103" s="142"/>
      <c r="AX103" s="487"/>
      <c r="AY103" s="142"/>
      <c r="AZ103" s="142"/>
    </row>
    <row r="104" spans="1:52" s="139" customFormat="1" ht="20.149999999999999" hidden="1" customHeight="1" x14ac:dyDescent="0.3">
      <c r="A104" s="143"/>
      <c r="B104" s="4"/>
      <c r="D104" s="140"/>
      <c r="E104" s="140"/>
      <c r="F104" s="689" t="str">
        <f>Administration!J14</f>
        <v>Commercial Trust Investment (Pvt) Ltd.</v>
      </c>
      <c r="G104" s="140"/>
      <c r="H104" s="140"/>
      <c r="I104" s="140"/>
      <c r="J104" s="140"/>
      <c r="K104" s="140"/>
      <c r="L104" s="140"/>
      <c r="M104" s="219"/>
      <c r="N104" s="143"/>
      <c r="O104" s="143"/>
      <c r="P104" s="219"/>
      <c r="Q104" s="143"/>
      <c r="R104" s="143"/>
      <c r="S104" s="143"/>
      <c r="T104" s="143"/>
      <c r="U104" s="143"/>
      <c r="V104" s="143"/>
      <c r="W104" s="143"/>
      <c r="X104" s="143"/>
      <c r="Y104" s="143"/>
      <c r="Z104" s="143"/>
      <c r="AA104" s="143"/>
      <c r="AB104" s="143"/>
      <c r="AC104" s="143"/>
      <c r="AD104" s="142"/>
      <c r="AE104" s="142"/>
      <c r="AF104" s="142"/>
      <c r="AG104" s="142"/>
      <c r="AH104" s="142"/>
      <c r="AI104" s="142"/>
      <c r="AJ104" s="143"/>
      <c r="AK104" s="142"/>
      <c r="AL104" s="142"/>
      <c r="AM104" s="219"/>
      <c r="AN104" s="142"/>
      <c r="AO104" s="142"/>
      <c r="AP104" s="142"/>
      <c r="AQ104" s="142"/>
      <c r="AR104" s="142"/>
      <c r="AS104" s="142"/>
      <c r="AT104" s="142"/>
      <c r="AU104" s="143" t="e">
        <f t="shared" ca="1" si="5"/>
        <v>#VALUE!</v>
      </c>
      <c r="AV104" s="142"/>
      <c r="AW104" s="142"/>
      <c r="AX104" s="487"/>
      <c r="AY104" s="142"/>
      <c r="AZ104" s="142"/>
    </row>
    <row r="105" spans="1:52" s="139" customFormat="1" ht="20.149999999999999" hidden="1" customHeight="1" x14ac:dyDescent="0.3">
      <c r="A105" s="143"/>
      <c r="B105" s="4"/>
      <c r="D105" s="140"/>
      <c r="E105" s="140"/>
      <c r="F105" s="689" t="str">
        <f>Administration!J15</f>
        <v>David Pieris Leasing</v>
      </c>
      <c r="G105" s="140"/>
      <c r="H105" s="140"/>
      <c r="I105" s="140"/>
      <c r="J105" s="140"/>
      <c r="K105" s="140"/>
      <c r="L105" s="140"/>
      <c r="M105" s="219"/>
      <c r="N105" s="219"/>
      <c r="O105" s="263"/>
      <c r="P105" s="219"/>
      <c r="Q105" s="143"/>
      <c r="R105" s="143"/>
      <c r="S105" s="143"/>
      <c r="T105" s="143"/>
      <c r="U105" s="143"/>
      <c r="V105" s="143"/>
      <c r="W105" s="143"/>
      <c r="X105" s="143"/>
      <c r="Y105" s="143"/>
      <c r="Z105" s="143"/>
      <c r="AA105" s="143"/>
      <c r="AB105" s="143"/>
      <c r="AC105" s="143"/>
      <c r="AD105" s="143"/>
      <c r="AE105" s="143"/>
      <c r="AF105" s="143"/>
      <c r="AG105" s="143"/>
      <c r="AH105" s="143"/>
      <c r="AI105" s="143"/>
      <c r="AJ105" s="143"/>
      <c r="AM105" s="219"/>
      <c r="AU105" s="143" t="e">
        <f t="shared" ca="1" si="5"/>
        <v>#VALUE!</v>
      </c>
      <c r="AX105" s="490"/>
    </row>
    <row r="106" spans="1:52" s="139" customFormat="1" ht="20.149999999999999" hidden="1" customHeight="1" x14ac:dyDescent="0.3">
      <c r="A106" s="143"/>
      <c r="B106" s="4"/>
      <c r="D106" s="140"/>
      <c r="E106" s="140"/>
      <c r="F106" s="689" t="str">
        <f>Administration!J16</f>
        <v>Dharmasiri Investments (Pvt) Ltd.</v>
      </c>
      <c r="G106" s="140"/>
      <c r="H106" s="140"/>
      <c r="I106" s="140"/>
      <c r="J106" s="140"/>
      <c r="K106" s="140"/>
      <c r="L106" s="140"/>
      <c r="M106" s="219"/>
      <c r="N106" s="219"/>
      <c r="O106" s="219"/>
      <c r="P106" s="219"/>
      <c r="Q106" s="143"/>
      <c r="R106" s="143"/>
      <c r="S106" s="143"/>
      <c r="T106" s="143"/>
      <c r="U106" s="143"/>
      <c r="V106" s="143"/>
      <c r="W106" s="143"/>
      <c r="X106" s="143"/>
      <c r="Y106" s="143"/>
      <c r="Z106" s="143"/>
      <c r="AA106" s="143"/>
      <c r="AB106" s="143"/>
      <c r="AC106" s="143"/>
      <c r="AD106" s="143"/>
      <c r="AE106" s="143"/>
      <c r="AF106" s="143"/>
      <c r="AG106" s="143"/>
      <c r="AH106" s="143"/>
      <c r="AI106" s="143"/>
      <c r="AJ106" s="143"/>
      <c r="AM106" s="219"/>
      <c r="AU106" s="143" t="e">
        <f t="shared" ca="1" si="5"/>
        <v>#VALUE!</v>
      </c>
      <c r="AX106" s="490"/>
    </row>
    <row r="107" spans="1:52" s="139" customFormat="1" ht="20.149999999999999" hidden="1" customHeight="1" x14ac:dyDescent="0.3">
      <c r="A107" s="143"/>
      <c r="B107" s="4"/>
      <c r="D107" s="140"/>
      <c r="E107" s="140"/>
      <c r="F107" s="689" t="str">
        <f>Administration!J17</f>
        <v>Indra Finance Ltd.</v>
      </c>
      <c r="G107" s="140"/>
      <c r="H107" s="140"/>
      <c r="I107" s="140"/>
      <c r="J107" s="140"/>
      <c r="K107" s="140"/>
      <c r="L107" s="140"/>
      <c r="M107" s="219"/>
      <c r="N107" s="219"/>
      <c r="O107" s="219"/>
      <c r="P107" s="219"/>
      <c r="Q107" s="143"/>
      <c r="R107" s="143"/>
      <c r="S107" s="143"/>
      <c r="T107" s="143"/>
      <c r="U107" s="143"/>
      <c r="V107" s="143"/>
      <c r="W107" s="143"/>
      <c r="X107" s="143"/>
      <c r="Y107" s="143"/>
      <c r="Z107" s="143"/>
      <c r="AA107" s="143"/>
      <c r="AB107" s="143"/>
      <c r="AC107" s="143"/>
      <c r="AD107" s="143"/>
      <c r="AE107" s="143"/>
      <c r="AF107" s="143"/>
      <c r="AG107" s="143"/>
      <c r="AH107" s="143"/>
      <c r="AI107" s="143"/>
      <c r="AJ107" s="143"/>
      <c r="AM107" s="219"/>
      <c r="AU107" s="143" t="e">
        <f t="shared" ca="1" si="5"/>
        <v>#VALUE!</v>
      </c>
      <c r="AX107" s="490"/>
    </row>
    <row r="108" spans="1:52" s="139" customFormat="1" ht="20.149999999999999" hidden="1" customHeight="1" x14ac:dyDescent="0.3">
      <c r="A108" s="143"/>
      <c r="B108" s="4"/>
      <c r="D108" s="140"/>
      <c r="E108" s="140"/>
      <c r="F108" s="689" t="str">
        <f>Administration!J18</f>
        <v>L B Finance PLC</v>
      </c>
      <c r="G108" s="140"/>
      <c r="H108" s="140"/>
      <c r="I108" s="140"/>
      <c r="J108" s="140"/>
      <c r="K108" s="140"/>
      <c r="L108" s="140"/>
      <c r="M108" s="140"/>
      <c r="N108" s="140"/>
      <c r="O108" s="140"/>
      <c r="Q108" s="143"/>
      <c r="R108" s="143"/>
      <c r="S108" s="143"/>
      <c r="T108" s="143"/>
      <c r="U108" s="143"/>
      <c r="V108" s="143"/>
      <c r="W108" s="143"/>
      <c r="X108" s="143"/>
      <c r="Y108" s="143"/>
      <c r="Z108" s="143"/>
      <c r="AA108" s="143"/>
      <c r="AB108" s="143"/>
      <c r="AC108" s="143"/>
      <c r="AD108" s="143"/>
      <c r="AE108" s="143"/>
      <c r="AF108" s="143"/>
      <c r="AG108" s="143"/>
      <c r="AH108" s="143"/>
      <c r="AI108" s="143"/>
      <c r="AJ108" s="143"/>
      <c r="AM108" s="219"/>
      <c r="AU108" s="143"/>
      <c r="AX108" s="490"/>
    </row>
    <row r="109" spans="1:52" s="139" customFormat="1" ht="20.149999999999999" hidden="1" customHeight="1" x14ac:dyDescent="0.3">
      <c r="A109" s="143"/>
      <c r="B109" s="4"/>
      <c r="D109" s="140"/>
      <c r="E109" s="140"/>
      <c r="F109" s="689" t="str">
        <f>Administration!J19</f>
        <v>Lanka ORIX Finance PLC</v>
      </c>
      <c r="G109" s="140"/>
      <c r="H109" s="140"/>
      <c r="I109" s="140"/>
      <c r="J109" s="140"/>
      <c r="K109" s="140"/>
      <c r="L109" s="140"/>
      <c r="M109" s="140"/>
      <c r="N109" s="140"/>
      <c r="O109" s="140"/>
      <c r="Q109" s="143"/>
      <c r="R109" s="143"/>
      <c r="S109" s="143"/>
      <c r="T109" s="143"/>
      <c r="U109" s="143"/>
      <c r="V109" s="143"/>
      <c r="W109" s="143"/>
      <c r="X109" s="143"/>
      <c r="Y109" s="143"/>
      <c r="Z109" s="143"/>
      <c r="AA109" s="143"/>
      <c r="AB109" s="143"/>
      <c r="AC109" s="143"/>
      <c r="AD109" s="143"/>
      <c r="AE109" s="143"/>
      <c r="AF109" s="143"/>
      <c r="AG109" s="143"/>
      <c r="AH109" s="143"/>
      <c r="AI109" s="143"/>
      <c r="AJ109" s="143"/>
      <c r="AM109" s="219"/>
      <c r="AU109" s="143" t="e">
        <f ca="1">AU107+1</f>
        <v>#VALUE!</v>
      </c>
      <c r="AX109" s="490"/>
    </row>
    <row r="110" spans="1:52" s="139" customFormat="1" ht="28" hidden="1" x14ac:dyDescent="0.3">
      <c r="A110" s="143"/>
      <c r="B110" s="4"/>
      <c r="D110" s="140"/>
      <c r="E110" s="140"/>
      <c r="F110" s="689" t="str">
        <f>Administration!J20</f>
        <v>Matara District Capital Co-op Society Ltd</v>
      </c>
      <c r="G110" s="140"/>
      <c r="H110" s="140"/>
      <c r="I110" s="140"/>
      <c r="J110" s="140"/>
      <c r="K110" s="140"/>
      <c r="L110" s="140"/>
      <c r="M110" s="140"/>
      <c r="N110" s="140"/>
      <c r="O110" s="140"/>
      <c r="Q110" s="143"/>
      <c r="R110" s="143"/>
      <c r="S110" s="143"/>
      <c r="T110" s="143"/>
      <c r="U110" s="143"/>
      <c r="V110" s="143"/>
      <c r="W110" s="143"/>
      <c r="X110" s="143"/>
      <c r="Y110" s="143"/>
      <c r="Z110" s="143"/>
      <c r="AA110" s="143"/>
      <c r="AB110" s="143"/>
      <c r="AC110" s="143"/>
      <c r="AD110" s="143"/>
      <c r="AE110" s="143"/>
      <c r="AF110" s="143"/>
      <c r="AG110" s="143"/>
      <c r="AH110" s="143"/>
      <c r="AI110" s="143"/>
      <c r="AJ110" s="143"/>
      <c r="AM110" s="219"/>
      <c r="AU110" s="143" t="e">
        <f t="shared" ref="AU110:AU154" ca="1" si="6">AU109+1</f>
        <v>#VALUE!</v>
      </c>
      <c r="AX110" s="490"/>
    </row>
    <row r="111" spans="1:52" s="139" customFormat="1" ht="28" hidden="1" x14ac:dyDescent="0.3">
      <c r="A111" s="143"/>
      <c r="B111" s="4"/>
      <c r="D111" s="140"/>
      <c r="E111" s="140"/>
      <c r="F111" s="689" t="str">
        <f>Administration!J21</f>
        <v>Mercantile Investments &amp; Finance PLC</v>
      </c>
      <c r="G111" s="140"/>
      <c r="H111" s="140"/>
      <c r="I111" s="140"/>
      <c r="J111" s="140"/>
      <c r="K111" s="140"/>
      <c r="L111" s="140"/>
      <c r="M111" s="140"/>
      <c r="O111" s="140"/>
      <c r="Q111" s="143"/>
      <c r="R111" s="143"/>
      <c r="S111" s="143"/>
      <c r="T111" s="143"/>
      <c r="U111" s="143"/>
      <c r="V111" s="143"/>
      <c r="W111" s="143"/>
      <c r="X111" s="143"/>
      <c r="Y111" s="143"/>
      <c r="Z111" s="143"/>
      <c r="AA111" s="143"/>
      <c r="AB111" s="143"/>
      <c r="AC111" s="143"/>
      <c r="AD111" s="143"/>
      <c r="AE111" s="143"/>
      <c r="AF111" s="143"/>
      <c r="AG111" s="143"/>
      <c r="AH111" s="143"/>
      <c r="AI111" s="143"/>
      <c r="AJ111" s="143"/>
      <c r="AM111" s="219"/>
      <c r="AU111" s="143" t="e">
        <f t="shared" ca="1" si="6"/>
        <v>#VALUE!</v>
      </c>
      <c r="AX111" s="490"/>
    </row>
    <row r="112" spans="1:52" s="139" customFormat="1" hidden="1" x14ac:dyDescent="0.3">
      <c r="A112" s="143"/>
      <c r="B112" s="4"/>
      <c r="D112" s="140"/>
      <c r="E112" s="140"/>
      <c r="F112" s="689" t="str">
        <f>Administration!J22</f>
        <v>Merchant Bank of Sri Lanka PLC</v>
      </c>
      <c r="G112" s="140"/>
      <c r="H112" s="140"/>
      <c r="I112" s="140"/>
      <c r="J112" s="140"/>
      <c r="K112" s="140"/>
      <c r="L112" s="140"/>
      <c r="M112" s="140"/>
      <c r="O112" s="140"/>
      <c r="Q112" s="143"/>
      <c r="R112" s="143"/>
      <c r="S112" s="143"/>
      <c r="T112" s="143"/>
      <c r="U112" s="143"/>
      <c r="V112" s="143"/>
      <c r="W112" s="143"/>
      <c r="X112" s="143"/>
      <c r="Y112" s="143"/>
      <c r="Z112" s="143"/>
      <c r="AA112" s="143"/>
      <c r="AB112" s="143"/>
      <c r="AC112" s="143"/>
      <c r="AD112" s="143"/>
      <c r="AE112" s="143"/>
      <c r="AF112" s="143"/>
      <c r="AG112" s="143"/>
      <c r="AH112" s="143"/>
      <c r="AI112" s="143"/>
      <c r="AJ112" s="143"/>
      <c r="AM112" s="219"/>
      <c r="AU112" s="143" t="e">
        <f t="shared" ca="1" si="6"/>
        <v>#VALUE!</v>
      </c>
      <c r="AX112" s="490"/>
    </row>
    <row r="113" spans="1:50" s="139" customFormat="1" hidden="1" x14ac:dyDescent="0.3">
      <c r="A113" s="143"/>
      <c r="B113" s="4"/>
      <c r="D113" s="140"/>
      <c r="E113" s="140"/>
      <c r="F113" s="689" t="str">
        <f>Administration!J23</f>
        <v>Merchant Credit of Sri Lanka Ltd</v>
      </c>
      <c r="G113" s="140"/>
      <c r="H113" s="140"/>
      <c r="I113" s="140"/>
      <c r="J113" s="140"/>
      <c r="K113" s="140"/>
      <c r="L113" s="140"/>
      <c r="M113" s="140"/>
      <c r="O113" s="140"/>
      <c r="Q113" s="143"/>
      <c r="R113" s="143"/>
      <c r="S113" s="143"/>
      <c r="T113" s="143"/>
      <c r="U113" s="143"/>
      <c r="V113" s="143"/>
      <c r="W113" s="143"/>
      <c r="X113" s="143"/>
      <c r="Y113" s="143"/>
      <c r="Z113" s="143"/>
      <c r="AA113" s="143"/>
      <c r="AB113" s="143"/>
      <c r="AC113" s="143"/>
      <c r="AD113" s="143"/>
      <c r="AE113" s="143"/>
      <c r="AF113" s="143"/>
      <c r="AG113" s="143"/>
      <c r="AH113" s="143"/>
      <c r="AI113" s="143"/>
      <c r="AJ113" s="143"/>
      <c r="AM113" s="219"/>
      <c r="AU113" s="143" t="e">
        <f t="shared" ca="1" si="6"/>
        <v>#VALUE!</v>
      </c>
      <c r="AX113" s="490"/>
    </row>
    <row r="114" spans="1:50" s="139" customFormat="1" hidden="1" x14ac:dyDescent="0.3">
      <c r="A114" s="143"/>
      <c r="B114" s="4"/>
      <c r="D114" s="140"/>
      <c r="E114" s="140"/>
      <c r="F114" s="689" t="str">
        <f>Administration!J24</f>
        <v>Nations Lanka Finance PLC</v>
      </c>
      <c r="G114" s="140"/>
      <c r="H114" s="140"/>
      <c r="I114" s="140"/>
      <c r="J114" s="140"/>
      <c r="K114" s="140"/>
      <c r="L114" s="140"/>
      <c r="M114" s="140"/>
      <c r="O114" s="140"/>
      <c r="Q114" s="143"/>
      <c r="R114" s="143"/>
      <c r="S114" s="143"/>
      <c r="T114" s="143"/>
      <c r="U114" s="143"/>
      <c r="V114" s="143"/>
      <c r="W114" s="143"/>
      <c r="X114" s="143"/>
      <c r="Y114" s="143"/>
      <c r="Z114" s="143"/>
      <c r="AA114" s="143"/>
      <c r="AB114" s="143"/>
      <c r="AC114" s="143"/>
      <c r="AD114" s="143"/>
      <c r="AE114" s="143"/>
      <c r="AF114" s="143"/>
      <c r="AG114" s="143"/>
      <c r="AH114" s="143"/>
      <c r="AI114" s="143"/>
      <c r="AJ114" s="143"/>
      <c r="AM114" s="219"/>
      <c r="AU114" s="143" t="e">
        <f t="shared" ca="1" si="6"/>
        <v>#VALUE!</v>
      </c>
      <c r="AX114" s="490"/>
    </row>
    <row r="115" spans="1:50" s="139" customFormat="1" hidden="1" x14ac:dyDescent="0.3">
      <c r="A115" s="143"/>
      <c r="B115" s="4"/>
      <c r="D115" s="140"/>
      <c r="E115" s="140"/>
      <c r="F115" s="689" t="str">
        <f>Administration!J25</f>
        <v>Omek Investments</v>
      </c>
      <c r="G115" s="140"/>
      <c r="H115" s="140"/>
      <c r="I115" s="140"/>
      <c r="J115" s="140"/>
      <c r="K115" s="140"/>
      <c r="L115" s="140"/>
      <c r="M115" s="140"/>
      <c r="O115" s="140"/>
      <c r="Q115" s="219"/>
      <c r="AJ115" s="143"/>
      <c r="AM115" s="219"/>
      <c r="AU115" s="143" t="e">
        <f t="shared" ca="1" si="6"/>
        <v>#VALUE!</v>
      </c>
      <c r="AX115" s="490"/>
    </row>
    <row r="116" spans="1:50" s="139" customFormat="1" hidden="1" x14ac:dyDescent="0.3">
      <c r="A116" s="143"/>
      <c r="B116" s="4"/>
      <c r="D116" s="140"/>
      <c r="E116" s="140"/>
      <c r="F116" s="689" t="str">
        <f>Administration!J26</f>
        <v>People's Leasing Company PLC</v>
      </c>
      <c r="G116" s="140"/>
      <c r="H116" s="140"/>
      <c r="I116" s="140"/>
      <c r="J116" s="140"/>
      <c r="K116" s="140"/>
      <c r="L116" s="140"/>
      <c r="M116" s="140"/>
      <c r="O116" s="140"/>
      <c r="Q116" s="219"/>
      <c r="AJ116" s="143"/>
      <c r="AM116" s="219"/>
      <c r="AU116" s="143" t="e">
        <f t="shared" ca="1" si="6"/>
        <v>#VALUE!</v>
      </c>
      <c r="AX116" s="490"/>
    </row>
    <row r="117" spans="1:50" s="139" customFormat="1" hidden="1" x14ac:dyDescent="0.3">
      <c r="A117" s="143"/>
      <c r="B117" s="4"/>
      <c r="D117" s="140"/>
      <c r="E117" s="140"/>
      <c r="F117" s="689" t="str">
        <f>Administration!J27</f>
        <v>Singer Finance (Lanka) PLC</v>
      </c>
      <c r="G117" s="140"/>
      <c r="H117" s="140"/>
      <c r="I117" s="140"/>
      <c r="J117" s="140"/>
      <c r="K117" s="140"/>
      <c r="L117" s="140"/>
      <c r="M117" s="140"/>
      <c r="O117" s="140"/>
      <c r="Q117" s="219"/>
      <c r="AJ117" s="143"/>
      <c r="AM117" s="219"/>
      <c r="AU117" s="143" t="e">
        <f t="shared" ca="1" si="6"/>
        <v>#VALUE!</v>
      </c>
      <c r="AX117" s="490"/>
    </row>
    <row r="118" spans="1:50" s="139" customFormat="1" hidden="1" x14ac:dyDescent="0.3">
      <c r="A118" s="143"/>
      <c r="B118" s="4"/>
      <c r="D118" s="140"/>
      <c r="E118" s="140"/>
      <c r="F118" s="689" t="str">
        <f>Administration!J28</f>
        <v>SN Finance</v>
      </c>
      <c r="G118" s="140"/>
      <c r="H118" s="140"/>
      <c r="I118" s="140"/>
      <c r="J118" s="140"/>
      <c r="K118" s="140"/>
      <c r="L118" s="140"/>
      <c r="M118" s="140"/>
      <c r="O118" s="140"/>
      <c r="Q118" s="219"/>
      <c r="AJ118" s="143"/>
      <c r="AM118" s="219"/>
      <c r="AU118" s="143" t="e">
        <f t="shared" ca="1" si="6"/>
        <v>#VALUE!</v>
      </c>
      <c r="AX118" s="490"/>
    </row>
    <row r="119" spans="1:50" s="139" customFormat="1" hidden="1" x14ac:dyDescent="0.3">
      <c r="A119" s="143"/>
      <c r="B119" s="4"/>
      <c r="F119" s="689" t="str">
        <f>Administration!J29</f>
        <v>Softlogic Finance PLC</v>
      </c>
      <c r="O119" s="140"/>
      <c r="Q119" s="219"/>
      <c r="AJ119" s="143"/>
      <c r="AM119" s="219"/>
      <c r="AU119" s="143" t="e">
        <f t="shared" ca="1" si="6"/>
        <v>#VALUE!</v>
      </c>
      <c r="AX119" s="490"/>
    </row>
    <row r="120" spans="1:50" s="139" customFormat="1" hidden="1" x14ac:dyDescent="0.3">
      <c r="A120" s="143"/>
      <c r="B120" s="4"/>
      <c r="F120" s="689" t="str">
        <f>Administration!J30</f>
        <v>Thamalu Enterprises</v>
      </c>
      <c r="O120" s="140"/>
      <c r="Q120" s="219"/>
      <c r="AJ120" s="143"/>
      <c r="AM120" s="219"/>
      <c r="AU120" s="143" t="e">
        <f t="shared" ca="1" si="6"/>
        <v>#VALUE!</v>
      </c>
      <c r="AX120" s="490"/>
    </row>
    <row r="121" spans="1:50" s="139" customFormat="1" hidden="1" x14ac:dyDescent="0.3">
      <c r="A121" s="143"/>
      <c r="B121" s="4"/>
      <c r="F121" s="689" t="str">
        <f>Administration!J31</f>
        <v>Trade Finance</v>
      </c>
      <c r="O121" s="140"/>
      <c r="Q121" s="219"/>
      <c r="AJ121" s="143"/>
      <c r="AM121" s="219"/>
      <c r="AU121" s="143" t="e">
        <f t="shared" ca="1" si="6"/>
        <v>#VALUE!</v>
      </c>
      <c r="AX121" s="490"/>
    </row>
    <row r="122" spans="1:50" s="139" customFormat="1" hidden="1" x14ac:dyDescent="0.3">
      <c r="A122" s="143"/>
      <c r="B122" s="4"/>
      <c r="F122" s="689" t="str">
        <f>Administration!J32</f>
        <v>UB Finance</v>
      </c>
      <c r="O122" s="140"/>
      <c r="Q122" s="219"/>
      <c r="AJ122" s="143"/>
      <c r="AM122" s="219"/>
      <c r="AU122" s="143" t="e">
        <f t="shared" ca="1" si="6"/>
        <v>#VALUE!</v>
      </c>
      <c r="AX122" s="490"/>
    </row>
    <row r="123" spans="1:50" s="139" customFormat="1" hidden="1" x14ac:dyDescent="0.3">
      <c r="A123" s="143"/>
      <c r="B123" s="4"/>
      <c r="F123" s="689" t="str">
        <f>Administration!J33</f>
        <v>Vallibel Finance PLC</v>
      </c>
      <c r="O123" s="140"/>
      <c r="Q123" s="219"/>
      <c r="AJ123" s="143"/>
      <c r="AM123" s="219"/>
      <c r="AU123" s="143" t="e">
        <f t="shared" ca="1" si="6"/>
        <v>#VALUE!</v>
      </c>
      <c r="AX123" s="490"/>
    </row>
    <row r="124" spans="1:50" s="139" customFormat="1" hidden="1" x14ac:dyDescent="0.3">
      <c r="A124" s="143"/>
      <c r="B124" s="4"/>
      <c r="F124" s="689">
        <f>Administration!J34</f>
        <v>0</v>
      </c>
      <c r="O124" s="140"/>
      <c r="Q124" s="219"/>
      <c r="AJ124" s="143"/>
      <c r="AM124" s="219"/>
      <c r="AU124" s="143" t="e">
        <f t="shared" ca="1" si="6"/>
        <v>#VALUE!</v>
      </c>
      <c r="AX124" s="490"/>
    </row>
    <row r="125" spans="1:50" s="139" customFormat="1" hidden="1" x14ac:dyDescent="0.3">
      <c r="A125" s="143"/>
      <c r="B125" s="4"/>
      <c r="F125" s="689">
        <f>Administration!J35</f>
        <v>0</v>
      </c>
      <c r="O125" s="140"/>
      <c r="Q125" s="219"/>
      <c r="AJ125" s="143"/>
      <c r="AM125" s="219"/>
      <c r="AU125" s="143" t="e">
        <f t="shared" ca="1" si="6"/>
        <v>#VALUE!</v>
      </c>
      <c r="AX125" s="490"/>
    </row>
    <row r="126" spans="1:50" s="139" customFormat="1" hidden="1" x14ac:dyDescent="0.3">
      <c r="A126" s="143"/>
      <c r="B126" s="4"/>
      <c r="F126" s="689">
        <f>Administration!J36</f>
        <v>0</v>
      </c>
      <c r="O126" s="140"/>
      <c r="Q126" s="219"/>
      <c r="AJ126" s="143"/>
      <c r="AM126" s="219"/>
      <c r="AU126" s="143" t="e">
        <f t="shared" ca="1" si="6"/>
        <v>#VALUE!</v>
      </c>
      <c r="AX126" s="490"/>
    </row>
    <row r="127" spans="1:50" s="139" customFormat="1" hidden="1" x14ac:dyDescent="0.3">
      <c r="A127" s="143"/>
      <c r="B127" s="4"/>
      <c r="F127" s="689">
        <f>Administration!J37</f>
        <v>0</v>
      </c>
      <c r="O127" s="140"/>
      <c r="Q127" s="219"/>
      <c r="AJ127" s="143"/>
      <c r="AM127" s="219"/>
      <c r="AU127" s="143" t="e">
        <f t="shared" ca="1" si="6"/>
        <v>#VALUE!</v>
      </c>
      <c r="AX127" s="490"/>
    </row>
    <row r="128" spans="1:50" s="139" customFormat="1" hidden="1" x14ac:dyDescent="0.3">
      <c r="A128" s="143"/>
      <c r="B128" s="4"/>
      <c r="F128" s="689">
        <f>Administration!J38</f>
        <v>0</v>
      </c>
      <c r="O128" s="140"/>
      <c r="Q128" s="219"/>
      <c r="AJ128" s="143"/>
      <c r="AM128" s="219"/>
      <c r="AU128" s="143" t="e">
        <f t="shared" ca="1" si="6"/>
        <v>#VALUE!</v>
      </c>
      <c r="AX128" s="490"/>
    </row>
    <row r="129" spans="1:50" s="139" customFormat="1" hidden="1" x14ac:dyDescent="0.3">
      <c r="A129" s="143"/>
      <c r="B129" s="4"/>
      <c r="F129" s="689">
        <f>Administration!J39</f>
        <v>0</v>
      </c>
      <c r="O129" s="140"/>
      <c r="Q129" s="219"/>
      <c r="AJ129" s="143"/>
      <c r="AM129" s="219"/>
      <c r="AU129" s="143" t="e">
        <f t="shared" ca="1" si="6"/>
        <v>#VALUE!</v>
      </c>
      <c r="AX129" s="490"/>
    </row>
    <row r="130" spans="1:50" s="139" customFormat="1" hidden="1" x14ac:dyDescent="0.3">
      <c r="A130" s="143"/>
      <c r="B130" s="4"/>
      <c r="F130" s="689">
        <f>Administration!J40</f>
        <v>0</v>
      </c>
      <c r="O130" s="140"/>
      <c r="Q130" s="219"/>
      <c r="AJ130" s="143"/>
      <c r="AM130" s="219"/>
      <c r="AU130" s="143" t="e">
        <f t="shared" ca="1" si="6"/>
        <v>#VALUE!</v>
      </c>
      <c r="AX130" s="490"/>
    </row>
    <row r="131" spans="1:50" s="139" customFormat="1" hidden="1" x14ac:dyDescent="0.3">
      <c r="A131" s="143"/>
      <c r="B131" s="4"/>
      <c r="F131" s="689">
        <f>Administration!J41</f>
        <v>0</v>
      </c>
      <c r="O131" s="140"/>
      <c r="Q131" s="219"/>
      <c r="AJ131" s="143"/>
      <c r="AM131" s="219"/>
      <c r="AU131" s="143" t="e">
        <f t="shared" ca="1" si="6"/>
        <v>#VALUE!</v>
      </c>
      <c r="AX131" s="490"/>
    </row>
    <row r="132" spans="1:50" s="139" customFormat="1" hidden="1" x14ac:dyDescent="0.3">
      <c r="A132" s="143"/>
      <c r="B132" s="4"/>
      <c r="F132" s="689">
        <f>Administration!J42</f>
        <v>0</v>
      </c>
      <c r="O132" s="140"/>
      <c r="Q132" s="219"/>
      <c r="AJ132" s="143"/>
      <c r="AM132" s="219"/>
      <c r="AU132" s="143" t="e">
        <f t="shared" ca="1" si="6"/>
        <v>#VALUE!</v>
      </c>
      <c r="AX132" s="490"/>
    </row>
    <row r="133" spans="1:50" s="139" customFormat="1" hidden="1" x14ac:dyDescent="0.3">
      <c r="A133" s="143"/>
      <c r="B133" s="4"/>
      <c r="F133" s="689">
        <f>Administration!J43</f>
        <v>0</v>
      </c>
      <c r="O133" s="140"/>
      <c r="Q133" s="219"/>
      <c r="AJ133" s="143"/>
      <c r="AM133" s="219"/>
      <c r="AU133" s="143" t="e">
        <f t="shared" ca="1" si="6"/>
        <v>#VALUE!</v>
      </c>
      <c r="AX133" s="490"/>
    </row>
    <row r="134" spans="1:50" s="139" customFormat="1" hidden="1" x14ac:dyDescent="0.3">
      <c r="A134" s="143"/>
      <c r="B134" s="4"/>
      <c r="F134" s="689">
        <f>Administration!J44</f>
        <v>0</v>
      </c>
      <c r="O134" s="140"/>
      <c r="Q134" s="219"/>
      <c r="AJ134" s="143"/>
      <c r="AM134" s="219"/>
      <c r="AU134" s="143" t="e">
        <f t="shared" ca="1" si="6"/>
        <v>#VALUE!</v>
      </c>
      <c r="AX134" s="490"/>
    </row>
    <row r="135" spans="1:50" s="139" customFormat="1" hidden="1" x14ac:dyDescent="0.3">
      <c r="A135" s="143"/>
      <c r="B135" s="4"/>
      <c r="F135" s="689">
        <f>Administration!J45</f>
        <v>0</v>
      </c>
      <c r="O135" s="140"/>
      <c r="Q135" s="219"/>
      <c r="AJ135" s="143"/>
      <c r="AM135" s="219"/>
      <c r="AU135" s="143" t="e">
        <f t="shared" ca="1" si="6"/>
        <v>#VALUE!</v>
      </c>
      <c r="AX135" s="490"/>
    </row>
    <row r="136" spans="1:50" s="139" customFormat="1" hidden="1" x14ac:dyDescent="0.3">
      <c r="A136" s="143"/>
      <c r="B136" s="4"/>
      <c r="F136" s="689">
        <f>Administration!J46</f>
        <v>0</v>
      </c>
      <c r="O136" s="140"/>
      <c r="Q136" s="219"/>
      <c r="AJ136" s="143"/>
      <c r="AM136" s="219"/>
      <c r="AU136" s="143" t="e">
        <f t="shared" ca="1" si="6"/>
        <v>#VALUE!</v>
      </c>
      <c r="AX136" s="490"/>
    </row>
    <row r="137" spans="1:50" s="139" customFormat="1" hidden="1" x14ac:dyDescent="0.3">
      <c r="A137" s="143"/>
      <c r="B137" s="4"/>
      <c r="F137" s="689">
        <f>Administration!J47</f>
        <v>0</v>
      </c>
      <c r="O137" s="140"/>
      <c r="Q137" s="219"/>
      <c r="AJ137" s="143"/>
      <c r="AM137" s="219"/>
      <c r="AU137" s="143" t="e">
        <f t="shared" ca="1" si="6"/>
        <v>#VALUE!</v>
      </c>
      <c r="AX137" s="490"/>
    </row>
    <row r="138" spans="1:50" s="139" customFormat="1" hidden="1" x14ac:dyDescent="0.3">
      <c r="A138" s="143"/>
      <c r="B138" s="4"/>
      <c r="F138" s="689">
        <f>Administration!J48</f>
        <v>0</v>
      </c>
      <c r="O138" s="140"/>
      <c r="Q138" s="219"/>
      <c r="AJ138" s="143"/>
      <c r="AM138" s="219"/>
      <c r="AU138" s="143" t="e">
        <f t="shared" ca="1" si="6"/>
        <v>#VALUE!</v>
      </c>
      <c r="AX138" s="490"/>
    </row>
    <row r="139" spans="1:50" s="139" customFormat="1" hidden="1" x14ac:dyDescent="0.3">
      <c r="A139" s="143"/>
      <c r="B139" s="4"/>
      <c r="F139" s="689">
        <f>Administration!J49</f>
        <v>0</v>
      </c>
      <c r="O139" s="140"/>
      <c r="Q139" s="219"/>
      <c r="AJ139" s="143"/>
      <c r="AM139" s="219"/>
      <c r="AU139" s="143" t="e">
        <f t="shared" ca="1" si="6"/>
        <v>#VALUE!</v>
      </c>
      <c r="AX139" s="490"/>
    </row>
    <row r="140" spans="1:50" s="139" customFormat="1" hidden="1" x14ac:dyDescent="0.3">
      <c r="A140" s="143"/>
      <c r="B140" s="4"/>
      <c r="F140" s="689">
        <f>Administration!J50</f>
        <v>0</v>
      </c>
      <c r="O140" s="140"/>
      <c r="Q140" s="219"/>
      <c r="AJ140" s="143"/>
      <c r="AM140" s="219"/>
      <c r="AU140" s="143" t="e">
        <f t="shared" ca="1" si="6"/>
        <v>#VALUE!</v>
      </c>
      <c r="AX140" s="490"/>
    </row>
    <row r="141" spans="1:50" s="139" customFormat="1" hidden="1" x14ac:dyDescent="0.3">
      <c r="A141" s="143"/>
      <c r="B141" s="4"/>
      <c r="F141" s="689">
        <f>Administration!J51</f>
        <v>0</v>
      </c>
      <c r="O141" s="140"/>
      <c r="Q141" s="219"/>
      <c r="AJ141" s="143"/>
      <c r="AM141" s="219"/>
      <c r="AU141" s="143" t="e">
        <f t="shared" ca="1" si="6"/>
        <v>#VALUE!</v>
      </c>
      <c r="AX141" s="490"/>
    </row>
    <row r="142" spans="1:50" s="139" customFormat="1" hidden="1" x14ac:dyDescent="0.3">
      <c r="A142" s="143"/>
      <c r="B142" s="4"/>
      <c r="F142" s="689">
        <f>Administration!J52</f>
        <v>0</v>
      </c>
      <c r="O142" s="140"/>
      <c r="Q142" s="219"/>
      <c r="AJ142" s="143"/>
      <c r="AM142" s="219"/>
      <c r="AU142" s="143" t="e">
        <f t="shared" ca="1" si="6"/>
        <v>#VALUE!</v>
      </c>
      <c r="AX142" s="490"/>
    </row>
    <row r="143" spans="1:50" s="139" customFormat="1" hidden="1" x14ac:dyDescent="0.3">
      <c r="A143" s="143"/>
      <c r="B143" s="4"/>
      <c r="F143" s="689">
        <f>Administration!J53</f>
        <v>0</v>
      </c>
      <c r="O143" s="140"/>
      <c r="Q143" s="219"/>
      <c r="AJ143" s="143"/>
      <c r="AM143" s="219"/>
      <c r="AU143" s="143" t="e">
        <f t="shared" ca="1" si="6"/>
        <v>#VALUE!</v>
      </c>
      <c r="AX143" s="490"/>
    </row>
    <row r="144" spans="1:50" s="139" customFormat="1" hidden="1" x14ac:dyDescent="0.3">
      <c r="A144" s="143"/>
      <c r="B144" s="4"/>
      <c r="F144" s="689">
        <f>Administration!J54</f>
        <v>0</v>
      </c>
      <c r="O144" s="140"/>
      <c r="Q144" s="219"/>
      <c r="AJ144" s="143"/>
      <c r="AM144" s="219"/>
      <c r="AU144" s="143" t="e">
        <f t="shared" ca="1" si="6"/>
        <v>#VALUE!</v>
      </c>
      <c r="AX144" s="490"/>
    </row>
    <row r="145" spans="1:50" s="139" customFormat="1" hidden="1" x14ac:dyDescent="0.3">
      <c r="A145" s="143"/>
      <c r="B145" s="4"/>
      <c r="F145" s="689">
        <f>Administration!J55</f>
        <v>0</v>
      </c>
      <c r="O145" s="140"/>
      <c r="Q145" s="219"/>
      <c r="AJ145" s="143"/>
      <c r="AM145" s="219"/>
      <c r="AU145" s="143" t="e">
        <f t="shared" ca="1" si="6"/>
        <v>#VALUE!</v>
      </c>
      <c r="AX145" s="490"/>
    </row>
    <row r="146" spans="1:50" s="139" customFormat="1" hidden="1" x14ac:dyDescent="0.3">
      <c r="A146" s="143"/>
      <c r="B146" s="4"/>
      <c r="F146" s="689">
        <f>Administration!J56</f>
        <v>0</v>
      </c>
      <c r="O146" s="140"/>
      <c r="Q146" s="219"/>
      <c r="AJ146" s="143"/>
      <c r="AM146" s="219"/>
      <c r="AU146" s="143" t="e">
        <f t="shared" ca="1" si="6"/>
        <v>#VALUE!</v>
      </c>
      <c r="AX146" s="490"/>
    </row>
    <row r="147" spans="1:50" s="139" customFormat="1" hidden="1" x14ac:dyDescent="0.3">
      <c r="A147" s="143"/>
      <c r="B147" s="4"/>
      <c r="F147" s="689">
        <f>Administration!J57</f>
        <v>0</v>
      </c>
      <c r="O147" s="140"/>
      <c r="Q147" s="219"/>
      <c r="AJ147" s="143"/>
      <c r="AM147" s="219"/>
      <c r="AU147" s="143" t="e">
        <f t="shared" ca="1" si="6"/>
        <v>#VALUE!</v>
      </c>
      <c r="AX147" s="490"/>
    </row>
    <row r="148" spans="1:50" s="139" customFormat="1" hidden="1" x14ac:dyDescent="0.3">
      <c r="A148" s="143"/>
      <c r="B148" s="4"/>
      <c r="F148" s="689">
        <f>Administration!J58</f>
        <v>0</v>
      </c>
      <c r="O148" s="140"/>
      <c r="Q148" s="219"/>
      <c r="AJ148" s="143"/>
      <c r="AM148" s="219"/>
      <c r="AU148" s="143" t="e">
        <f t="shared" ca="1" si="6"/>
        <v>#VALUE!</v>
      </c>
      <c r="AX148" s="490"/>
    </row>
    <row r="149" spans="1:50" s="139" customFormat="1" hidden="1" x14ac:dyDescent="0.3">
      <c r="A149" s="143"/>
      <c r="B149" s="4"/>
      <c r="F149" s="689">
        <f>Administration!J59</f>
        <v>0</v>
      </c>
      <c r="O149" s="140"/>
      <c r="Q149" s="219"/>
      <c r="AJ149" s="143"/>
      <c r="AM149" s="219"/>
      <c r="AU149" s="143" t="e">
        <f t="shared" ca="1" si="6"/>
        <v>#VALUE!</v>
      </c>
      <c r="AX149" s="490"/>
    </row>
    <row r="150" spans="1:50" s="139" customFormat="1" hidden="1" x14ac:dyDescent="0.3">
      <c r="A150" s="143"/>
      <c r="B150" s="4"/>
      <c r="F150" s="689">
        <f>Administration!J60</f>
        <v>0</v>
      </c>
      <c r="O150" s="140"/>
      <c r="Q150" s="219"/>
      <c r="AJ150" s="143"/>
      <c r="AM150" s="219"/>
      <c r="AU150" s="143" t="e">
        <f t="shared" ca="1" si="6"/>
        <v>#VALUE!</v>
      </c>
      <c r="AX150" s="490"/>
    </row>
    <row r="151" spans="1:50" s="139" customFormat="1" hidden="1" x14ac:dyDescent="0.3">
      <c r="A151" s="143"/>
      <c r="B151" s="4"/>
      <c r="F151" s="689">
        <f>Administration!J61</f>
        <v>0</v>
      </c>
      <c r="O151" s="140"/>
      <c r="Q151" s="219"/>
      <c r="AJ151" s="143"/>
      <c r="AM151" s="219"/>
      <c r="AU151" s="143" t="e">
        <f t="shared" ca="1" si="6"/>
        <v>#VALUE!</v>
      </c>
      <c r="AX151" s="490"/>
    </row>
    <row r="152" spans="1:50" s="139" customFormat="1" hidden="1" x14ac:dyDescent="0.3">
      <c r="A152" s="143"/>
      <c r="B152" s="4"/>
      <c r="F152" s="689">
        <f>Administration!J62</f>
        <v>0</v>
      </c>
      <c r="O152" s="140"/>
      <c r="Q152" s="219"/>
      <c r="AJ152" s="143"/>
      <c r="AM152" s="219"/>
      <c r="AU152" s="143" t="e">
        <f t="shared" ca="1" si="6"/>
        <v>#VALUE!</v>
      </c>
      <c r="AX152" s="490"/>
    </row>
    <row r="153" spans="1:50" s="139" customFormat="1" hidden="1" x14ac:dyDescent="0.3">
      <c r="A153" s="143"/>
      <c r="B153" s="4"/>
      <c r="F153" s="689">
        <f>Administration!J63</f>
        <v>0</v>
      </c>
      <c r="O153" s="140"/>
      <c r="Q153" s="219"/>
      <c r="AJ153" s="143"/>
      <c r="AM153" s="219"/>
      <c r="AU153" s="143" t="e">
        <f t="shared" ca="1" si="6"/>
        <v>#VALUE!</v>
      </c>
      <c r="AX153" s="490"/>
    </row>
    <row r="154" spans="1:50" s="139" customFormat="1" hidden="1" x14ac:dyDescent="0.3">
      <c r="A154" s="143"/>
      <c r="B154" s="4"/>
      <c r="O154" s="140"/>
      <c r="Q154" s="219"/>
      <c r="AJ154" s="143"/>
      <c r="AM154" s="219"/>
      <c r="AU154" s="143" t="e">
        <f t="shared" ca="1" si="6"/>
        <v>#VALUE!</v>
      </c>
      <c r="AX154" s="490"/>
    </row>
  </sheetData>
  <sheetProtection algorithmName="SHA-512" hashValue="z86rHz+72Jzx44Da5h/bHS1FB5IAGyx8/Yrpp6QsPyKAGpbpHikT/NdIpuXb50J5RC7ewVKiMmh+eCDVhGH3lQ==" saltValue="ieGaABLAVIoa+ao4RHucFA==" spinCount="100000" sheet="1" selectLockedCells="1" selectUnlockedCells="1"/>
  <dataConsolidate/>
  <mergeCells count="46">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H9:I9"/>
    <mergeCell ref="H15:I15"/>
    <mergeCell ref="H10:I10"/>
    <mergeCell ref="E16:H17"/>
    <mergeCell ref="E10:F10"/>
    <mergeCell ref="I16:M17"/>
    <mergeCell ref="E15:F15"/>
    <mergeCell ref="I13:K13"/>
    <mergeCell ref="J12:L12"/>
    <mergeCell ref="I37:K37"/>
    <mergeCell ref="I36:K36"/>
    <mergeCell ref="J55:K55"/>
    <mergeCell ref="N17:O18"/>
    <mergeCell ref="I25:K25"/>
    <mergeCell ref="F27:H28"/>
    <mergeCell ref="I23:L23"/>
    <mergeCell ref="R96:T96"/>
    <mergeCell ref="O40:V41"/>
    <mergeCell ref="H46:K46"/>
    <mergeCell ref="M71:M72"/>
    <mergeCell ref="I49:K49"/>
    <mergeCell ref="I52:K52"/>
    <mergeCell ref="N68:O68"/>
    <mergeCell ref="E61:F68"/>
    <mergeCell ref="F72:H73"/>
    <mergeCell ref="F58:G58"/>
    <mergeCell ref="F59:G59"/>
    <mergeCell ref="N33:O34"/>
    <mergeCell ref="I28:K28"/>
    <mergeCell ref="I30:J30"/>
  </mergeCells>
  <phoneticPr fontId="0" type="noConversion"/>
  <conditionalFormatting sqref="E54 E50">
    <cfRule type="expression" dxfId="115" priority="18" stopIfTrue="1">
      <formula>H50&gt;0</formula>
    </cfRule>
  </conditionalFormatting>
  <conditionalFormatting sqref="E56 E45">
    <cfRule type="expression" dxfId="114" priority="19" stopIfTrue="1">
      <formula>O45=1</formula>
    </cfRule>
  </conditionalFormatting>
  <conditionalFormatting sqref="E55">
    <cfRule type="expression" dxfId="113" priority="21" stopIfTrue="1">
      <formula>Q55=1</formula>
    </cfRule>
  </conditionalFormatting>
  <conditionalFormatting sqref="F56:G56">
    <cfRule type="expression" dxfId="112" priority="22" stopIfTrue="1">
      <formula>O56=1</formula>
    </cfRule>
  </conditionalFormatting>
  <conditionalFormatting sqref="G40">
    <cfRule type="expression" dxfId="111" priority="23" stopIfTrue="1">
      <formula>R40=1</formula>
    </cfRule>
  </conditionalFormatting>
  <conditionalFormatting sqref="E44">
    <cfRule type="expression" dxfId="110" priority="24" stopIfTrue="1">
      <formula>M44&gt;1</formula>
    </cfRule>
  </conditionalFormatting>
  <conditionalFormatting sqref="E46">
    <cfRule type="expression" dxfId="109" priority="25" stopIfTrue="1">
      <formula>OR(T46=1,Q48=0)</formula>
    </cfRule>
  </conditionalFormatting>
  <conditionalFormatting sqref="F46:G46">
    <cfRule type="expression" dxfId="108" priority="26" stopIfTrue="1">
      <formula>OR(T46=1,Q48=0)</formula>
    </cfRule>
  </conditionalFormatting>
  <conditionalFormatting sqref="F39:G39">
    <cfRule type="expression" dxfId="107" priority="29" stopIfTrue="1">
      <formula>B39="Yes"</formula>
    </cfRule>
  </conditionalFormatting>
  <conditionalFormatting sqref="E39">
    <cfRule type="expression" dxfId="106" priority="30" stopIfTrue="1">
      <formula>B39="Yes"</formula>
    </cfRule>
  </conditionalFormatting>
  <conditionalFormatting sqref="F23">
    <cfRule type="expression" dxfId="105" priority="31" stopIfTrue="1">
      <formula>M23&lt;0</formula>
    </cfRule>
  </conditionalFormatting>
  <conditionalFormatting sqref="E23">
    <cfRule type="expression" dxfId="104" priority="32" stopIfTrue="1">
      <formula>M23&lt;0</formula>
    </cfRule>
  </conditionalFormatting>
  <conditionalFormatting sqref="F48:G48">
    <cfRule type="expression" dxfId="103" priority="33" stopIfTrue="1">
      <formula>T48=1</formula>
    </cfRule>
  </conditionalFormatting>
  <conditionalFormatting sqref="E48">
    <cfRule type="expression" dxfId="102" priority="34" stopIfTrue="1">
      <formula>T48=1</formula>
    </cfRule>
  </conditionalFormatting>
  <conditionalFormatting sqref="F44:G44">
    <cfRule type="expression" dxfId="101" priority="36" stopIfTrue="1">
      <formula>AND(O45=1,R45=1)</formula>
    </cfRule>
  </conditionalFormatting>
  <conditionalFormatting sqref="F45:G45">
    <cfRule type="expression" dxfId="100" priority="37" stopIfTrue="1">
      <formula>AND(O45=1,R45=1)</formula>
    </cfRule>
  </conditionalFormatting>
  <conditionalFormatting sqref="E20">
    <cfRule type="expression" dxfId="99" priority="38" stopIfTrue="1">
      <formula>H20&gt;0</formula>
    </cfRule>
  </conditionalFormatting>
  <conditionalFormatting sqref="F20:G20">
    <cfRule type="expression" dxfId="98" priority="39" stopIfTrue="1">
      <formula>H20&gt;0</formula>
    </cfRule>
  </conditionalFormatting>
  <conditionalFormatting sqref="F36:F37">
    <cfRule type="expression" dxfId="97" priority="40" stopIfTrue="1">
      <formula>AND(H36&gt;0%,M36&lt;0)</formula>
    </cfRule>
  </conditionalFormatting>
  <conditionalFormatting sqref="E36:E37">
    <cfRule type="expression" dxfId="96" priority="41" stopIfTrue="1">
      <formula>AND(H36&gt;0%,M36&lt;0)</formula>
    </cfRule>
  </conditionalFormatting>
  <conditionalFormatting sqref="E47">
    <cfRule type="expression" dxfId="95" priority="42" stopIfTrue="1">
      <formula>R65=1</formula>
    </cfRule>
  </conditionalFormatting>
  <conditionalFormatting sqref="F51:G51">
    <cfRule type="expression" dxfId="94" priority="44" stopIfTrue="1">
      <formula>AND($H$51&gt;0,Z49=1,Y49=1)</formula>
    </cfRule>
  </conditionalFormatting>
  <conditionalFormatting sqref="E51">
    <cfRule type="expression" dxfId="93" priority="45" stopIfTrue="1">
      <formula>AND($H$51&gt;0,Z49=1,Y49=1)</formula>
    </cfRule>
  </conditionalFormatting>
  <conditionalFormatting sqref="E60">
    <cfRule type="expression" dxfId="92" priority="46" stopIfTrue="1">
      <formula>C60=1</formula>
    </cfRule>
  </conditionalFormatting>
  <conditionalFormatting sqref="M19:M20 M22 M30 M36:M37 M39:M54 M56:M57">
    <cfRule type="expression" dxfId="91" priority="47" stopIfTrue="1">
      <formula>L19=1</formula>
    </cfRule>
  </conditionalFormatting>
  <conditionalFormatting sqref="M29 M23 M25">
    <cfRule type="expression" dxfId="90" priority="48" stopIfTrue="1">
      <formula>O23=1</formula>
    </cfRule>
  </conditionalFormatting>
  <conditionalFormatting sqref="E58:E59">
    <cfRule type="expression" dxfId="89" priority="50" stopIfTrue="1">
      <formula>O58=1</formula>
    </cfRule>
  </conditionalFormatting>
  <conditionalFormatting sqref="E21">
    <cfRule type="expression" dxfId="88" priority="53" stopIfTrue="1">
      <formula>OR(B21="Free",Q21=1)</formula>
    </cfRule>
  </conditionalFormatting>
  <conditionalFormatting sqref="E25">
    <cfRule type="expression" dxfId="87" priority="55" stopIfTrue="1">
      <formula>OR($R$25&gt;1,AA25=1)</formula>
    </cfRule>
  </conditionalFormatting>
  <conditionalFormatting sqref="I36">
    <cfRule type="expression" dxfId="86" priority="56" stopIfTrue="1">
      <formula>OR(H36&gt;R36,I36="NCB Not Allowed")</formula>
    </cfRule>
  </conditionalFormatting>
  <conditionalFormatting sqref="E57">
    <cfRule type="expression" dxfId="85" priority="59" stopIfTrue="1">
      <formula>M57&gt;1</formula>
    </cfRule>
  </conditionalFormatting>
  <conditionalFormatting sqref="H53">
    <cfRule type="expression" dxfId="84" priority="60" stopIfTrue="1">
      <formula>T48=0</formula>
    </cfRule>
  </conditionalFormatting>
  <conditionalFormatting sqref="F25">
    <cfRule type="expression" dxfId="83" priority="61" stopIfTrue="1">
      <formula>OR($R$25&gt;1,AA25=1)</formula>
    </cfRule>
  </conditionalFormatting>
  <conditionalFormatting sqref="F26">
    <cfRule type="expression" dxfId="82" priority="62" stopIfTrue="1">
      <formula>H25&gt;0</formula>
    </cfRule>
  </conditionalFormatting>
  <conditionalFormatting sqref="H26">
    <cfRule type="expression" dxfId="81" priority="63" stopIfTrue="1">
      <formula>H25&gt;0</formula>
    </cfRule>
  </conditionalFormatting>
  <conditionalFormatting sqref="K26">
    <cfRule type="expression" dxfId="80" priority="64" stopIfTrue="1">
      <formula>H25&gt;0</formula>
    </cfRule>
  </conditionalFormatting>
  <conditionalFormatting sqref="I29:J29">
    <cfRule type="expression" dxfId="79" priority="65" stopIfTrue="1">
      <formula>M29=0</formula>
    </cfRule>
  </conditionalFormatting>
  <conditionalFormatting sqref="I27">
    <cfRule type="expression" dxfId="78" priority="67" stopIfTrue="1">
      <formula>OR($R$25&gt;1,AA25=1)</formula>
    </cfRule>
  </conditionalFormatting>
  <conditionalFormatting sqref="L25">
    <cfRule type="expression" dxfId="77" priority="68" stopIfTrue="1">
      <formula>OR($R$25&gt;1,AA25=1)</formula>
    </cfRule>
  </conditionalFormatting>
  <conditionalFormatting sqref="G42">
    <cfRule type="expression" dxfId="76" priority="69" stopIfTrue="1">
      <formula>AND(R41=1,R40=1)</formula>
    </cfRule>
  </conditionalFormatting>
  <conditionalFormatting sqref="E40">
    <cfRule type="expression" dxfId="75" priority="70" stopIfTrue="1">
      <formula>Q38=1</formula>
    </cfRule>
  </conditionalFormatting>
  <conditionalFormatting sqref="F40">
    <cfRule type="expression" dxfId="74" priority="71" stopIfTrue="1">
      <formula>Q38=1</formula>
    </cfRule>
  </conditionalFormatting>
  <conditionalFormatting sqref="E42">
    <cfRule type="expression" dxfId="73" priority="72" stopIfTrue="1">
      <formula>AND(Q39=1,Q38=1)</formula>
    </cfRule>
  </conditionalFormatting>
  <conditionalFormatting sqref="F42">
    <cfRule type="expression" dxfId="72" priority="73" stopIfTrue="1">
      <formula>AND(Q39=1,Q38=1)</formula>
    </cfRule>
  </conditionalFormatting>
  <conditionalFormatting sqref="E53">
    <cfRule type="expression" dxfId="71" priority="84" stopIfTrue="1">
      <formula>AND(H53&gt;1000,T48=1,Z50=1,O53=1)</formula>
    </cfRule>
  </conditionalFormatting>
  <conditionalFormatting sqref="G4">
    <cfRule type="expression" dxfId="70" priority="91" stopIfTrue="1">
      <formula>D3=1</formula>
    </cfRule>
  </conditionalFormatting>
  <conditionalFormatting sqref="H4">
    <cfRule type="expression" dxfId="69" priority="92" stopIfTrue="1">
      <formula>D3=1</formula>
    </cfRule>
  </conditionalFormatting>
  <conditionalFormatting sqref="I4:J4">
    <cfRule type="expression" dxfId="68" priority="93" stopIfTrue="1">
      <formula>D3=1</formula>
    </cfRule>
  </conditionalFormatting>
  <conditionalFormatting sqref="G5">
    <cfRule type="expression" dxfId="67" priority="94" stopIfTrue="1">
      <formula>D3=1</formula>
    </cfRule>
  </conditionalFormatting>
  <conditionalFormatting sqref="I5:J5">
    <cfRule type="expression" dxfId="66" priority="95" stopIfTrue="1">
      <formula>D3=1</formula>
    </cfRule>
  </conditionalFormatting>
  <conditionalFormatting sqref="H5">
    <cfRule type="expression" dxfId="65" priority="96" stopIfTrue="1">
      <formula>D3=1</formula>
    </cfRule>
  </conditionalFormatting>
  <conditionalFormatting sqref="M5">
    <cfRule type="expression" dxfId="64" priority="97" stopIfTrue="1">
      <formula>D3=1</formula>
    </cfRule>
  </conditionalFormatting>
  <conditionalFormatting sqref="I3:J3">
    <cfRule type="expression" dxfId="63" priority="98" stopIfTrue="1">
      <formula>D3=1</formula>
    </cfRule>
  </conditionalFormatting>
  <conditionalFormatting sqref="E22">
    <cfRule type="expression" dxfId="62" priority="99" stopIfTrue="1">
      <formula>I22&gt;1000</formula>
    </cfRule>
  </conditionalFormatting>
  <conditionalFormatting sqref="F22">
    <cfRule type="expression" dxfId="61" priority="101" stopIfTrue="1">
      <formula>I22&gt;1</formula>
    </cfRule>
  </conditionalFormatting>
  <conditionalFormatting sqref="K8">
    <cfRule type="expression" dxfId="60" priority="90" stopIfTrue="1">
      <formula>M8=L8</formula>
    </cfRule>
  </conditionalFormatting>
  <conditionalFormatting sqref="I24:J24">
    <cfRule type="expression" dxfId="59" priority="183" stopIfTrue="1">
      <formula>AND(C24=1,U23=0)</formula>
    </cfRule>
  </conditionalFormatting>
  <conditionalFormatting sqref="F49:G49">
    <cfRule type="expression" dxfId="58" priority="27" stopIfTrue="1">
      <formula>OR(Q49&gt;0,H49&gt;0)</formula>
    </cfRule>
  </conditionalFormatting>
  <conditionalFormatting sqref="F47:G47">
    <cfRule type="expression" dxfId="57" priority="43" stopIfTrue="1">
      <formula>AND(H47&gt;1,T47=1,Z49=1)</formula>
    </cfRule>
  </conditionalFormatting>
  <conditionalFormatting sqref="F21:G21">
    <cfRule type="expression" dxfId="56" priority="54" stopIfTrue="1">
      <formula>OR(B21="Free",Q21=1)</formula>
    </cfRule>
  </conditionalFormatting>
  <conditionalFormatting sqref="E29">
    <cfRule type="expression" dxfId="55" priority="57" stopIfTrue="1">
      <formula>AND(R29&gt;1,Z49=1,Y49=1)</formula>
    </cfRule>
  </conditionalFormatting>
  <conditionalFormatting sqref="F29:G29">
    <cfRule type="expression" dxfId="54" priority="58" stopIfTrue="1">
      <formula>AND(R29&gt;1,Z49=1,Y49=1)</formula>
    </cfRule>
  </conditionalFormatting>
  <conditionalFormatting sqref="E41">
    <cfRule type="expression" dxfId="53" priority="189" stopIfTrue="1">
      <formula>AND($C$40=1,D41=1)</formula>
    </cfRule>
  </conditionalFormatting>
  <conditionalFormatting sqref="G41">
    <cfRule type="expression" dxfId="52" priority="190" stopIfTrue="1">
      <formula>AND($C$40=1,M30&gt;0)</formula>
    </cfRule>
  </conditionalFormatting>
  <conditionalFormatting sqref="F41">
    <cfRule type="expression" dxfId="51" priority="191" stopIfTrue="1">
      <formula>E41=1</formula>
    </cfRule>
  </conditionalFormatting>
  <conditionalFormatting sqref="K41">
    <cfRule type="expression" dxfId="50" priority="192" stopIfTrue="1">
      <formula>AND(Z42&gt;0,J41=1)</formula>
    </cfRule>
  </conditionalFormatting>
  <conditionalFormatting sqref="J41">
    <cfRule type="expression" dxfId="49" priority="193" stopIfTrue="1">
      <formula>AND($C$40=1,OR(H50&gt;0,H51&gt;0))</formula>
    </cfRule>
  </conditionalFormatting>
  <conditionalFormatting sqref="F43 K43">
    <cfRule type="expression" dxfId="48" priority="194" stopIfTrue="1">
      <formula>AND(E43=1,E41=1)</formula>
    </cfRule>
  </conditionalFormatting>
  <conditionalFormatting sqref="G43">
    <cfRule type="expression" dxfId="47" priority="195" stopIfTrue="1">
      <formula>AND($C$40=1,$C$42=1,M30&gt;0)</formula>
    </cfRule>
  </conditionalFormatting>
  <conditionalFormatting sqref="E43">
    <cfRule type="expression" dxfId="46" priority="196" stopIfTrue="1">
      <formula>AND($C$40=1,$C$42=1,D41=1)</formula>
    </cfRule>
  </conditionalFormatting>
  <conditionalFormatting sqref="J43">
    <cfRule type="expression" dxfId="45" priority="197" stopIfTrue="1">
      <formula>AND($C$40=1,$C$42=1,OR(H50&gt;0,H51&gt;0))</formula>
    </cfRule>
  </conditionalFormatting>
  <conditionalFormatting sqref="H58:H59">
    <cfRule type="expression" dxfId="44" priority="200" stopIfTrue="1">
      <formula>AND(C58=1,F58="")</formula>
    </cfRule>
  </conditionalFormatting>
  <conditionalFormatting sqref="H24">
    <cfRule type="expression" dxfId="43" priority="201" stopIfTrue="1">
      <formula>U23=0</formula>
    </cfRule>
  </conditionalFormatting>
  <conditionalFormatting sqref="I16:M17">
    <cfRule type="expression" dxfId="42" priority="205" stopIfTrue="1">
      <formula>R15=0</formula>
    </cfRule>
  </conditionalFormatting>
  <conditionalFormatting sqref="H41">
    <cfRule type="expression" dxfId="41" priority="214" stopIfTrue="1">
      <formula>AND($C$40=1,M30&gt;0,G41=1)</formula>
    </cfRule>
  </conditionalFormatting>
  <conditionalFormatting sqref="H43">
    <cfRule type="expression" dxfId="40" priority="215" stopIfTrue="1">
      <formula>AND($C$40=1,M30&gt;0,G43=1,G41=1)</formula>
    </cfRule>
  </conditionalFormatting>
  <conditionalFormatting sqref="O25 L22 L36:L37 L30 O23 L19:L20 O29 L39:L53 L56:L59">
    <cfRule type="expression" dxfId="39" priority="106" stopIfTrue="1">
      <formula>$C$2="Yes"</formula>
    </cfRule>
  </conditionalFormatting>
  <conditionalFormatting sqref="I41">
    <cfRule type="expression" dxfId="38" priority="87" stopIfTrue="1">
      <formula>AND(B40="Yes",T42="Yes",H25&gt;0,L27&gt;0)</formula>
    </cfRule>
  </conditionalFormatting>
  <conditionalFormatting sqref="I43">
    <cfRule type="expression" dxfId="37" priority="88" stopIfTrue="1">
      <formula>AND(B40="Yes",T42="Yes",H25&gt;0,L27&gt;0,B41="Yes",T43="Yes")</formula>
    </cfRule>
  </conditionalFormatting>
  <conditionalFormatting sqref="E30">
    <cfRule type="expression" dxfId="36" priority="103" stopIfTrue="1">
      <formula>AND(H30&gt;1,C30="Yes",AA2=1,Z49=1,Y49=1)</formula>
    </cfRule>
  </conditionalFormatting>
  <conditionalFormatting sqref="H42 I49:J49 H44 K42 K44">
    <cfRule type="cellIs" dxfId="35" priority="110" stopIfTrue="1" operator="equal">
      <formula>0</formula>
    </cfRule>
  </conditionalFormatting>
  <conditionalFormatting sqref="K47">
    <cfRule type="cellIs" dxfId="34" priority="105" stopIfTrue="1" operator="equal">
      <formula>0</formula>
    </cfRule>
  </conditionalFormatting>
  <conditionalFormatting sqref="F54:G54">
    <cfRule type="expression" dxfId="33" priority="108" stopIfTrue="1">
      <formula>$H$54&gt;0</formula>
    </cfRule>
  </conditionalFormatting>
  <conditionalFormatting sqref="F50:G50">
    <cfRule type="expression" dxfId="32" priority="109" stopIfTrue="1">
      <formula>$H$50&gt;0</formula>
    </cfRule>
  </conditionalFormatting>
  <conditionalFormatting sqref="F57:G60">
    <cfRule type="cellIs" dxfId="31" priority="111" stopIfTrue="1" operator="equal">
      <formula>"."</formula>
    </cfRule>
  </conditionalFormatting>
  <conditionalFormatting sqref="K48">
    <cfRule type="cellIs" dxfId="30" priority="112" stopIfTrue="1" operator="equal">
      <formula>0</formula>
    </cfRule>
  </conditionalFormatting>
  <conditionalFormatting sqref="I52:K53">
    <cfRule type="cellIs" dxfId="29" priority="121" stopIfTrue="1" operator="equal">
      <formula>"Enter Number of Air Bags"</formula>
    </cfRule>
  </conditionalFormatting>
  <conditionalFormatting sqref="K15">
    <cfRule type="cellIs" dxfId="28" priority="227" stopIfTrue="1" operator="equal">
      <formula>"Chinese Vehicles Covered"</formula>
    </cfRule>
  </conditionalFormatting>
  <conditionalFormatting sqref="K9:M9">
    <cfRule type="expression" dxfId="27" priority="119" stopIfTrue="1">
      <formula>OR($T$2=3,$W$2=0)</formula>
    </cfRule>
  </conditionalFormatting>
  <conditionalFormatting sqref="G22:G23">
    <cfRule type="expression" dxfId="26" priority="100" stopIfTrue="1">
      <formula>#REF!&gt;1</formula>
    </cfRule>
  </conditionalFormatting>
  <conditionalFormatting sqref="N25 N19:N20 N22:N23 N29:N30 N36:N37 N39:N57">
    <cfRule type="expression" dxfId="25" priority="107" stopIfTrue="1">
      <formula>$C$2="Yes"</formula>
    </cfRule>
  </conditionalFormatting>
  <conditionalFormatting sqref="H19">
    <cfRule type="cellIs" dxfId="24" priority="113" stopIfTrue="1" operator="equal">
      <formula>"This Quotation system is not valid anymore"</formula>
    </cfRule>
  </conditionalFormatting>
  <conditionalFormatting sqref="E26 G26 L26">
    <cfRule type="expression" dxfId="23" priority="114" stopIfTrue="1">
      <formula>$H$25&gt;0</formula>
    </cfRule>
  </conditionalFormatting>
  <conditionalFormatting sqref="I31:I34">
    <cfRule type="expression" dxfId="22" priority="117" stopIfTrue="1">
      <formula>$H$30=0</formula>
    </cfRule>
  </conditionalFormatting>
  <conditionalFormatting sqref="E32:E34">
    <cfRule type="expression" dxfId="21" priority="118" stopIfTrue="1">
      <formula>AND($H$30&gt;0,$O$31=1)</formula>
    </cfRule>
  </conditionalFormatting>
  <conditionalFormatting sqref="K22">
    <cfRule type="expression" dxfId="20" priority="122" stopIfTrue="1">
      <formula>$C$2="Yes"</formula>
    </cfRule>
  </conditionalFormatting>
  <conditionalFormatting sqref="K14:M14">
    <cfRule type="expression" dxfId="19" priority="238" stopIfTrue="1">
      <formula>$H$14="Yes"</formula>
    </cfRule>
  </conditionalFormatting>
  <conditionalFormatting sqref="K30">
    <cfRule type="expression" dxfId="18" priority="239" stopIfTrue="1">
      <formula>AND($H$30&gt;0,$O$31&gt;0)</formula>
    </cfRule>
  </conditionalFormatting>
  <conditionalFormatting sqref="F30">
    <cfRule type="expression" dxfId="17" priority="240" stopIfTrue="1">
      <formula>AND(H30&gt;1,C30="Yes",AA2=1,Z49=1,Y49=1)</formula>
    </cfRule>
  </conditionalFormatting>
  <conditionalFormatting sqref="I30:J30">
    <cfRule type="expression" dxfId="16" priority="241" stopIfTrue="1">
      <formula>AND($H$30&gt;0,$O$31&gt;0)</formula>
    </cfRule>
  </conditionalFormatting>
  <conditionalFormatting sqref="I25:K25">
    <cfRule type="expression" dxfId="15" priority="17" stopIfTrue="1">
      <formula>$H$25=0</formula>
    </cfRule>
  </conditionalFormatting>
  <conditionalFormatting sqref="E16:H17">
    <cfRule type="notContainsBlanks" dxfId="14" priority="243" stopIfTrue="1">
      <formula>LEN(TRIM(E16))&gt;0</formula>
    </cfRule>
  </conditionalFormatting>
  <conditionalFormatting sqref="E15:F15">
    <cfRule type="cellIs" dxfId="13" priority="15" stopIfTrue="1" operator="equal">
      <formula>"SUM COVERED - Above Retention"</formula>
    </cfRule>
  </conditionalFormatting>
  <conditionalFormatting sqref="M13">
    <cfRule type="expression" dxfId="12" priority="244" stopIfTrue="1">
      <formula>OR(L13="",L13=0)</formula>
    </cfRule>
  </conditionalFormatting>
  <conditionalFormatting sqref="AA1">
    <cfRule type="expression" dxfId="11" priority="12" stopIfTrue="1">
      <formula>AND($H$12="HYBRID",$H$14="No")</formula>
    </cfRule>
  </conditionalFormatting>
  <conditionalFormatting sqref="M12">
    <cfRule type="expression" dxfId="10" priority="8" stopIfTrue="1">
      <formula>AND(H12="Hybrid",H14="No")</formula>
    </cfRule>
  </conditionalFormatting>
  <conditionalFormatting sqref="M12">
    <cfRule type="expression" dxfId="9" priority="7" stopIfTrue="1">
      <formula>AND(H12="Hybrid",H14="No")</formula>
    </cfRule>
  </conditionalFormatting>
  <conditionalFormatting sqref="M12">
    <cfRule type="expression" dxfId="8" priority="6" stopIfTrue="1">
      <formula>H8="Motor Cycle"</formula>
    </cfRule>
  </conditionalFormatting>
  <conditionalFormatting sqref="K50">
    <cfRule type="expression" dxfId="7" priority="255" stopIfTrue="1">
      <formula>T47=0</formula>
    </cfRule>
  </conditionalFormatting>
  <conditionalFormatting sqref="F52:F53">
    <cfRule type="expression" dxfId="6" priority="256" stopIfTrue="1">
      <formula>AND($K$50&gt;0,T47=1,Z49=1,O52=1)</formula>
    </cfRule>
  </conditionalFormatting>
  <conditionalFormatting sqref="E52">
    <cfRule type="expression" dxfId="5" priority="258" stopIfTrue="1">
      <formula>Q38=1</formula>
    </cfRule>
  </conditionalFormatting>
  <conditionalFormatting sqref="L54">
    <cfRule type="expression" dxfId="4" priority="5" stopIfTrue="1">
      <formula>$C$2="Yes"</formula>
    </cfRule>
  </conditionalFormatting>
  <conditionalFormatting sqref="I54">
    <cfRule type="expression" dxfId="3" priority="4" stopIfTrue="1">
      <formula>P54=1</formula>
    </cfRule>
  </conditionalFormatting>
  <conditionalFormatting sqref="F55:G55">
    <cfRule type="expression" dxfId="2" priority="1" stopIfTrue="1">
      <formula>Q55=1</formula>
    </cfRule>
  </conditionalFormatting>
  <conditionalFormatting sqref="M55">
    <cfRule type="expression" dxfId="1" priority="2" stopIfTrue="1">
      <formula>L55=1</formula>
    </cfRule>
  </conditionalFormatting>
  <conditionalFormatting sqref="L55">
    <cfRule type="expression" dxfId="0" priority="3" stopIfTrue="1">
      <formula>$C$2="Yes"</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900-000000000000}">
      <formula1>Q49</formula1>
    </dataValidation>
    <dataValidation type="whole" operator="lessThanOrEqual" allowBlank="1" showInputMessage="1" showErrorMessage="1" error="Limit Exceeded._x000a_M/R Not Allowed" sqref="H20" xr:uid="{00000000-0002-0000-0900-000001000000}">
      <formula1>T20</formula1>
    </dataValidation>
    <dataValidation type="whole" showInputMessage="1" showErrorMessage="1" sqref="H30" xr:uid="{00000000-0002-0000-0900-000002000000}">
      <formula1>0</formula1>
      <formula2>U30</formula2>
    </dataValidation>
    <dataValidation type="decimal" operator="lessThanOrEqual" showErrorMessage="1" promptTitle="MAXIMUM NCB ALLOWED" prompt="for Private Cars  - 75%_x000a_for Commercial    - 65%_x000a_for Motor Cycles - 35%" sqref="H36" xr:uid="{00000000-0002-0000-0900-000003000000}">
      <formula1>R36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Q23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AU45:AU54</formula1>
    </dataValidation>
    <dataValidation type="decimal" showErrorMessage="1" promptTitle="MAXIMUM NCB ALLOWED" prompt="for Private Cars  - 75%_x000a_for Commercial    - 65%_x000a_for Motor Cycles - 35%" sqref="H37" xr:uid="{00000000-0002-0000-0900-00000B000000}">
      <formula1>0</formula1>
      <formula2>R36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A1" xr:uid="{00000000-0002-0000-0900-000010000000}">
      <formula1>"Born Hybrid,non-born Hybrid"</formula1>
    </dataValidation>
    <dataValidation type="list" allowBlank="1" showInputMessage="1" showErrorMessage="1" sqref="O25 C58:C60 C55:C56 G43 E43 J43 E41 C39:C40 G41 L30 L22 O23 L36:L37 O29 E32:E34 L19:L20 C42 J41 C45:C46 L39:L59"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T28:V28 G31:G34" xr:uid="{00000000-0002-0000-0900-000015000000}">
      <formula1>0</formula1>
      <formula2>1</formula2>
    </dataValidation>
    <dataValidation type="list" allowBlank="1" showInputMessage="1" showErrorMessage="1" sqref="B55:B56 Q42:Q43 B46 T42:T43 W42:W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$AP$6:$AP$7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30" xr:uid="{00000000-0002-0000-0900-000036000000}">
      <formula1>"Non-Hazardous,Hazardous,Extra Hazardous"</formula1>
    </dataValidation>
    <dataValidation type="list" allowBlank="1" showInputMessage="1" showErrorMessage="1" sqref="K30" xr:uid="{00000000-0002-0000-0900-000037000000}">
      <formula1>"With Fire,Without Fire"</formula1>
    </dataValidation>
    <dataValidation type="list" allowBlank="1" showInputMessage="1" showErrorMessage="1" sqref="H8:I8" xr:uid="{00000000-0002-0000-0900-000038000000}">
      <formula1>"Motor Cycle,Three Wheeler"</formula1>
    </dataValidation>
    <dataValidation type="list" allowBlank="1" showInputMessage="1" showErrorMessage="1" sqref="M12" xr:uid="{00000000-0002-0000-0900-000039000000}">
      <formula1>"Above 250cc,Below 250cc"</formula1>
    </dataValidation>
    <dataValidation type="list" allowBlank="1" showInputMessage="1" showErrorMessage="1" sqref="K14:M14" xr:uid="{00000000-0002-0000-0900-00003A000000}">
      <formula1>$F$96:$F$123</formula1>
    </dataValidation>
    <dataValidation type="list" showInputMessage="1" showErrorMessage="1" sqref="I25:K25" xr:uid="{00000000-0002-0000-0900-00003B000000}">
      <formula1>"Full Seating Capacity,Participant Only,Pilion Rider Only,Participant &amp; Driver Only"</formula1>
    </dataValidation>
  </dataValidations>
  <hyperlinks>
    <hyperlink ref="AZ80" r:id="rId1" display="mailto:info@amanabank.lk" xr:uid="{00000000-0004-0000-0900-000000000000}"/>
    <hyperlink ref="AZ83" r:id="rId2" display="mailto:boc@boc.lk" xr:uid="{00000000-0004-0000-0900-000001000000}"/>
    <hyperlink ref="AZ86" r:id="rId3" display="mailto:email@combank.net" xr:uid="{00000000-0004-0000-0900-000002000000}"/>
    <hyperlink ref="AZ90" r:id="rId4" display="mailto:info@dfccvardhanabank.com" xr:uid="{00000000-0004-0000-0900-000003000000}"/>
    <hyperlink ref="AZ91" r:id="rId5" display="http://www.dfccvardhanabank.com/" xr:uid="{00000000-0004-0000-0900-000004000000}"/>
    <hyperlink ref="AZ93" r:id="rId6" display="mailto:moreinfo@hnb.net" xr:uid="{00000000-0004-0000-0900-000005000000}"/>
    <hyperlink ref="AZ94" r:id="rId7" display="http://www.hnb.net/" xr:uid="{00000000-0004-0000-0900-000006000000}"/>
    <hyperlink ref="AZ96" r:id="rId8" display="mailto:azfar.nomani@mcb.com.lk" xr:uid="{00000000-0004-0000-0900-000007000000}"/>
    <hyperlink ref="AZ99" r:id="rId9" display="mailto:contact@ndbbank.com" xr:uid="{00000000-0004-0000-0900-000008000000}"/>
    <hyperlink ref="AZ100" r:id="rId10" display="http://www.ndbbank.com/" xr:uid="{00000000-0004-0000-0900-000009000000}"/>
    <hyperlink ref="AZ102" r:id="rId11" display="mailto:info@nationstrust.com" xr:uid="{00000000-0004-0000-0900-00000A000000}"/>
    <hyperlink ref="AZ105" r:id="rId12" display="mailto:pabc@pabcbank.com" xr:uid="{00000000-0004-0000-0900-00000B000000}"/>
    <hyperlink ref="AZ106" r:id="rId13" display="http://www.pabcbank.com/" xr:uid="{00000000-0004-0000-0900-00000C000000}"/>
    <hyperlink ref="AZ108" r:id="rId14" display="mailto:info@peoplesbank.lk" xr:uid="{00000000-0004-0000-0900-00000D000000}"/>
    <hyperlink ref="AZ111" r:id="rId15" display="mailto:oper.mgr@sampath.lk" xr:uid="{00000000-0004-0000-0900-00000E000000}"/>
    <hyperlink ref="AZ114" r:id="rId16" display="mailto:info@seylan.lk" xr:uid="{00000000-0004-0000-0900-00000F000000}"/>
    <hyperlink ref="AZ115" r:id="rId17" display="http://www.eseylan.com/" xr:uid="{00000000-0004-0000-0900-000010000000}"/>
    <hyperlink ref="AZ117" r:id="rId18" display="mailto:ubc@unionb.com" xr:uid="{00000000-0004-0000-0900-000011000000}"/>
    <hyperlink ref="AZ120" r:id="rId19" display="mailto:info@dfccbank.com" xr:uid="{00000000-0004-0000-0900-000012000000}"/>
    <hyperlink ref="AZ123" r:id="rId20" display="mailto:info@lankaputhra.lk" xr:uid="{00000000-0004-0000-0900-000013000000}"/>
    <hyperlink ref="AZ124" r:id="rId21" display="http://www.lankaputhra.lk/" xr:uid="{00000000-0004-0000-0900-000014000000}"/>
    <hyperlink ref="AZ126" r:id="rId22" display="mailto:savingsbank@mbslsavingsbank.com" xr:uid="{00000000-0004-0000-0900-000015000000}"/>
    <hyperlink ref="AZ127" r:id="rId23" display="http://www.mbslsavingsbank.com/" xr:uid="{00000000-0004-0000-0900-000016000000}"/>
    <hyperlink ref="AZ129" r:id="rId24" display="mailto:siriwardener@rdb.lk" xr:uid="{00000000-0004-0000-0900-000017000000}"/>
    <hyperlink ref="AZ130" r:id="rId25" display="http://www.rdb.lk/" xr:uid="{00000000-0004-0000-0900-000018000000}"/>
    <hyperlink ref="AZ132" r:id="rId26" display="mailto:info@sdb.lk" xr:uid="{00000000-0004-0000-0900-000019000000}"/>
    <hyperlink ref="AZ133" r:id="rId27" display="http://www.sdb.lk/" xr:uid="{00000000-0004-0000-0900-00001A000000}"/>
    <hyperlink ref="AZ135" r:id="rId28" display="mailto:slsbl@sltnet.lk" xr:uid="{00000000-0004-0000-0900-00001B000000}"/>
    <hyperlink ref="AZ136" r:id="rId29" display="http://www.sdb.lk/" xr:uid="{00000000-0004-0000-0900-00001C000000}"/>
    <hyperlink ref="AZ138" r:id="rId30" display="mailto:aban@abansgroup.com" xr:uid="{00000000-0004-0000-0900-00001D000000}"/>
    <hyperlink ref="AZ139" r:id="rId31" display="http://www.abansgroup.com/" xr:uid="{00000000-0004-0000-0900-00001E000000}"/>
    <hyperlink ref="AZ141" r:id="rId32" display="mailto:info@alliancefinance.lk" xr:uid="{00000000-0004-0000-0900-00001F000000}"/>
    <hyperlink ref="AZ142" r:id="rId33" display="http://www.alliancefinance.lk/" xr:uid="{00000000-0004-0000-0900-000020000000}"/>
    <hyperlink ref="AZ145" r:id="rId34" display="http://www.amwltd.lk/" xr:uid="{00000000-0004-0000-0900-000021000000}"/>
    <hyperlink ref="AZ147" r:id="rId35" display="mailto:bedej@arpicofinance.com" xr:uid="{00000000-0004-0000-0900-000022000000}"/>
    <hyperlink ref="AZ148" r:id="rId36" display="http://www.arpicofinance.lk/" xr:uid="{00000000-0004-0000-0900-000023000000}"/>
    <hyperlink ref="AZ150" r:id="rId37" display="mailto:info@asiaassetfinance.lk" xr:uid="{00000000-0004-0000-0900-000024000000}"/>
    <hyperlink ref="AZ153" r:id="rId38" display="mailto:afl@asianfinance.lk" xr:uid="{00000000-0004-0000-0900-000025000000}"/>
    <hyperlink ref="AZ156" r:id="rId39" display="mailto:amfcoltd@sltnet.lk" xr:uid="{00000000-0004-0000-0900-000026000000}"/>
    <hyperlink ref="AZ159" r:id="rId40" display="mailto:bartfsl@bartleet.com" xr:uid="{00000000-0004-0000-0900-000027000000}"/>
    <hyperlink ref="AZ160" r:id="rId41" display="http://www.batrleetgroup.com/" xr:uid="{00000000-0004-0000-0900-000028000000}"/>
    <hyperlink ref="AZ162" r:id="rId42" display="mailto:bimputhlanka@daya-group.com" xr:uid="{00000000-0004-0000-0900-000029000000}"/>
    <hyperlink ref="AZ163" r:id="rId43" display="http://www.dayagroupofcompanies.com/" xr:uid="{00000000-0004-0000-0900-00002A000000}"/>
    <hyperlink ref="AZ165" r:id="rId44" display="mailto:silvereenkandy@sltnet.lk" xr:uid="{00000000-0004-0000-0900-00002B000000}"/>
    <hyperlink ref="AZ166" r:id="rId45" display="http://www.cbsl.gov.lk/htm/english/05_fss/popup/" xr:uid="{00000000-0004-0000-0900-00002C000000}"/>
    <hyperlink ref="AZ168" r:id="rId46" display="mailto:cenfin@cf.lk" xr:uid="{00000000-0004-0000-0900-00002D000000}"/>
    <hyperlink ref="AZ169" r:id="rId47" display="http://www.cf.lk/" xr:uid="{00000000-0004-0000-0900-00002E000000}"/>
    <hyperlink ref="AZ171" r:id="rId48" display="mailto:cifl@cifl.lk" xr:uid="{00000000-0004-0000-0900-00002F000000}"/>
    <hyperlink ref="AZ172" r:id="rId49" display="http://www.cifl.lk/" xr:uid="{00000000-0004-0000-0900-000030000000}"/>
    <hyperlink ref="AZ174" r:id="rId50" display="mailto:chifinco@gmail.com" xr:uid="{00000000-0004-0000-0900-000031000000}"/>
    <hyperlink ref="AZ177" r:id="rId51" display="mailto:cdb@cdb.lk" xr:uid="{00000000-0004-0000-0900-000032000000}"/>
    <hyperlink ref="AZ178" r:id="rId52" display="http://www.cdb.lk/" xr:uid="{00000000-0004-0000-0900-000033000000}"/>
    <hyperlink ref="AZ180" r:id="rId53" display="mailto:infoifl@infinltd.lk" xr:uid="{00000000-0004-0000-0900-000034000000}"/>
    <hyperlink ref="AZ181" r:id="rId54" display="http://www.ifl.lk/" xr:uid="{00000000-0004-0000-0900-000035000000}"/>
    <hyperlink ref="AZ183" r:id="rId55" display="mailto:ccl@cclk.lk" xr:uid="{00000000-0004-0000-0900-000036000000}"/>
    <hyperlink ref="AZ184" r:id="rId56" display="http://www.cclk.lk/" xr:uid="{00000000-0004-0000-0900-000037000000}"/>
    <hyperlink ref="AZ186" r:id="rId57" display="mailto:clc@.lk" xr:uid="{00000000-0004-0000-0900-000038000000}"/>
    <hyperlink ref="AZ187" r:id="rId58" display="http://www.clc.lk/" xr:uid="{00000000-0004-0000-0900-000039000000}"/>
    <hyperlink ref="AZ189" r:id="rId59" display="mailto:info@divasafinance.lk" xr:uid="{00000000-0004-0000-0900-00003A000000}"/>
    <hyperlink ref="AZ190" r:id="rId60" display="http://www.divasafinance.lk/" xr:uid="{00000000-0004-0000-0900-00003B000000}"/>
    <hyperlink ref="AZ192" r:id="rId61" display="mailto:info@eti.lk" xr:uid="{00000000-0004-0000-0900-00003C000000}"/>
    <hyperlink ref="AZ193" r:id="rId62" display="http://www.eti.lk/" xr:uid="{00000000-0004-0000-0900-00003D000000}"/>
    <hyperlink ref="AZ195" r:id="rId63" display="mailto:chandrin@kanrich.lk" xr:uid="{00000000-0004-0000-0900-00003E000000}"/>
    <hyperlink ref="AZ196" r:id="rId64" display="http://www.kanrich.lk/" xr:uid="{00000000-0004-0000-0900-00003F000000}"/>
    <hyperlink ref="AZ198" r:id="rId65" display="mailto:mail@lbfinance.lk" xr:uid="{00000000-0004-0000-0900-000040000000}"/>
    <hyperlink ref="AZ199" r:id="rId66" display="http://www.lbfinance.com/" xr:uid="{00000000-0004-0000-0900-000041000000}"/>
    <hyperlink ref="AZ201" r:id="rId67" display="mailto:lofin@lankaorix.com" xr:uid="{00000000-0004-0000-0900-000042000000}"/>
    <hyperlink ref="AZ202" r:id="rId68" display="http://www.lankaorix.com/" xr:uid="{00000000-0004-0000-0900-000043000000}"/>
    <hyperlink ref="AZ204" r:id="rId69" display="mailto:mercantile@mi.com.lk" xr:uid="{00000000-0004-0000-0900-000044000000}"/>
    <hyperlink ref="AZ205" r:id="rId70" display="http://www.mi.com.lk/" xr:uid="{00000000-0004-0000-0900-000045000000}"/>
    <hyperlink ref="AZ207" r:id="rId71" display="mailto:mcsl@mbslbank.com" xr:uid="{00000000-0004-0000-0900-000046000000}"/>
    <hyperlink ref="AZ208" r:id="rId72" display="http://www.mcsl.lk/" xr:uid="{00000000-0004-0000-0900-000047000000}"/>
    <hyperlink ref="AZ210" r:id="rId73" display="mailto:info@themultifinance.com" xr:uid="{00000000-0004-0000-0900-000048000000}"/>
    <hyperlink ref="AZ211" r:id="rId74" display="http://www.mcsl.lk/" xr:uid="{00000000-0004-0000-0900-000049000000}"/>
    <hyperlink ref="AZ213" r:id="rId75" display="mailto:info@nifl.lk" xr:uid="{00000000-0004-0000-0900-00004A000000}"/>
    <hyperlink ref="AZ216" r:id="rId76" display="mailto:bede@nflplc.com" xr:uid="{00000000-0004-0000-0900-00004B000000}"/>
    <hyperlink ref="AZ217" r:id="rId77" display="http://www.cbsl.gov.lk/htm/english/05_fss/popup/www.nflplc.lk/" xr:uid="{00000000-0004-0000-0900-00004C000000}"/>
    <hyperlink ref="AZ219" r:id="rId78" display="mailto:dinindus@plc.lk" xr:uid="{00000000-0004-0000-0900-00004D000000}"/>
    <hyperlink ref="AZ222" r:id="rId79" display="mailto:senk@senfin.com" xr:uid="{00000000-0004-0000-0900-00004E000000}"/>
    <hyperlink ref="AZ223" r:id="rId80" display="http://www.senfin.com/" xr:uid="{00000000-0004-0000-0900-00004F000000}"/>
    <hyperlink ref="AZ225" r:id="rId81" display="mailto:financecompany@singersl.com" xr:uid="{00000000-0004-0000-0900-000050000000}"/>
    <hyperlink ref="AZ226" r:id="rId82" display="http://www.singersl.com/" xr:uid="{00000000-0004-0000-0900-000051000000}"/>
    <hyperlink ref="AZ228" r:id="rId83" display="mailto:info@sinhaputhra.lk" xr:uid="{00000000-0004-0000-0900-000052000000}"/>
    <hyperlink ref="AZ229" r:id="rId84" display="http://www.sinhaputhra.lk/" xr:uid="{00000000-0004-0000-0900-000053000000}"/>
    <hyperlink ref="AZ231" r:id="rId85" display="mailto:info@softlogicfinance.lk" xr:uid="{00000000-0004-0000-0900-000054000000}"/>
    <hyperlink ref="AZ232" r:id="rId86" display="http://www.softlogicfinance.lk/" xr:uid="{00000000-0004-0000-0900-000055000000}"/>
    <hyperlink ref="AZ234" r:id="rId87" display="mailto:info@sfs.lk" xr:uid="{00000000-0004-0000-0900-000056000000}"/>
    <hyperlink ref="AZ235" r:id="rId88" display="http://www.sfs.lk/" xr:uid="{00000000-0004-0000-0900-000057000000}"/>
    <hyperlink ref="AZ237" r:id="rId89" display="mailto:info@fglk.com" xr:uid="{00000000-0004-0000-0900-000058000000}"/>
    <hyperlink ref="AZ238" r:id="rId90" display="http://www.fglk.com/" xr:uid="{00000000-0004-0000-0900-000059000000}"/>
    <hyperlink ref="AZ240" r:id="rId91" display="mailto:smi@thefinance.lk" xr:uid="{00000000-0004-0000-0900-00005A000000}"/>
    <hyperlink ref="AZ241" r:id="rId92" display="http://www.thefinance.lk/" xr:uid="{00000000-0004-0000-0900-00005B000000}"/>
    <hyperlink ref="AZ244" r:id="rId93" display="mailto:infomail@cir.lk" xr:uid="{00000000-0004-0000-0900-00005C000000}"/>
    <hyperlink ref="AZ247" r:id="rId94" display="mailto:tradefi@lankabiz.net" xr:uid="{00000000-0004-0000-0900-00005D000000}"/>
    <hyperlink ref="AZ250" r:id="rId95" display="mailto:info@vallibelfinance.com" xr:uid="{00000000-0004-0000-0900-00005E000000}"/>
    <hyperlink ref="AZ253" r:id="rId96" display="mailto:kushantha@dpmco.com" xr:uid="{00000000-0004-0000-0900-00005F000000}"/>
    <hyperlink ref="AZ254" r:id="rId97" display="http://www.assetline.lk/" xr:uid="{00000000-0004-0000-0900-000060000000}"/>
    <hyperlink ref="AZ256" r:id="rId98" display="mailto:%20ceylease@ceylease.lk" xr:uid="{00000000-0004-0000-0900-000061000000}"/>
    <hyperlink ref="AZ259" r:id="rId99" display="mailto:info@cooplease.com" xr:uid="{00000000-0004-0000-0900-000062000000}"/>
    <hyperlink ref="AZ260" r:id="rId100" display="http://www.cooplease.com./" xr:uid="{00000000-0004-0000-0900-000063000000}"/>
    <hyperlink ref="AZ262" r:id="rId101" display="mailto:indrafinance@sltnet.lk" xr:uid="{00000000-0004-0000-0900-000064000000}"/>
    <hyperlink ref="AZ265" r:id="rId102" display="mailto:lmewijesuriya@gmail.lk" xr:uid="{00000000-0004-0000-0900-000065000000}"/>
    <hyperlink ref="AZ268" r:id="rId103" display="mailto:koshilea@sltnet.lk" xr:uid="{00000000-0004-0000-0900-000066000000}"/>
    <hyperlink ref="AZ271" r:id="rId104" display="mailto:lisvin@lisvin.com" xr:uid="{00000000-0004-0000-0900-000067000000}"/>
    <hyperlink ref="AZ274" r:id="rId105" display="mailto:chrishathi@lankaorix.com" xr:uid="{00000000-0004-0000-0900-000068000000}"/>
    <hyperlink ref="AZ277" r:id="rId106" display="mailto:mbslbank@mbslbank.com" xr:uid="{00000000-0004-0000-0900-000069000000}"/>
    <hyperlink ref="AZ280" r:id="rId107" display="mailto:orientleasing@sltnet.lk" xr:uid="{00000000-0004-0000-0900-00006A000000}"/>
    <hyperlink ref="AZ283" r:id="rId108" display="mailto:dpkumarage@plc.lk" xr:uid="{00000000-0004-0000-0900-00006B000000}"/>
    <hyperlink ref="AZ286" r:id="rId109" display="mailto:info@pmb.lk" xr:uid="{00000000-0004-0000-0900-00006C000000}"/>
    <hyperlink ref="AZ287" r:id="rId110" display="http://www.peoplesmerchantbank.lk/" xr:uid="{00000000-0004-0000-0900-00006D000000}"/>
    <hyperlink ref="AZ289" r:id="rId111" display="mailto:roshan@sampath-slfl.lk" xr:uid="{00000000-0004-0000-0900-00006E000000}"/>
    <hyperlink ref="AZ292" r:id="rId112" display="mailto:smbhed@sltnet.lk" xr:uid="{00000000-0004-0000-0900-00006F000000}"/>
    <hyperlink ref="AZ293" r:id="rId113" display="http://www.smblk.com/" xr:uid="{00000000-0004-0000-0900-000070000000}"/>
    <hyperlink ref="AZ295"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1"/>
  <sheetViews>
    <sheetView workbookViewId="0">
      <selection activeCell="C10" sqref="C10"/>
    </sheetView>
  </sheetViews>
  <sheetFormatPr defaultRowHeight="12.5" x14ac:dyDescent="0.25"/>
  <cols>
    <col min="1" max="1" width="12.7265625" customWidth="1"/>
    <col min="2" max="2" width="12.26953125" customWidth="1"/>
    <col min="3" max="3" width="11.26953125" customWidth="1"/>
    <col min="4" max="4" width="14.1796875" customWidth="1"/>
    <col min="6" max="6" width="14" customWidth="1"/>
    <col min="7" max="7" width="11.54296875" customWidth="1"/>
    <col min="8" max="8" width="15.7265625" customWidth="1"/>
    <col min="9" max="9" width="15.1796875" customWidth="1"/>
  </cols>
  <sheetData>
    <row r="1" spans="1:9" ht="23" thickBot="1" x14ac:dyDescent="0.5">
      <c r="A1" s="1491">
        <f>MC!Q16</f>
        <v>700000</v>
      </c>
      <c r="B1" s="1871" t="s">
        <v>570</v>
      </c>
      <c r="C1" s="1871"/>
      <c r="D1" s="1871"/>
      <c r="F1" s="1871" t="s">
        <v>578</v>
      </c>
      <c r="G1" s="1871"/>
      <c r="H1" s="1871"/>
      <c r="I1" s="1491">
        <f>TW!Q16</f>
        <v>500000</v>
      </c>
    </row>
    <row r="2" spans="1:9" ht="13.5" thickTop="1" x14ac:dyDescent="0.25">
      <c r="B2" s="1476" t="s">
        <v>201</v>
      </c>
      <c r="C2" s="1477" t="s">
        <v>582</v>
      </c>
      <c r="D2" s="1478" t="s">
        <v>583</v>
      </c>
      <c r="F2" s="1476" t="s">
        <v>201</v>
      </c>
      <c r="G2" s="1477" t="s">
        <v>582</v>
      </c>
      <c r="H2" s="1478" t="s">
        <v>583</v>
      </c>
    </row>
    <row r="3" spans="1:9" x14ac:dyDescent="0.25">
      <c r="B3" s="1479" t="s">
        <v>584</v>
      </c>
      <c r="C3" s="1480">
        <v>3.3E-4</v>
      </c>
      <c r="D3" s="1481">
        <f>$A$1*C3</f>
        <v>231</v>
      </c>
      <c r="F3" s="1479" t="s">
        <v>584</v>
      </c>
      <c r="G3" s="1480">
        <v>4.0000000000000002E-4</v>
      </c>
      <c r="H3" s="1481">
        <f>$I$1*G3</f>
        <v>200</v>
      </c>
    </row>
    <row r="4" spans="1:9" x14ac:dyDescent="0.25">
      <c r="B4" s="1479" t="s">
        <v>585</v>
      </c>
      <c r="C4" s="1482">
        <f>C3*2</f>
        <v>6.6E-4</v>
      </c>
      <c r="D4" s="1481">
        <f>$A$1*C4</f>
        <v>462</v>
      </c>
      <c r="F4" s="1479" t="s">
        <v>585</v>
      </c>
      <c r="G4" s="1482">
        <f>G3*2</f>
        <v>8.0000000000000004E-4</v>
      </c>
      <c r="H4" s="1481">
        <f>$I$1*G4</f>
        <v>400</v>
      </c>
    </row>
    <row r="5" spans="1:9" x14ac:dyDescent="0.25">
      <c r="B5" s="1479" t="s">
        <v>586</v>
      </c>
      <c r="C5" s="1482">
        <f>C4+$B$17</f>
        <v>6.6E-4</v>
      </c>
      <c r="D5" s="1481">
        <f>$A$1*C5</f>
        <v>462</v>
      </c>
      <c r="F5" s="1479" t="s">
        <v>586</v>
      </c>
      <c r="G5" s="1482">
        <f>G3+G4</f>
        <v>1.2000000000000001E-3</v>
      </c>
      <c r="H5" s="1481">
        <f>$I$1*G5</f>
        <v>600</v>
      </c>
    </row>
    <row r="6" spans="1:9" x14ac:dyDescent="0.25">
      <c r="B6" s="1479" t="s">
        <v>587</v>
      </c>
      <c r="C6" s="1482">
        <f>C5+$B$17</f>
        <v>6.6E-4</v>
      </c>
      <c r="D6" s="1481">
        <f>$A$1*C6</f>
        <v>462</v>
      </c>
      <c r="F6" s="1479" t="s">
        <v>587</v>
      </c>
      <c r="G6" s="1482">
        <f>G3+G5</f>
        <v>1.6000000000000001E-3</v>
      </c>
      <c r="H6" s="1481">
        <f>$I$1*G6</f>
        <v>800</v>
      </c>
    </row>
    <row r="7" spans="1:9" x14ac:dyDescent="0.25">
      <c r="B7" s="1479" t="s">
        <v>588</v>
      </c>
      <c r="C7" s="1482">
        <v>2E-3</v>
      </c>
      <c r="D7" s="1481">
        <f>$A$1*C7</f>
        <v>1400</v>
      </c>
      <c r="F7" s="1479" t="s">
        <v>588</v>
      </c>
      <c r="G7" s="1482">
        <v>2.5000000000000001E-3</v>
      </c>
      <c r="H7" s="1481">
        <f>$I$1*G7</f>
        <v>1250</v>
      </c>
    </row>
    <row r="8" spans="1:9" x14ac:dyDescent="0.25">
      <c r="B8" s="1483"/>
      <c r="C8" s="1484"/>
      <c r="D8" s="1485"/>
      <c r="F8" s="1483"/>
      <c r="G8" s="1484"/>
      <c r="H8" s="1485"/>
    </row>
    <row r="9" spans="1:9" x14ac:dyDescent="0.25">
      <c r="B9" s="1486" t="s">
        <v>589</v>
      </c>
      <c r="C9" s="1487">
        <f ca="1">TODAY()</f>
        <v>45348</v>
      </c>
      <c r="D9" s="1488" t="s">
        <v>590</v>
      </c>
      <c r="F9" s="1486" t="s">
        <v>589</v>
      </c>
      <c r="G9" s="1487">
        <f ca="1">TODAY()</f>
        <v>45348</v>
      </c>
      <c r="H9" s="1488" t="s">
        <v>590</v>
      </c>
    </row>
    <row r="10" spans="1:9" ht="13" thickBot="1" x14ac:dyDescent="0.3">
      <c r="B10" s="1489"/>
      <c r="C10" s="1490" t="str">
        <f ca="1">CONCATENATE(YEAR(C9),"-",MONTH(C9))</f>
        <v>2024-2</v>
      </c>
      <c r="D10" s="1493">
        <f ca="1">IF(YEAR(C9)&gt;2023,C7,IF(C10="2023-7",0,VLOOKUP(C10,B3:D7,2,FALSE)))</f>
        <v>2E-3</v>
      </c>
      <c r="F10" s="1489"/>
      <c r="G10" s="1490" t="str">
        <f ca="1">CONCATENATE(YEAR(G9),"-",MONTH(G9))</f>
        <v>2024-2</v>
      </c>
      <c r="H10" s="1492">
        <f ca="1">IF(YEAR(G9)&gt;2023,G7,IF(G10="2023-7",0,VLOOKUP(G10,F3:H7,2,FALSE)))</f>
        <v>2.5000000000000001E-3</v>
      </c>
    </row>
    <row r="11" spans="1:9" ht="13" thickTop="1" x14ac:dyDescent="0.25"/>
  </sheetData>
  <mergeCells count="2">
    <mergeCell ref="B1:D1"/>
    <mergeCell ref="F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4"/>
  <sheetViews>
    <sheetView topLeftCell="A16" workbookViewId="0">
      <selection activeCell="A22" sqref="A22"/>
    </sheetView>
  </sheetViews>
  <sheetFormatPr defaultRowHeight="12.5" x14ac:dyDescent="0.25"/>
  <cols>
    <col min="1" max="1" width="11.81640625" customWidth="1"/>
  </cols>
  <sheetData>
    <row r="1" spans="1:15" ht="18.5" x14ac:dyDescent="0.25">
      <c r="A1" s="1872" t="s">
        <v>570</v>
      </c>
      <c r="B1" s="1872"/>
      <c r="C1" s="1878" t="s">
        <v>571</v>
      </c>
      <c r="D1" s="1878"/>
      <c r="E1" s="1878"/>
      <c r="F1" s="1878"/>
      <c r="G1" s="1878"/>
      <c r="H1" s="1453"/>
      <c r="I1" s="1879" t="s">
        <v>561</v>
      </c>
      <c r="J1" s="1879"/>
      <c r="K1" s="1879"/>
      <c r="L1" s="1879"/>
      <c r="M1" s="1877"/>
      <c r="N1" s="1876" t="s">
        <v>562</v>
      </c>
      <c r="O1" s="1877"/>
    </row>
    <row r="2" spans="1:15" ht="84.5" thickBot="1" x14ac:dyDescent="0.3">
      <c r="A2" s="1454" t="s">
        <v>572</v>
      </c>
      <c r="B2" s="1455" t="s">
        <v>573</v>
      </c>
      <c r="C2" s="1456" t="s">
        <v>574</v>
      </c>
      <c r="D2" s="1456" t="s">
        <v>565</v>
      </c>
      <c r="E2" s="1456" t="s">
        <v>575</v>
      </c>
      <c r="F2" s="1456" t="s">
        <v>576</v>
      </c>
      <c r="G2" s="1456" t="s">
        <v>577</v>
      </c>
      <c r="H2" s="1453"/>
      <c r="I2" s="1441" t="s">
        <v>563</v>
      </c>
      <c r="J2" s="1442" t="s">
        <v>564</v>
      </c>
      <c r="K2" s="1442" t="s">
        <v>565</v>
      </c>
      <c r="L2" s="1443" t="s">
        <v>566</v>
      </c>
      <c r="M2" s="1444" t="s">
        <v>567</v>
      </c>
      <c r="N2" s="1445" t="s">
        <v>568</v>
      </c>
      <c r="O2" s="1446" t="s">
        <v>569</v>
      </c>
    </row>
    <row r="3" spans="1:15" ht="15" thickBot="1" x14ac:dyDescent="0.3">
      <c r="A3" s="1457">
        <v>150000</v>
      </c>
      <c r="B3" s="1458">
        <v>7980</v>
      </c>
      <c r="C3" s="1459">
        <f t="shared" ref="C3:C14" si="0">AW3</f>
        <v>0</v>
      </c>
      <c r="D3" s="1459">
        <f>(((C3/115%)/102.5%)-E3-750)</f>
        <v>-2750</v>
      </c>
      <c r="E3" s="1459">
        <v>2000</v>
      </c>
      <c r="F3" s="1460">
        <f>(D3-AP3-AM3-AN3)/A3</f>
        <v>-1.8333333333333333E-2</v>
      </c>
      <c r="G3" s="1460">
        <f t="shared" ref="G3:G14" si="1">D3/A3</f>
        <v>-1.8333333333333333E-2</v>
      </c>
      <c r="H3" s="1453"/>
      <c r="I3" s="1447">
        <v>4000</v>
      </c>
      <c r="J3" s="1447">
        <f t="shared" ref="J3:J10" si="2">B3+2000</f>
        <v>9980</v>
      </c>
      <c r="K3" s="1448">
        <f>(((J3/115%)/102.5%)-I3-750)</f>
        <v>3716.5959703075296</v>
      </c>
      <c r="L3" s="1448">
        <f>K3-1567.48366013072</f>
        <v>2149.1123101768098</v>
      </c>
      <c r="M3" s="1449">
        <f t="shared" ref="M3:M14" si="3">B3-K3</f>
        <v>4263.4040296924704</v>
      </c>
      <c r="N3" s="1450">
        <f t="shared" ref="N3:N14" si="4">K3/A3</f>
        <v>2.4777306468716863E-2</v>
      </c>
      <c r="O3" s="1451">
        <f t="shared" ref="O3:O14" si="5">L3/A3</f>
        <v>1.4327415401178732E-2</v>
      </c>
    </row>
    <row r="4" spans="1:15" ht="15" thickBot="1" x14ac:dyDescent="0.3">
      <c r="A4" s="1457">
        <v>200000</v>
      </c>
      <c r="B4" s="1458">
        <v>8954</v>
      </c>
      <c r="C4" s="1459">
        <f t="shared" si="0"/>
        <v>0</v>
      </c>
      <c r="D4" s="1459">
        <f t="shared" ref="D4:D14" si="6">(((C4/115%)/102.5%)-E4-750)</f>
        <v>-2750</v>
      </c>
      <c r="E4" s="1459">
        <v>2000</v>
      </c>
      <c r="F4" s="1460">
        <f t="shared" ref="F4:F14" si="7">(D4-AP4-AM4-AN4)/A4</f>
        <v>-1.375E-2</v>
      </c>
      <c r="G4" s="1460">
        <f t="shared" si="1"/>
        <v>-1.375E-2</v>
      </c>
      <c r="H4" s="1453"/>
      <c r="I4" s="1447">
        <v>4000</v>
      </c>
      <c r="J4" s="1447">
        <f t="shared" si="2"/>
        <v>10954</v>
      </c>
      <c r="K4" s="1448">
        <f t="shared" ref="K4:K14" si="8">(((J4/115%)/102.5%)-I4-750)</f>
        <v>4542.8950159066826</v>
      </c>
      <c r="L4" s="1448">
        <f t="shared" ref="L4:L14" si="9">K4-1567.48366013072</f>
        <v>2975.4113557759629</v>
      </c>
      <c r="M4" s="1449">
        <f t="shared" si="3"/>
        <v>4411.1049840933174</v>
      </c>
      <c r="N4" s="1450">
        <f t="shared" si="4"/>
        <v>2.2714475079533412E-2</v>
      </c>
      <c r="O4" s="1451">
        <f t="shared" si="5"/>
        <v>1.4877056778879814E-2</v>
      </c>
    </row>
    <row r="5" spans="1:15" ht="15" thickBot="1" x14ac:dyDescent="0.3">
      <c r="A5" s="1457">
        <v>250000</v>
      </c>
      <c r="B5" s="1458">
        <v>9961</v>
      </c>
      <c r="C5" s="1459">
        <f t="shared" si="0"/>
        <v>0</v>
      </c>
      <c r="D5" s="1459">
        <f t="shared" si="6"/>
        <v>-2750</v>
      </c>
      <c r="E5" s="1459">
        <v>2000</v>
      </c>
      <c r="F5" s="1460">
        <f t="shared" si="7"/>
        <v>-1.0999999999999999E-2</v>
      </c>
      <c r="G5" s="1460">
        <f t="shared" si="1"/>
        <v>-1.0999999999999999E-2</v>
      </c>
      <c r="H5" s="1453"/>
      <c r="I5" s="1447">
        <v>4000</v>
      </c>
      <c r="J5" s="1447">
        <f t="shared" si="2"/>
        <v>11961</v>
      </c>
      <c r="K5" s="1448">
        <f t="shared" si="8"/>
        <v>5397.1898197242863</v>
      </c>
      <c r="L5" s="1448">
        <f t="shared" si="9"/>
        <v>3829.7061595935666</v>
      </c>
      <c r="M5" s="1449">
        <f t="shared" si="3"/>
        <v>4563.8101802757137</v>
      </c>
      <c r="N5" s="1450">
        <f t="shared" si="4"/>
        <v>2.1588759278897144E-2</v>
      </c>
      <c r="O5" s="1451">
        <f t="shared" si="5"/>
        <v>1.5318824638374267E-2</v>
      </c>
    </row>
    <row r="6" spans="1:15" ht="15" thickBot="1" x14ac:dyDescent="0.3">
      <c r="A6" s="1457">
        <v>300000</v>
      </c>
      <c r="B6" s="1458">
        <v>10968</v>
      </c>
      <c r="C6" s="1459">
        <f t="shared" si="0"/>
        <v>0</v>
      </c>
      <c r="D6" s="1459">
        <f t="shared" si="6"/>
        <v>-2750</v>
      </c>
      <c r="E6" s="1459">
        <v>2000</v>
      </c>
      <c r="F6" s="1460">
        <f t="shared" si="7"/>
        <v>-9.1666666666666667E-3</v>
      </c>
      <c r="G6" s="1460">
        <f t="shared" si="1"/>
        <v>-9.1666666666666667E-3</v>
      </c>
      <c r="H6" s="1453"/>
      <c r="I6" s="1447">
        <v>4000</v>
      </c>
      <c r="J6" s="1447">
        <f t="shared" si="2"/>
        <v>12968</v>
      </c>
      <c r="K6" s="1448">
        <f t="shared" si="8"/>
        <v>6251.48462354189</v>
      </c>
      <c r="L6" s="1448">
        <f t="shared" si="9"/>
        <v>4684.0009634111702</v>
      </c>
      <c r="M6" s="1449">
        <f t="shared" si="3"/>
        <v>4716.51537645811</v>
      </c>
      <c r="N6" s="1450">
        <f t="shared" si="4"/>
        <v>2.0838282078472967E-2</v>
      </c>
      <c r="O6" s="1451">
        <f t="shared" si="5"/>
        <v>1.56133365447039E-2</v>
      </c>
    </row>
    <row r="7" spans="1:15" ht="15" thickBot="1" x14ac:dyDescent="0.3">
      <c r="A7" s="1457">
        <v>350000</v>
      </c>
      <c r="B7" s="1458">
        <v>11975</v>
      </c>
      <c r="C7" s="1459">
        <f t="shared" si="0"/>
        <v>0</v>
      </c>
      <c r="D7" s="1459">
        <f t="shared" si="6"/>
        <v>-2750</v>
      </c>
      <c r="E7" s="1459">
        <v>2000</v>
      </c>
      <c r="F7" s="1460">
        <f t="shared" si="7"/>
        <v>-7.8571428571428577E-3</v>
      </c>
      <c r="G7" s="1460">
        <f t="shared" si="1"/>
        <v>-7.8571428571428577E-3</v>
      </c>
      <c r="H7" s="1453"/>
      <c r="I7" s="1447">
        <v>4000</v>
      </c>
      <c r="J7" s="1447">
        <f t="shared" si="2"/>
        <v>13975</v>
      </c>
      <c r="K7" s="1448">
        <f t="shared" si="8"/>
        <v>7105.7794273594936</v>
      </c>
      <c r="L7" s="1448">
        <f t="shared" si="9"/>
        <v>5538.2957672287739</v>
      </c>
      <c r="M7" s="1449">
        <f t="shared" si="3"/>
        <v>4869.2205726405064</v>
      </c>
      <c r="N7" s="1450">
        <f t="shared" si="4"/>
        <v>2.0302226935312841E-2</v>
      </c>
      <c r="O7" s="1451">
        <f t="shared" si="5"/>
        <v>1.582370219208221E-2</v>
      </c>
    </row>
    <row r="8" spans="1:15" ht="15" thickBot="1" x14ac:dyDescent="0.3">
      <c r="A8" s="1457">
        <v>400000</v>
      </c>
      <c r="B8" s="1458">
        <v>12478</v>
      </c>
      <c r="C8" s="1459">
        <f t="shared" si="0"/>
        <v>0</v>
      </c>
      <c r="D8" s="1459">
        <f t="shared" si="6"/>
        <v>-2750</v>
      </c>
      <c r="E8" s="1459">
        <v>2000</v>
      </c>
      <c r="F8" s="1460">
        <f t="shared" si="7"/>
        <v>-6.875E-3</v>
      </c>
      <c r="G8" s="1460">
        <f t="shared" si="1"/>
        <v>-6.875E-3</v>
      </c>
      <c r="H8" s="1453"/>
      <c r="I8" s="1447">
        <v>4000</v>
      </c>
      <c r="J8" s="1447">
        <f t="shared" si="2"/>
        <v>14478</v>
      </c>
      <c r="K8" s="1448">
        <f t="shared" si="8"/>
        <v>7532.5026511134711</v>
      </c>
      <c r="L8" s="1448">
        <f t="shared" si="9"/>
        <v>5965.0189909827513</v>
      </c>
      <c r="M8" s="1449">
        <f t="shared" si="3"/>
        <v>4945.4973488865289</v>
      </c>
      <c r="N8" s="1450">
        <f t="shared" si="4"/>
        <v>1.8831256627783677E-2</v>
      </c>
      <c r="O8" s="1451">
        <f t="shared" si="5"/>
        <v>1.4912547477456878E-2</v>
      </c>
    </row>
    <row r="9" spans="1:15" ht="15" thickBot="1" x14ac:dyDescent="0.3">
      <c r="A9" s="1457">
        <v>450000</v>
      </c>
      <c r="B9" s="1458">
        <v>13422</v>
      </c>
      <c r="C9" s="1459">
        <f t="shared" si="0"/>
        <v>0</v>
      </c>
      <c r="D9" s="1459">
        <f t="shared" si="6"/>
        <v>-2750</v>
      </c>
      <c r="E9" s="1459">
        <v>2000</v>
      </c>
      <c r="F9" s="1460">
        <f t="shared" si="7"/>
        <v>-6.1111111111111114E-3</v>
      </c>
      <c r="G9" s="1460">
        <f t="shared" si="1"/>
        <v>-6.1111111111111114E-3</v>
      </c>
      <c r="H9" s="1453"/>
      <c r="I9" s="1447">
        <v>4000</v>
      </c>
      <c r="J9" s="1447">
        <f t="shared" si="2"/>
        <v>15422</v>
      </c>
      <c r="K9" s="1448">
        <f t="shared" si="8"/>
        <v>8333.3510074231199</v>
      </c>
      <c r="L9" s="1448">
        <f t="shared" si="9"/>
        <v>6765.8673472924002</v>
      </c>
      <c r="M9" s="1449">
        <f t="shared" si="3"/>
        <v>5088.6489925768801</v>
      </c>
      <c r="N9" s="1450">
        <f t="shared" si="4"/>
        <v>1.85185577942736E-2</v>
      </c>
      <c r="O9" s="1451">
        <f t="shared" si="5"/>
        <v>1.503526077176089E-2</v>
      </c>
    </row>
    <row r="10" spans="1:15" ht="15" thickBot="1" x14ac:dyDescent="0.3">
      <c r="A10" s="1457">
        <v>500000</v>
      </c>
      <c r="B10" s="1458">
        <v>13737</v>
      </c>
      <c r="C10" s="1459">
        <f t="shared" si="0"/>
        <v>0</v>
      </c>
      <c r="D10" s="1459">
        <f t="shared" si="6"/>
        <v>-2750</v>
      </c>
      <c r="E10" s="1459">
        <v>2000</v>
      </c>
      <c r="F10" s="1460">
        <f t="shared" si="7"/>
        <v>-5.4999999999999997E-3</v>
      </c>
      <c r="G10" s="1460">
        <f t="shared" si="1"/>
        <v>-5.4999999999999997E-3</v>
      </c>
      <c r="H10" s="1453"/>
      <c r="I10" s="1447">
        <v>4000</v>
      </c>
      <c r="J10" s="1447">
        <f t="shared" si="2"/>
        <v>15737</v>
      </c>
      <c r="K10" s="1448">
        <f t="shared" si="8"/>
        <v>8600.583244962887</v>
      </c>
      <c r="L10" s="1448">
        <f t="shared" si="9"/>
        <v>7033.0995848321672</v>
      </c>
      <c r="M10" s="1449">
        <f t="shared" si="3"/>
        <v>5136.416755037113</v>
      </c>
      <c r="N10" s="1450">
        <f t="shared" si="4"/>
        <v>1.7201166489925774E-2</v>
      </c>
      <c r="O10" s="1451">
        <f t="shared" si="5"/>
        <v>1.4066199169664334E-2</v>
      </c>
    </row>
    <row r="11" spans="1:15" ht="15" thickBot="1" x14ac:dyDescent="0.3">
      <c r="A11" s="1457">
        <v>600000</v>
      </c>
      <c r="B11" s="1458">
        <v>14291</v>
      </c>
      <c r="C11" s="1459">
        <f t="shared" si="0"/>
        <v>0</v>
      </c>
      <c r="D11" s="1459">
        <f t="shared" si="6"/>
        <v>-2750</v>
      </c>
      <c r="E11" s="1459">
        <v>2000</v>
      </c>
      <c r="F11" s="1460">
        <f t="shared" si="7"/>
        <v>-4.5833333333333334E-3</v>
      </c>
      <c r="G11" s="1460">
        <f t="shared" si="1"/>
        <v>-4.5833333333333334E-3</v>
      </c>
      <c r="H11" s="1453"/>
      <c r="I11" s="1447">
        <v>4000</v>
      </c>
      <c r="J11" s="1452">
        <v>17041</v>
      </c>
      <c r="K11" s="1448">
        <f t="shared" si="8"/>
        <v>9706.8398727465556</v>
      </c>
      <c r="L11" s="1448">
        <f t="shared" si="9"/>
        <v>8139.3562126158358</v>
      </c>
      <c r="M11" s="1449">
        <f t="shared" si="3"/>
        <v>4584.1601272534444</v>
      </c>
      <c r="N11" s="1450">
        <f t="shared" si="4"/>
        <v>1.6178066454577592E-2</v>
      </c>
      <c r="O11" s="1451">
        <f t="shared" si="5"/>
        <v>1.356559368769306E-2</v>
      </c>
    </row>
    <row r="12" spans="1:15" ht="15" thickBot="1" x14ac:dyDescent="0.3">
      <c r="A12" s="1457">
        <v>650000</v>
      </c>
      <c r="B12" s="1458">
        <v>15071</v>
      </c>
      <c r="C12" s="1459">
        <f t="shared" si="0"/>
        <v>0</v>
      </c>
      <c r="D12" s="1459">
        <f t="shared" si="6"/>
        <v>-2750</v>
      </c>
      <c r="E12" s="1459">
        <v>2000</v>
      </c>
      <c r="F12" s="1460">
        <f t="shared" si="7"/>
        <v>-4.2307692307692307E-3</v>
      </c>
      <c r="G12" s="1460">
        <f t="shared" si="1"/>
        <v>-4.2307692307692307E-3</v>
      </c>
      <c r="H12" s="1453"/>
      <c r="I12" s="1447">
        <v>4000</v>
      </c>
      <c r="J12" s="1452">
        <v>17821</v>
      </c>
      <c r="K12" s="1448">
        <f t="shared" si="8"/>
        <v>10368.557794273598</v>
      </c>
      <c r="L12" s="1448">
        <f t="shared" si="9"/>
        <v>8801.0741341428784</v>
      </c>
      <c r="M12" s="1449">
        <f t="shared" si="3"/>
        <v>4702.4422057264019</v>
      </c>
      <c r="N12" s="1450">
        <f t="shared" si="4"/>
        <v>1.5951627375805535E-2</v>
      </c>
      <c r="O12" s="1451">
        <f t="shared" si="5"/>
        <v>1.3540114052527506E-2</v>
      </c>
    </row>
    <row r="13" spans="1:15" ht="15" thickBot="1" x14ac:dyDescent="0.3">
      <c r="A13" s="1457">
        <v>700000</v>
      </c>
      <c r="B13" s="1458">
        <v>15146</v>
      </c>
      <c r="C13" s="1459">
        <f t="shared" si="0"/>
        <v>0</v>
      </c>
      <c r="D13" s="1459">
        <f t="shared" si="6"/>
        <v>-2750</v>
      </c>
      <c r="E13" s="1459">
        <v>2000</v>
      </c>
      <c r="F13" s="1460">
        <f t="shared" si="7"/>
        <v>-3.9285714285714288E-3</v>
      </c>
      <c r="G13" s="1460">
        <f t="shared" si="1"/>
        <v>-3.9285714285714288E-3</v>
      </c>
      <c r="H13" s="1453"/>
      <c r="I13" s="1447">
        <v>4000</v>
      </c>
      <c r="J13" s="1452">
        <v>18596</v>
      </c>
      <c r="K13" s="1448">
        <f t="shared" si="8"/>
        <v>11026.033934252389</v>
      </c>
      <c r="L13" s="1448">
        <f t="shared" si="9"/>
        <v>9458.5502741216696</v>
      </c>
      <c r="M13" s="1449">
        <f t="shared" si="3"/>
        <v>4119.9660657476106</v>
      </c>
      <c r="N13" s="1450">
        <f t="shared" si="4"/>
        <v>1.5751477048931983E-2</v>
      </c>
      <c r="O13" s="1451">
        <f t="shared" si="5"/>
        <v>1.3512214677316671E-2</v>
      </c>
    </row>
    <row r="14" spans="1:15" ht="14.5" x14ac:dyDescent="0.25">
      <c r="A14" s="1461">
        <v>800000</v>
      </c>
      <c r="B14" s="1462">
        <v>15801</v>
      </c>
      <c r="C14" s="1459">
        <f t="shared" si="0"/>
        <v>0</v>
      </c>
      <c r="D14" s="1459">
        <f t="shared" si="6"/>
        <v>-2750</v>
      </c>
      <c r="E14" s="1459">
        <v>2000</v>
      </c>
      <c r="F14" s="1460">
        <f t="shared" si="7"/>
        <v>-3.4375E-3</v>
      </c>
      <c r="G14" s="1460">
        <f t="shared" si="1"/>
        <v>-3.4375E-3</v>
      </c>
      <c r="H14" s="1453"/>
      <c r="I14" s="1447">
        <v>4000</v>
      </c>
      <c r="J14" s="1452">
        <v>20151</v>
      </c>
      <c r="K14" s="1448">
        <f t="shared" si="8"/>
        <v>12345.227995758221</v>
      </c>
      <c r="L14" s="1448">
        <f t="shared" si="9"/>
        <v>10777.744335627502</v>
      </c>
      <c r="M14" s="1449">
        <f t="shared" si="3"/>
        <v>3455.7720042417786</v>
      </c>
      <c r="N14" s="1450">
        <f t="shared" si="4"/>
        <v>1.5431534994697777E-2</v>
      </c>
      <c r="O14" s="1451">
        <f t="shared" si="5"/>
        <v>1.3472180419534376E-2</v>
      </c>
    </row>
    <row r="19" spans="1:15" ht="18.5" x14ac:dyDescent="0.25">
      <c r="A19" s="1872" t="s">
        <v>578</v>
      </c>
      <c r="B19" s="1872"/>
      <c r="C19" s="1873" t="s">
        <v>571</v>
      </c>
      <c r="D19" s="1873"/>
      <c r="E19" s="1873"/>
      <c r="F19" s="1465"/>
      <c r="G19" s="1465"/>
      <c r="H19" s="1453"/>
      <c r="I19" s="1874" t="s">
        <v>561</v>
      </c>
      <c r="J19" s="1874"/>
      <c r="K19" s="1874"/>
      <c r="L19" s="1874"/>
      <c r="M19" s="1875"/>
      <c r="N19" s="1876" t="s">
        <v>562</v>
      </c>
      <c r="O19" s="1877"/>
    </row>
    <row r="20" spans="1:15" ht="84.5" thickBot="1" x14ac:dyDescent="0.3">
      <c r="A20" s="1466" t="s">
        <v>572</v>
      </c>
      <c r="B20" s="1455" t="s">
        <v>573</v>
      </c>
      <c r="C20" s="1456" t="s">
        <v>574</v>
      </c>
      <c r="D20" s="1456" t="s">
        <v>565</v>
      </c>
      <c r="E20" s="1456" t="s">
        <v>579</v>
      </c>
      <c r="F20" s="1456" t="s">
        <v>576</v>
      </c>
      <c r="G20" s="1456" t="s">
        <v>577</v>
      </c>
      <c r="H20" s="1453"/>
      <c r="I20" s="1441" t="s">
        <v>563</v>
      </c>
      <c r="J20" s="1442" t="s">
        <v>564</v>
      </c>
      <c r="K20" s="1442" t="s">
        <v>580</v>
      </c>
      <c r="L20" s="1443" t="s">
        <v>566</v>
      </c>
      <c r="M20" s="1442" t="s">
        <v>567</v>
      </c>
      <c r="N20" s="1445" t="s">
        <v>581</v>
      </c>
      <c r="O20" s="1446" t="s">
        <v>569</v>
      </c>
    </row>
    <row r="21" spans="1:15" ht="15" thickBot="1" x14ac:dyDescent="0.3">
      <c r="A21" s="1457">
        <v>430000</v>
      </c>
      <c r="B21" s="1470"/>
      <c r="C21" s="1456"/>
      <c r="D21" s="1456"/>
      <c r="E21" s="1456"/>
      <c r="F21" s="1456"/>
      <c r="G21" s="1456"/>
      <c r="H21" s="1453"/>
      <c r="I21" s="1471"/>
      <c r="J21" s="1472"/>
      <c r="K21" s="1473"/>
      <c r="L21" s="1474"/>
      <c r="M21" s="1473"/>
      <c r="N21" s="1450">
        <v>2.0045925442532024E-2</v>
      </c>
      <c r="O21" s="1475"/>
    </row>
    <row r="22" spans="1:15" ht="15" thickBot="1" x14ac:dyDescent="0.3">
      <c r="A22" s="1457">
        <v>650000</v>
      </c>
      <c r="B22" s="1458">
        <v>18958</v>
      </c>
      <c r="C22" s="1459">
        <v>16971.120060472836</v>
      </c>
      <c r="D22" s="1459">
        <f>(((C22/115%)/102.5%)-E22-750)</f>
        <v>11647.556785130722</v>
      </c>
      <c r="E22" s="1459">
        <v>2000</v>
      </c>
      <c r="F22" s="1460">
        <f>(D22-AI22-AM22-AJ22)/A22</f>
        <v>1.7919318130970342E-2</v>
      </c>
      <c r="G22" s="1460">
        <f>D22/A22</f>
        <v>1.7919318130970342E-2</v>
      </c>
      <c r="H22" s="1453"/>
      <c r="I22" s="1447">
        <v>4000</v>
      </c>
      <c r="J22" s="1447">
        <f>B22+2000</f>
        <v>20958</v>
      </c>
      <c r="K22" s="1448">
        <f>(((J22/115%)/102.5%)-I22-750)</f>
        <v>13029.851537645816</v>
      </c>
      <c r="L22" s="1448">
        <f>K22-AM22-AI22-AJ22</f>
        <v>13029.851537645816</v>
      </c>
      <c r="M22" s="1448">
        <f>B22-K22</f>
        <v>5928.1484623541837</v>
      </c>
      <c r="N22" s="1450">
        <f>K22/A22</f>
        <v>2.0045925442532024E-2</v>
      </c>
      <c r="O22" s="1451">
        <f>L22/A22</f>
        <v>2.0045925442532024E-2</v>
      </c>
    </row>
    <row r="23" spans="1:15" ht="15" thickBot="1" x14ac:dyDescent="0.3">
      <c r="A23" s="1457">
        <v>700000</v>
      </c>
      <c r="B23" s="1458">
        <v>19373</v>
      </c>
      <c r="C23" s="1459">
        <v>17744.681378441586</v>
      </c>
      <c r="D23" s="1459">
        <f>(((C23/115%)/102.5%)-E23-750)</f>
        <v>12303.812410130722</v>
      </c>
      <c r="E23" s="1459">
        <v>2000</v>
      </c>
      <c r="F23" s="1460">
        <f>(D23-AI23-AM23-AJ23)/A23</f>
        <v>1.7576874871615317E-2</v>
      </c>
      <c r="G23" s="1460">
        <f>D23/A23</f>
        <v>1.7576874871615317E-2</v>
      </c>
      <c r="H23" s="1453"/>
      <c r="I23" s="1447">
        <v>4000</v>
      </c>
      <c r="J23" s="1447">
        <f>B23+2000</f>
        <v>21373</v>
      </c>
      <c r="K23" s="1448">
        <f>(((J23/115%)/102.5%)-I23-750)</f>
        <v>13381.919406150584</v>
      </c>
      <c r="L23" s="1448">
        <f>K23-AM23-AI23-AJ23</f>
        <v>13381.919406150584</v>
      </c>
      <c r="M23" s="1448">
        <f>B23-K23</f>
        <v>5991.0805938494159</v>
      </c>
      <c r="N23" s="1450">
        <f>K23/A23</f>
        <v>1.9117027723072264E-2</v>
      </c>
      <c r="O23" s="1451">
        <f>L23/A23</f>
        <v>1.9117027723072264E-2</v>
      </c>
    </row>
    <row r="24" spans="1:15" ht="15" thickBot="1" x14ac:dyDescent="0.3">
      <c r="A24" s="1457">
        <v>750000</v>
      </c>
      <c r="B24" s="1458">
        <v>20281</v>
      </c>
      <c r="C24" s="1459">
        <v>18518.24269641034</v>
      </c>
      <c r="D24" s="1459">
        <f>(((C24/115%)/102.5%)-E24-750)</f>
        <v>12960.068035130726</v>
      </c>
      <c r="E24" s="1459">
        <v>2000</v>
      </c>
      <c r="F24" s="1460">
        <f>(D24-AI24-AM24-AJ24)/A24</f>
        <v>1.7280090713507633E-2</v>
      </c>
      <c r="G24" s="1460">
        <f>D24/A24</f>
        <v>1.7280090713507633E-2</v>
      </c>
      <c r="H24" s="1453"/>
      <c r="I24" s="1447">
        <v>4000</v>
      </c>
      <c r="J24" s="1447">
        <f>B24+2000</f>
        <v>22281</v>
      </c>
      <c r="K24" s="1448">
        <f>(((J24/115%)/102.5%)-I24-750)</f>
        <v>14152.226935312832</v>
      </c>
      <c r="L24" s="1448">
        <f>K24-AM24-AI24-AJ24</f>
        <v>14152.226935312832</v>
      </c>
      <c r="M24" s="1448">
        <f>B24-K24</f>
        <v>6128.7730646871678</v>
      </c>
      <c r="N24" s="1450">
        <f>K24/A24</f>
        <v>1.8869635913750443E-2</v>
      </c>
      <c r="O24" s="1451">
        <f>L24/A24</f>
        <v>1.8869635913750443E-2</v>
      </c>
    </row>
    <row r="25" spans="1:15" ht="15" thickBot="1" x14ac:dyDescent="0.3">
      <c r="A25" s="1457">
        <v>800000</v>
      </c>
      <c r="B25" s="1458">
        <v>20885</v>
      </c>
      <c r="C25" s="1459">
        <v>19291.804014379086</v>
      </c>
      <c r="D25" s="1459">
        <f>(((C25/115%)/102.5%)-E25-750)</f>
        <v>13616.323660130724</v>
      </c>
      <c r="E25" s="1459">
        <v>2000</v>
      </c>
      <c r="F25" s="1460">
        <f t="shared" ref="F25:F34" si="10">(D25-AI25-AM25-AJ25)/A25</f>
        <v>1.7020404575163406E-2</v>
      </c>
      <c r="G25" s="1460">
        <f t="shared" ref="G25:G34" si="11">D25/A25</f>
        <v>1.7020404575163406E-2</v>
      </c>
      <c r="H25" s="1453"/>
      <c r="I25" s="1447">
        <v>4000</v>
      </c>
      <c r="J25" s="1447">
        <f t="shared" ref="J25:J34" si="12">B25+2000</f>
        <v>22885</v>
      </c>
      <c r="K25" s="1448">
        <f t="shared" ref="K25:K34" si="13">(((J25/115%)/102.5%)-I25-750)</f>
        <v>14664.634146341465</v>
      </c>
      <c r="L25" s="1448">
        <f>K25-AM25-AI25-AJ25</f>
        <v>14664.634146341465</v>
      </c>
      <c r="M25" s="1448">
        <f t="shared" ref="M25:M34" si="14">B25-K25</f>
        <v>6220.3658536585353</v>
      </c>
      <c r="N25" s="1450">
        <f t="shared" ref="N25:N34" si="15">K25/A25</f>
        <v>1.8330792682926832E-2</v>
      </c>
      <c r="O25" s="1451">
        <f t="shared" ref="O25:O34" si="16">L25/A25</f>
        <v>1.8330792682926832E-2</v>
      </c>
    </row>
    <row r="26" spans="1:15" ht="15" thickBot="1" x14ac:dyDescent="0.3">
      <c r="A26" s="1457">
        <v>850000</v>
      </c>
      <c r="B26" s="1458">
        <v>21774</v>
      </c>
      <c r="C26" s="1459">
        <v>20065.365332347836</v>
      </c>
      <c r="D26" s="1459">
        <f t="shared" ref="D26:D34" si="17">(((C26/115%)/102.5%)-E26-750)</f>
        <v>14272.579285130723</v>
      </c>
      <c r="E26" s="1459">
        <v>2000</v>
      </c>
      <c r="F26" s="1460">
        <f t="shared" si="10"/>
        <v>1.6791269747212616E-2</v>
      </c>
      <c r="G26" s="1460">
        <f t="shared" si="11"/>
        <v>1.6791269747212616E-2</v>
      </c>
      <c r="H26" s="1453"/>
      <c r="I26" s="1447">
        <v>4000</v>
      </c>
      <c r="J26" s="1447">
        <f t="shared" si="12"/>
        <v>23774</v>
      </c>
      <c r="K26" s="1448">
        <f t="shared" si="13"/>
        <v>15418.822905620364</v>
      </c>
      <c r="L26" s="1448">
        <f t="shared" ref="L26:L34" si="18">K26-AM26-AI26-AJ26</f>
        <v>15418.822905620364</v>
      </c>
      <c r="M26" s="1448">
        <f t="shared" si="14"/>
        <v>6355.1770943796364</v>
      </c>
      <c r="N26" s="1450">
        <f t="shared" si="15"/>
        <v>1.8139791653671015E-2</v>
      </c>
      <c r="O26" s="1451">
        <f t="shared" si="16"/>
        <v>1.8139791653671015E-2</v>
      </c>
    </row>
    <row r="27" spans="1:15" ht="15" thickBot="1" x14ac:dyDescent="0.3">
      <c r="A27" s="1457">
        <v>900000</v>
      </c>
      <c r="B27" s="1458">
        <v>21810</v>
      </c>
      <c r="C27" s="1459">
        <v>20838.926650316582</v>
      </c>
      <c r="D27" s="1459">
        <f t="shared" si="17"/>
        <v>14928.834910130718</v>
      </c>
      <c r="E27" s="1459">
        <v>2000</v>
      </c>
      <c r="F27" s="1460">
        <f t="shared" si="10"/>
        <v>1.6587594344589687E-2</v>
      </c>
      <c r="G27" s="1460">
        <f t="shared" si="11"/>
        <v>1.6587594344589687E-2</v>
      </c>
      <c r="H27" s="1453"/>
      <c r="I27" s="1447">
        <v>4000</v>
      </c>
      <c r="J27" s="1447">
        <f t="shared" si="12"/>
        <v>23810</v>
      </c>
      <c r="K27" s="1448">
        <f t="shared" si="13"/>
        <v>15449.363732767768</v>
      </c>
      <c r="L27" s="1448">
        <f t="shared" si="18"/>
        <v>15449.363732767768</v>
      </c>
      <c r="M27" s="1448">
        <f t="shared" si="14"/>
        <v>6360.6362672322321</v>
      </c>
      <c r="N27" s="1450">
        <f t="shared" si="15"/>
        <v>1.7165959703075297E-2</v>
      </c>
      <c r="O27" s="1451">
        <f t="shared" si="16"/>
        <v>1.7165959703075297E-2</v>
      </c>
    </row>
    <row r="28" spans="1:15" ht="15" thickBot="1" x14ac:dyDescent="0.3">
      <c r="A28" s="1457">
        <v>950000</v>
      </c>
      <c r="B28" s="1458">
        <v>22651</v>
      </c>
      <c r="C28" s="1459">
        <v>21612.487968285335</v>
      </c>
      <c r="D28" s="1459">
        <f t="shared" si="17"/>
        <v>15585.090535130723</v>
      </c>
      <c r="E28" s="1459">
        <v>2000</v>
      </c>
      <c r="F28" s="1460">
        <f t="shared" si="10"/>
        <v>1.640535845803234E-2</v>
      </c>
      <c r="G28" s="1460">
        <f t="shared" si="11"/>
        <v>1.640535845803234E-2</v>
      </c>
      <c r="H28" s="1453"/>
      <c r="I28" s="1447">
        <v>4000</v>
      </c>
      <c r="J28" s="1447">
        <f t="shared" si="12"/>
        <v>24651</v>
      </c>
      <c r="K28" s="1448">
        <f t="shared" si="13"/>
        <v>16162.831389183459</v>
      </c>
      <c r="L28" s="1448">
        <f t="shared" si="18"/>
        <v>16162.831389183459</v>
      </c>
      <c r="M28" s="1448">
        <f t="shared" si="14"/>
        <v>6488.1686108165413</v>
      </c>
      <c r="N28" s="1450">
        <f t="shared" si="15"/>
        <v>1.7013506725456273E-2</v>
      </c>
      <c r="O28" s="1451">
        <f t="shared" si="16"/>
        <v>1.7013506725456273E-2</v>
      </c>
    </row>
    <row r="29" spans="1:15" ht="15" thickBot="1" x14ac:dyDescent="0.3">
      <c r="A29" s="1457">
        <v>1000000</v>
      </c>
      <c r="B29" s="1458">
        <v>22924</v>
      </c>
      <c r="C29" s="1459">
        <v>22386.049286254089</v>
      </c>
      <c r="D29" s="1459">
        <f t="shared" si="17"/>
        <v>16241.346160130724</v>
      </c>
      <c r="E29" s="1459">
        <v>2000</v>
      </c>
      <c r="F29" s="1460">
        <f t="shared" si="10"/>
        <v>1.6241346160130725E-2</v>
      </c>
      <c r="G29" s="1460">
        <f t="shared" si="11"/>
        <v>1.6241346160130725E-2</v>
      </c>
      <c r="H29" s="1453"/>
      <c r="I29" s="1447">
        <v>4000</v>
      </c>
      <c r="J29" s="1447">
        <f t="shared" si="12"/>
        <v>24924</v>
      </c>
      <c r="K29" s="1448">
        <f t="shared" si="13"/>
        <v>16394.432661717925</v>
      </c>
      <c r="L29" s="1448">
        <f t="shared" si="18"/>
        <v>16394.432661717925</v>
      </c>
      <c r="M29" s="1448">
        <f t="shared" si="14"/>
        <v>6529.5673382820751</v>
      </c>
      <c r="N29" s="1450">
        <f t="shared" si="15"/>
        <v>1.6394432661717924E-2</v>
      </c>
      <c r="O29" s="1451">
        <f t="shared" si="16"/>
        <v>1.6394432661717924E-2</v>
      </c>
    </row>
    <row r="30" spans="1:15" ht="15" thickBot="1" x14ac:dyDescent="0.3">
      <c r="A30" s="1457">
        <v>1050000</v>
      </c>
      <c r="B30" s="1458">
        <v>23737</v>
      </c>
      <c r="C30" s="1459">
        <v>23159.610604222835</v>
      </c>
      <c r="D30" s="1459">
        <f t="shared" si="17"/>
        <v>16897.601785130722</v>
      </c>
      <c r="E30" s="1459">
        <v>2000</v>
      </c>
      <c r="F30" s="1460">
        <f t="shared" si="10"/>
        <v>1.6092954081076877E-2</v>
      </c>
      <c r="G30" s="1460">
        <f t="shared" si="11"/>
        <v>1.6092954081076877E-2</v>
      </c>
      <c r="H30" s="1453"/>
      <c r="I30" s="1447">
        <v>4000</v>
      </c>
      <c r="J30" s="1447">
        <f t="shared" si="12"/>
        <v>25737</v>
      </c>
      <c r="K30" s="1448">
        <f t="shared" si="13"/>
        <v>17084.146341463416</v>
      </c>
      <c r="L30" s="1448">
        <f t="shared" si="18"/>
        <v>17084.146341463416</v>
      </c>
      <c r="M30" s="1448">
        <f t="shared" si="14"/>
        <v>6652.8536585365837</v>
      </c>
      <c r="N30" s="1450">
        <f t="shared" si="15"/>
        <v>1.6270615563298493E-2</v>
      </c>
      <c r="O30" s="1451">
        <f t="shared" si="16"/>
        <v>1.6270615563298493E-2</v>
      </c>
    </row>
    <row r="31" spans="1:15" ht="15" thickBot="1" x14ac:dyDescent="0.3">
      <c r="A31" s="1457">
        <v>1100000</v>
      </c>
      <c r="B31" s="1458">
        <v>24132</v>
      </c>
      <c r="C31" s="1459">
        <v>23933.171922191592</v>
      </c>
      <c r="D31" s="1459">
        <f t="shared" si="17"/>
        <v>17553.857410130731</v>
      </c>
      <c r="E31" s="1459">
        <v>2000</v>
      </c>
      <c r="F31" s="1460">
        <f t="shared" si="10"/>
        <v>1.5958052191027937E-2</v>
      </c>
      <c r="G31" s="1460">
        <f t="shared" si="11"/>
        <v>1.5958052191027937E-2</v>
      </c>
      <c r="H31" s="1453"/>
      <c r="I31" s="1447">
        <v>4000</v>
      </c>
      <c r="J31" s="1447">
        <f t="shared" si="12"/>
        <v>26132</v>
      </c>
      <c r="K31" s="1448">
        <f t="shared" si="13"/>
        <v>17419.24708377519</v>
      </c>
      <c r="L31" s="1448">
        <f t="shared" si="18"/>
        <v>17419.24708377519</v>
      </c>
      <c r="M31" s="1448">
        <f t="shared" si="14"/>
        <v>6712.7529162248102</v>
      </c>
      <c r="N31" s="1450">
        <f t="shared" si="15"/>
        <v>1.5835679167068354E-2</v>
      </c>
      <c r="O31" s="1451">
        <f t="shared" si="16"/>
        <v>1.5835679167068354E-2</v>
      </c>
    </row>
    <row r="32" spans="1:15" ht="15" thickBot="1" x14ac:dyDescent="0.3">
      <c r="A32" s="1457">
        <v>1150000</v>
      </c>
      <c r="B32" s="1458">
        <v>24926</v>
      </c>
      <c r="C32" s="1459">
        <v>24706.733240160342</v>
      </c>
      <c r="D32" s="1459">
        <f t="shared" si="17"/>
        <v>18210.113035130729</v>
      </c>
      <c r="E32" s="1459">
        <v>2000</v>
      </c>
      <c r="F32" s="1460">
        <f t="shared" si="10"/>
        <v>1.5834880900113677E-2</v>
      </c>
      <c r="G32" s="1460">
        <f t="shared" si="11"/>
        <v>1.5834880900113677E-2</v>
      </c>
      <c r="H32" s="1453"/>
      <c r="I32" s="1447">
        <v>4000</v>
      </c>
      <c r="J32" s="1447">
        <f t="shared" si="12"/>
        <v>26926</v>
      </c>
      <c r="K32" s="1448">
        <f t="shared" si="13"/>
        <v>18092.841993637332</v>
      </c>
      <c r="L32" s="1448">
        <f t="shared" si="18"/>
        <v>18092.841993637332</v>
      </c>
      <c r="M32" s="1448">
        <f t="shared" si="14"/>
        <v>6833.1580063626679</v>
      </c>
      <c r="N32" s="1450">
        <f t="shared" si="15"/>
        <v>1.5732906081423768E-2</v>
      </c>
      <c r="O32" s="1451">
        <f t="shared" si="16"/>
        <v>1.5732906081423768E-2</v>
      </c>
    </row>
    <row r="33" spans="1:15" ht="15" thickBot="1" x14ac:dyDescent="0.3">
      <c r="A33" s="1457">
        <v>1200000</v>
      </c>
      <c r="B33" s="1458">
        <v>25265</v>
      </c>
      <c r="C33" s="1459">
        <v>25480.294558129088</v>
      </c>
      <c r="D33" s="1459">
        <f t="shared" si="17"/>
        <v>18866.368660130724</v>
      </c>
      <c r="E33" s="1459">
        <v>2000</v>
      </c>
      <c r="F33" s="1460">
        <f t="shared" si="10"/>
        <v>1.5721973883442271E-2</v>
      </c>
      <c r="G33" s="1460">
        <f t="shared" si="11"/>
        <v>1.5721973883442271E-2</v>
      </c>
      <c r="H33" s="1453"/>
      <c r="I33" s="1447">
        <v>4000</v>
      </c>
      <c r="J33" s="1447">
        <f t="shared" si="12"/>
        <v>27265</v>
      </c>
      <c r="K33" s="1448">
        <f t="shared" si="13"/>
        <v>18380.4347826087</v>
      </c>
      <c r="L33" s="1448">
        <f t="shared" si="18"/>
        <v>18380.4347826087</v>
      </c>
      <c r="M33" s="1448">
        <f t="shared" si="14"/>
        <v>6884.5652173913004</v>
      </c>
      <c r="N33" s="1450">
        <f t="shared" si="15"/>
        <v>1.531702898550725E-2</v>
      </c>
      <c r="O33" s="1451">
        <f t="shared" si="16"/>
        <v>1.531702898550725E-2</v>
      </c>
    </row>
    <row r="34" spans="1:15" ht="15" thickBot="1" x14ac:dyDescent="0.3">
      <c r="A34" s="1457">
        <v>1300000</v>
      </c>
      <c r="B34" s="1458">
        <v>26567</v>
      </c>
      <c r="C34" s="1459">
        <v>27032.688561418257</v>
      </c>
      <c r="D34" s="1459">
        <f t="shared" si="17"/>
        <v>20183.351907883996</v>
      </c>
      <c r="E34" s="1459">
        <v>2000</v>
      </c>
      <c r="F34" s="1460">
        <f t="shared" si="10"/>
        <v>1.5525655313756921E-2</v>
      </c>
      <c r="G34" s="1460">
        <f t="shared" si="11"/>
        <v>1.5525655313756921E-2</v>
      </c>
      <c r="H34" s="1453"/>
      <c r="I34" s="1447">
        <v>4000</v>
      </c>
      <c r="J34" s="1447">
        <f t="shared" si="12"/>
        <v>28567</v>
      </c>
      <c r="K34" s="1448">
        <f t="shared" si="13"/>
        <v>19484.994697773069</v>
      </c>
      <c r="L34" s="1448">
        <f t="shared" si="18"/>
        <v>19484.994697773069</v>
      </c>
      <c r="M34" s="1448">
        <f t="shared" si="14"/>
        <v>7082.0053022269312</v>
      </c>
      <c r="N34" s="1450">
        <f t="shared" si="15"/>
        <v>1.4988457459825438E-2</v>
      </c>
      <c r="O34" s="1451">
        <f t="shared" si="16"/>
        <v>1.4988457459825438E-2</v>
      </c>
    </row>
  </sheetData>
  <mergeCells count="8">
    <mergeCell ref="A19:B19"/>
    <mergeCell ref="C19:E19"/>
    <mergeCell ref="I19:M19"/>
    <mergeCell ref="N19:O19"/>
    <mergeCell ref="A1:B1"/>
    <mergeCell ref="C1:G1"/>
    <mergeCell ref="I1:M1"/>
    <mergeCell ref="N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G23" sqref="G23"/>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3"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5">
        <f ca="1">TODAY()</f>
        <v>45348</v>
      </c>
      <c r="F1" s="1524" t="s">
        <v>153</v>
      </c>
      <c r="L1" s="338"/>
    </row>
    <row r="2" spans="1:19" ht="20.149999999999999" customHeight="1" thickTop="1" thickBot="1" x14ac:dyDescent="0.4">
      <c r="A2" s="89" t="s">
        <v>53</v>
      </c>
      <c r="B2" s="90"/>
      <c r="F2" s="1524"/>
      <c r="G2" s="614" t="s">
        <v>354</v>
      </c>
      <c r="H2" s="614" t="s">
        <v>358</v>
      </c>
      <c r="I2" s="1548" t="s">
        <v>55</v>
      </c>
      <c r="J2" s="1549"/>
      <c r="L2" s="338"/>
    </row>
    <row r="3" spans="1:19" ht="20.149999999999999" customHeight="1" thickTop="1" thickBot="1" x14ac:dyDescent="0.4">
      <c r="A3" s="91">
        <v>1</v>
      </c>
      <c r="B3" s="92" t="s">
        <v>48</v>
      </c>
      <c r="C3" s="93" t="s">
        <v>49</v>
      </c>
      <c r="D3" s="147">
        <f>IF('MC-Working'!M12="Above 250cc",10,IF(AND(MC!B13=1,MC!T13="Ijarah"),5,2.2))</f>
        <v>2.2000000000000002</v>
      </c>
      <c r="E3" s="94" t="s">
        <v>54</v>
      </c>
      <c r="F3" s="148">
        <v>2</v>
      </c>
      <c r="I3" s="25">
        <v>1</v>
      </c>
      <c r="J3" s="136" t="s">
        <v>167</v>
      </c>
      <c r="K3" s="149">
        <v>0.2</v>
      </c>
      <c r="L3" s="26" t="s">
        <v>70</v>
      </c>
      <c r="M3" s="27"/>
      <c r="N3" s="1530" t="s">
        <v>139</v>
      </c>
      <c r="O3" s="1531"/>
      <c r="P3" s="1532"/>
      <c r="Q3" s="87" t="s">
        <v>136</v>
      </c>
      <c r="R3" s="88" t="s">
        <v>56</v>
      </c>
    </row>
    <row r="4" spans="1:19" ht="20.149999999999999" customHeight="1" thickTop="1" x14ac:dyDescent="0.35">
      <c r="A4" s="95">
        <f>A3+1</f>
        <v>2</v>
      </c>
      <c r="B4" s="96" t="s">
        <v>50</v>
      </c>
      <c r="C4" s="97" t="s">
        <v>49</v>
      </c>
      <c r="D4" s="150">
        <f>IF('MC-Working'!M12="Above 250cc",10,IF(AND(MC!B13=1,MC!T13="Ijarah"),5,2.2))</f>
        <v>2.2000000000000002</v>
      </c>
      <c r="E4" s="98" t="s">
        <v>54</v>
      </c>
      <c r="F4" s="151">
        <v>2</v>
      </c>
      <c r="I4" s="32"/>
      <c r="J4" s="135" t="s">
        <v>166</v>
      </c>
      <c r="K4" s="34">
        <v>0.25</v>
      </c>
      <c r="L4" s="35" t="s">
        <v>70</v>
      </c>
      <c r="M4" s="36"/>
      <c r="N4" s="1546" t="s">
        <v>137</v>
      </c>
      <c r="O4" s="1547"/>
      <c r="P4" s="1547"/>
      <c r="Q4" s="152">
        <v>7.0000000000000007E-2</v>
      </c>
      <c r="R4" s="153">
        <v>2.5000000000000001E-2</v>
      </c>
    </row>
    <row r="5" spans="1:19" ht="20.149999999999999" customHeight="1" x14ac:dyDescent="0.35">
      <c r="A5" s="99">
        <f t="shared" ref="A5:A14" si="0">A4+1</f>
        <v>3</v>
      </c>
      <c r="B5" s="100" t="s">
        <v>152</v>
      </c>
      <c r="C5" s="101" t="s">
        <v>49</v>
      </c>
      <c r="D5" s="154">
        <v>2</v>
      </c>
      <c r="E5" s="102" t="s">
        <v>54</v>
      </c>
      <c r="F5" s="155">
        <v>20</v>
      </c>
      <c r="I5" s="28">
        <f>I3+1</f>
        <v>2</v>
      </c>
      <c r="J5" s="29" t="s">
        <v>168</v>
      </c>
      <c r="K5" s="156">
        <v>0.05</v>
      </c>
      <c r="L5" s="30" t="s">
        <v>70</v>
      </c>
      <c r="M5" s="31"/>
      <c r="N5" s="1525" t="s">
        <v>146</v>
      </c>
      <c r="O5" s="1526"/>
      <c r="P5" s="1526"/>
      <c r="Q5" s="157">
        <v>0.04</v>
      </c>
      <c r="R5" s="158">
        <v>1.2500000000000001E-2</v>
      </c>
    </row>
    <row r="6" spans="1:19" ht="20.149999999999999" customHeight="1" x14ac:dyDescent="0.35">
      <c r="A6" s="95">
        <f t="shared" si="0"/>
        <v>4</v>
      </c>
      <c r="B6" s="96" t="s">
        <v>157</v>
      </c>
      <c r="C6" s="97" t="s">
        <v>49</v>
      </c>
      <c r="D6" s="159">
        <v>2.25</v>
      </c>
      <c r="E6" s="98" t="s">
        <v>54</v>
      </c>
      <c r="F6" s="151">
        <v>5</v>
      </c>
      <c r="I6" s="28"/>
      <c r="J6" s="134" t="s">
        <v>166</v>
      </c>
      <c r="K6" s="156">
        <v>6.25E-2</v>
      </c>
      <c r="L6" s="30" t="s">
        <v>70</v>
      </c>
      <c r="M6" s="31"/>
      <c r="N6" s="1525" t="s">
        <v>145</v>
      </c>
      <c r="O6" s="1526"/>
      <c r="P6" s="1526"/>
      <c r="Q6" s="157">
        <v>3.7499999999999999E-2</v>
      </c>
      <c r="R6" s="158">
        <v>1.2500000000000001E-2</v>
      </c>
    </row>
    <row r="7" spans="1:19" ht="20.149999999999999" customHeight="1" thickBot="1" x14ac:dyDescent="0.4">
      <c r="A7" s="99">
        <f t="shared" si="0"/>
        <v>5</v>
      </c>
      <c r="B7" s="100" t="s">
        <v>158</v>
      </c>
      <c r="C7" s="101" t="s">
        <v>49</v>
      </c>
      <c r="D7" s="154">
        <v>2</v>
      </c>
      <c r="E7" s="102" t="s">
        <v>54</v>
      </c>
      <c r="F7" s="155">
        <v>5</v>
      </c>
      <c r="I7" s="32">
        <f>I5+1</f>
        <v>3</v>
      </c>
      <c r="J7" s="33" t="s">
        <v>57</v>
      </c>
      <c r="K7" s="34"/>
      <c r="L7" s="35"/>
      <c r="M7" s="36"/>
      <c r="N7" s="1528" t="s">
        <v>138</v>
      </c>
      <c r="O7" s="1529"/>
      <c r="P7" s="1529"/>
      <c r="Q7" s="160">
        <v>0.05</v>
      </c>
      <c r="R7" s="161">
        <v>1250</v>
      </c>
    </row>
    <row r="8" spans="1:19" ht="20.149999999999999" customHeight="1" thickTop="1" thickBot="1" x14ac:dyDescent="0.4">
      <c r="A8" s="95">
        <f t="shared" si="0"/>
        <v>6</v>
      </c>
      <c r="B8" s="96" t="s">
        <v>160</v>
      </c>
      <c r="C8" s="97" t="s">
        <v>49</v>
      </c>
      <c r="D8" s="159">
        <v>2.25</v>
      </c>
      <c r="E8" s="98" t="s">
        <v>54</v>
      </c>
      <c r="F8" s="151">
        <v>7</v>
      </c>
      <c r="I8" s="32"/>
      <c r="J8" s="35" t="s">
        <v>66</v>
      </c>
      <c r="K8" s="34">
        <v>50</v>
      </c>
      <c r="L8" s="35" t="s">
        <v>59</v>
      </c>
      <c r="M8" s="36"/>
      <c r="N8" s="1530" t="s">
        <v>38</v>
      </c>
      <c r="O8" s="1531"/>
      <c r="P8" s="1532"/>
      <c r="Q8" s="160">
        <v>0.15</v>
      </c>
      <c r="R8" s="161">
        <v>0.25</v>
      </c>
      <c r="S8" s="1" t="s">
        <v>142</v>
      </c>
    </row>
    <row r="9" spans="1:19" ht="20.149999999999999" customHeight="1" thickTop="1" thickBot="1" x14ac:dyDescent="0.4">
      <c r="A9" s="99">
        <f t="shared" si="0"/>
        <v>7</v>
      </c>
      <c r="B9" s="100" t="s">
        <v>159</v>
      </c>
      <c r="C9" s="101" t="s">
        <v>49</v>
      </c>
      <c r="D9" s="154">
        <v>2</v>
      </c>
      <c r="E9" s="102" t="s">
        <v>54</v>
      </c>
      <c r="F9" s="155">
        <v>7</v>
      </c>
      <c r="I9" s="32"/>
      <c r="J9" s="35" t="s">
        <v>65</v>
      </c>
      <c r="K9" s="34">
        <v>25</v>
      </c>
      <c r="L9" s="35" t="s">
        <v>59</v>
      </c>
      <c r="M9" s="36"/>
      <c r="N9" s="1533" t="s">
        <v>140</v>
      </c>
      <c r="O9" s="1533"/>
      <c r="P9" s="1533"/>
      <c r="Q9" s="160">
        <v>15</v>
      </c>
      <c r="R9" s="161">
        <v>3.7499999999999999E-2</v>
      </c>
      <c r="S9" s="1" t="s">
        <v>141</v>
      </c>
    </row>
    <row r="10" spans="1:19" ht="20.149999999999999" customHeight="1" thickTop="1" x14ac:dyDescent="0.35">
      <c r="A10" s="95">
        <f t="shared" si="0"/>
        <v>8</v>
      </c>
      <c r="B10" s="96" t="s">
        <v>313</v>
      </c>
      <c r="C10" s="97" t="s">
        <v>49</v>
      </c>
      <c r="D10" s="159">
        <f>'MC-Working'!K8*100</f>
        <v>1.25</v>
      </c>
      <c r="E10" s="98" t="s">
        <v>54</v>
      </c>
      <c r="F10" s="151">
        <v>5</v>
      </c>
      <c r="I10" s="32"/>
      <c r="J10" s="35" t="s">
        <v>64</v>
      </c>
      <c r="K10" s="34">
        <v>25</v>
      </c>
      <c r="L10" s="35" t="s">
        <v>59</v>
      </c>
      <c r="M10" s="36"/>
    </row>
    <row r="11" spans="1:19" ht="20.149999999999999" customHeight="1" x14ac:dyDescent="0.35">
      <c r="A11" s="99">
        <f t="shared" si="0"/>
        <v>9</v>
      </c>
      <c r="B11" s="100" t="s">
        <v>151</v>
      </c>
      <c r="C11" s="101" t="s">
        <v>49</v>
      </c>
      <c r="D11" s="154">
        <v>1</v>
      </c>
      <c r="E11" s="102" t="s">
        <v>54</v>
      </c>
      <c r="F11" s="155">
        <v>60</v>
      </c>
      <c r="I11" s="28">
        <v>4</v>
      </c>
      <c r="J11" s="29" t="s">
        <v>61</v>
      </c>
      <c r="K11" s="156">
        <v>10</v>
      </c>
      <c r="L11" s="30" t="s">
        <v>67</v>
      </c>
      <c r="M11" s="31"/>
    </row>
    <row r="12" spans="1:19" ht="20.149999999999999" customHeight="1" x14ac:dyDescent="0.35">
      <c r="A12" s="95">
        <f t="shared" si="0"/>
        <v>10</v>
      </c>
      <c r="B12" s="96" t="s">
        <v>51</v>
      </c>
      <c r="C12" s="97" t="s">
        <v>49</v>
      </c>
      <c r="D12" s="159">
        <v>1.75</v>
      </c>
      <c r="E12" s="98" t="s">
        <v>54</v>
      </c>
      <c r="F12" s="151">
        <v>4</v>
      </c>
      <c r="I12" s="32">
        <f>I11+1</f>
        <v>5</v>
      </c>
      <c r="J12" s="38" t="s">
        <v>62</v>
      </c>
      <c r="K12" s="34">
        <v>10</v>
      </c>
      <c r="L12" s="35" t="s">
        <v>68</v>
      </c>
      <c r="M12" s="36"/>
    </row>
    <row r="13" spans="1:19" ht="20.149999999999999" customHeight="1" thickBot="1" x14ac:dyDescent="0.4">
      <c r="A13" s="99">
        <f t="shared" si="0"/>
        <v>11</v>
      </c>
      <c r="B13" s="110" t="s">
        <v>52</v>
      </c>
      <c r="C13" s="111" t="s">
        <v>49</v>
      </c>
      <c r="D13" s="162">
        <v>0.8</v>
      </c>
      <c r="E13" s="112" t="s">
        <v>54</v>
      </c>
      <c r="F13" s="163">
        <v>4</v>
      </c>
      <c r="I13" s="28">
        <f>I12+1</f>
        <v>6</v>
      </c>
      <c r="J13" s="29" t="s">
        <v>12</v>
      </c>
      <c r="K13" s="156">
        <v>15</v>
      </c>
      <c r="L13" s="30" t="s">
        <v>67</v>
      </c>
      <c r="M13" s="31"/>
    </row>
    <row r="14" spans="1:19" ht="20.149999999999999" customHeight="1" thickTop="1" thickBot="1" x14ac:dyDescent="0.4">
      <c r="A14" s="95">
        <f t="shared" si="0"/>
        <v>12</v>
      </c>
      <c r="B14" s="113" t="s">
        <v>161</v>
      </c>
      <c r="C14" s="97" t="s">
        <v>49</v>
      </c>
      <c r="D14" s="164">
        <v>0.8</v>
      </c>
      <c r="E14" s="114" t="s">
        <v>54</v>
      </c>
      <c r="F14" s="165">
        <v>4</v>
      </c>
      <c r="I14" s="32">
        <f>I13+1</f>
        <v>7</v>
      </c>
      <c r="J14" s="38" t="s">
        <v>44</v>
      </c>
      <c r="K14" s="34">
        <v>30</v>
      </c>
      <c r="L14" s="35" t="s">
        <v>67</v>
      </c>
      <c r="M14" s="54" t="s">
        <v>123</v>
      </c>
    </row>
    <row r="15" spans="1:19" ht="20.149999999999999" customHeight="1" thickTop="1" thickBot="1" x14ac:dyDescent="0.4">
      <c r="A15" s="99">
        <f>A14+1</f>
        <v>13</v>
      </c>
      <c r="B15" s="110" t="s">
        <v>164</v>
      </c>
      <c r="C15" s="111" t="s">
        <v>49</v>
      </c>
      <c r="D15" s="162">
        <v>2</v>
      </c>
      <c r="E15" s="112" t="s">
        <v>54</v>
      </c>
      <c r="F15" s="163">
        <v>50</v>
      </c>
      <c r="I15" s="28">
        <f>I14+1</f>
        <v>8</v>
      </c>
      <c r="J15" s="29" t="s">
        <v>63</v>
      </c>
      <c r="K15" s="156">
        <v>33.33</v>
      </c>
      <c r="L15" s="30" t="s">
        <v>67</v>
      </c>
      <c r="M15" s="54" t="s">
        <v>123</v>
      </c>
    </row>
    <row r="16" spans="1:19" ht="20.149999999999999" customHeight="1" thickTop="1" x14ac:dyDescent="0.35">
      <c r="A16" s="95">
        <f>A15+1</f>
        <v>14</v>
      </c>
      <c r="B16" s="96" t="s">
        <v>314</v>
      </c>
      <c r="C16" s="97" t="s">
        <v>49</v>
      </c>
      <c r="D16" s="370">
        <v>2.25</v>
      </c>
      <c r="E16" s="371" t="s">
        <v>54</v>
      </c>
      <c r="F16" s="165">
        <v>4</v>
      </c>
      <c r="I16" s="32">
        <f>I15+1</f>
        <v>9</v>
      </c>
      <c r="J16" s="33" t="s">
        <v>34</v>
      </c>
      <c r="K16" s="35"/>
      <c r="L16" s="35"/>
      <c r="M16" s="36"/>
    </row>
    <row r="17" spans="1:15" ht="20.149999999999999" customHeight="1" thickBot="1" x14ac:dyDescent="0.4">
      <c r="A17" s="364">
        <v>15</v>
      </c>
      <c r="B17" s="365" t="s">
        <v>162</v>
      </c>
      <c r="C17" s="366" t="s">
        <v>49</v>
      </c>
      <c r="D17" s="372"/>
      <c r="E17" s="373" t="s">
        <v>54</v>
      </c>
      <c r="F17" s="367">
        <v>5</v>
      </c>
      <c r="I17" s="32"/>
      <c r="J17" s="135" t="s">
        <v>69</v>
      </c>
      <c r="K17" s="166">
        <v>100</v>
      </c>
      <c r="L17" s="48" t="s">
        <v>79</v>
      </c>
      <c r="M17" s="49">
        <f>IF('MC-Working'!H8=Administration!C12,700,350)</f>
        <v>350</v>
      </c>
    </row>
    <row r="18" spans="1:15" ht="20.149999999999999" customHeight="1" thickTop="1" thickBot="1" x14ac:dyDescent="0.4">
      <c r="A18" s="51">
        <v>1</v>
      </c>
      <c r="B18" s="39"/>
      <c r="C18" s="39"/>
      <c r="D18" s="39"/>
      <c r="E18" s="39"/>
      <c r="F18" s="39"/>
      <c r="I18" s="32"/>
      <c r="J18" s="135" t="s">
        <v>515</v>
      </c>
      <c r="K18" s="166">
        <v>250</v>
      </c>
      <c r="L18" s="50" t="s">
        <v>80</v>
      </c>
      <c r="M18" s="49">
        <f>IF('MC-Working'!H8=Administration!C12,100,650)</f>
        <v>650</v>
      </c>
      <c r="N18" s="71"/>
    </row>
    <row r="19" spans="1:15" ht="20.149999999999999" customHeight="1" thickTop="1" thickBot="1" x14ac:dyDescent="0.4">
      <c r="A19" s="40"/>
      <c r="B19" s="41" t="s">
        <v>77</v>
      </c>
      <c r="C19" s="42" t="s">
        <v>49</v>
      </c>
      <c r="D19" s="167">
        <v>2.5</v>
      </c>
      <c r="E19" s="43" t="s">
        <v>54</v>
      </c>
      <c r="F19" s="39"/>
      <c r="I19" s="28">
        <v>10</v>
      </c>
      <c r="J19" s="29" t="s">
        <v>124</v>
      </c>
      <c r="K19" s="156">
        <v>15</v>
      </c>
      <c r="L19" s="30" t="s">
        <v>67</v>
      </c>
      <c r="M19" s="1550" t="s">
        <v>125</v>
      </c>
      <c r="N19" s="1551"/>
      <c r="O19" s="54" t="s">
        <v>111</v>
      </c>
    </row>
    <row r="20" spans="1:15" ht="20.149999999999999" customHeight="1" thickTop="1" thickBot="1" x14ac:dyDescent="0.4">
      <c r="A20" s="144"/>
      <c r="B20" s="145" t="s">
        <v>169</v>
      </c>
      <c r="C20" s="146" t="s">
        <v>49</v>
      </c>
      <c r="D20" s="168">
        <v>0</v>
      </c>
      <c r="E20" s="346" t="s">
        <v>54</v>
      </c>
      <c r="F20" s="347" t="s">
        <v>111</v>
      </c>
      <c r="G20" s="615">
        <f>IF(F20="Yes",D20,0)</f>
        <v>0</v>
      </c>
      <c r="H20" s="615"/>
      <c r="I20" s="28"/>
      <c r="J20" s="29"/>
      <c r="K20" s="156"/>
      <c r="L20" s="30"/>
      <c r="M20" s="220"/>
      <c r="N20" s="72"/>
    </row>
    <row r="21" spans="1:15" ht="20.149999999999999" customHeight="1" thickTop="1" thickBot="1" x14ac:dyDescent="0.4">
      <c r="A21" s="44"/>
      <c r="B21" s="45" t="s">
        <v>78</v>
      </c>
      <c r="C21" s="46" t="s">
        <v>49</v>
      </c>
      <c r="D21" s="169">
        <v>18</v>
      </c>
      <c r="E21" s="47" t="s">
        <v>54</v>
      </c>
      <c r="F21" s="39"/>
      <c r="I21" s="32">
        <f>I19+1</f>
        <v>11</v>
      </c>
      <c r="J21" s="38" t="s">
        <v>71</v>
      </c>
      <c r="K21" s="34">
        <v>10</v>
      </c>
      <c r="L21" s="35" t="s">
        <v>73</v>
      </c>
      <c r="M21" s="54" t="s">
        <v>123</v>
      </c>
    </row>
    <row r="22" spans="1:15" ht="30.75" customHeight="1" thickTop="1" thickBot="1" x14ac:dyDescent="0.35">
      <c r="I22" s="28">
        <f>I21+1</f>
        <v>12</v>
      </c>
      <c r="J22" s="55" t="s">
        <v>72</v>
      </c>
      <c r="K22" s="30"/>
      <c r="L22" s="30"/>
      <c r="M22" s="31"/>
    </row>
    <row r="23" spans="1:15" ht="20.149999999999999" customHeight="1" thickTop="1" thickBot="1" x14ac:dyDescent="0.4">
      <c r="A23" s="51">
        <v>2</v>
      </c>
      <c r="B23" s="52" t="s">
        <v>117</v>
      </c>
      <c r="I23" s="28"/>
      <c r="J23" s="30" t="s">
        <v>60</v>
      </c>
      <c r="K23" s="156">
        <v>150</v>
      </c>
      <c r="L23" s="56" t="s">
        <v>75</v>
      </c>
      <c r="M23" s="31"/>
    </row>
    <row r="24" spans="1:15" ht="20.149999999999999" customHeight="1" thickTop="1" thickBot="1" x14ac:dyDescent="0.4">
      <c r="A24" s="53"/>
      <c r="B24" s="170">
        <v>28000000</v>
      </c>
      <c r="I24" s="28"/>
      <c r="J24" s="57" t="s">
        <v>121</v>
      </c>
      <c r="K24" s="171">
        <v>600</v>
      </c>
      <c r="L24" s="58" t="s">
        <v>75</v>
      </c>
      <c r="M24" s="31"/>
    </row>
    <row r="25" spans="1:15" ht="20.149999999999999" customHeight="1" thickBot="1" x14ac:dyDescent="0.4">
      <c r="B25" s="170">
        <v>2000000</v>
      </c>
      <c r="C25" s="86" t="s">
        <v>135</v>
      </c>
      <c r="I25" s="28"/>
      <c r="J25" s="30" t="s">
        <v>74</v>
      </c>
      <c r="K25" s="156">
        <v>150</v>
      </c>
      <c r="L25" s="56" t="s">
        <v>75</v>
      </c>
      <c r="M25" s="31"/>
    </row>
    <row r="26" spans="1:15" ht="20.149999999999999" customHeight="1" thickTop="1" thickBot="1" x14ac:dyDescent="0.4">
      <c r="A26" s="51">
        <v>3</v>
      </c>
      <c r="B26" s="52" t="s">
        <v>110</v>
      </c>
      <c r="F26" s="52" t="s">
        <v>392</v>
      </c>
      <c r="I26" s="32">
        <v>13</v>
      </c>
      <c r="J26" s="33" t="s">
        <v>81</v>
      </c>
      <c r="K26" s="35"/>
      <c r="L26" s="35"/>
      <c r="M26" s="49"/>
    </row>
    <row r="27" spans="1:15" ht="20.149999999999999" customHeight="1" thickTop="1" thickBot="1" x14ac:dyDescent="0.4">
      <c r="A27" s="53"/>
      <c r="B27" s="170">
        <v>28000000</v>
      </c>
      <c r="F27" s="1542">
        <v>10</v>
      </c>
      <c r="G27" s="1543"/>
      <c r="I27" s="60"/>
      <c r="J27" s="61" t="s">
        <v>82</v>
      </c>
      <c r="K27" s="166">
        <v>6</v>
      </c>
      <c r="L27" s="70" t="s">
        <v>86</v>
      </c>
      <c r="M27" s="49">
        <v>12</v>
      </c>
    </row>
    <row r="28" spans="1:15" ht="20.149999999999999" customHeight="1" thickTop="1" thickBot="1" x14ac:dyDescent="0.4">
      <c r="A28" s="51">
        <v>4</v>
      </c>
      <c r="B28" s="52" t="s">
        <v>112</v>
      </c>
      <c r="C28" s="1537" t="s">
        <v>76</v>
      </c>
      <c r="D28" s="1538"/>
      <c r="I28" s="60"/>
      <c r="J28" s="61" t="s">
        <v>85</v>
      </c>
      <c r="K28" s="166">
        <v>20</v>
      </c>
      <c r="L28" s="70" t="s">
        <v>87</v>
      </c>
      <c r="M28" s="49">
        <v>30</v>
      </c>
    </row>
    <row r="29" spans="1:15" ht="20.149999999999999" customHeight="1" thickTop="1" thickBot="1" x14ac:dyDescent="0.4">
      <c r="A29" s="51">
        <v>5</v>
      </c>
      <c r="B29" s="59" t="s">
        <v>113</v>
      </c>
      <c r="C29" s="1542">
        <v>75</v>
      </c>
      <c r="D29" s="1543"/>
      <c r="E29" s="1539">
        <f>IF(OR('MC-Working'!H8=Administration!C7,'MC-Working'!H8=Administration!C8),G29,0)</f>
        <v>0</v>
      </c>
      <c r="F29" s="1540"/>
      <c r="G29" s="1544">
        <v>1200000</v>
      </c>
      <c r="H29" s="1545"/>
      <c r="I29" s="60"/>
      <c r="J29" s="61" t="s">
        <v>84</v>
      </c>
      <c r="K29" s="166">
        <v>55</v>
      </c>
      <c r="L29" s="70" t="s">
        <v>88</v>
      </c>
      <c r="M29" s="49">
        <v>105</v>
      </c>
    </row>
    <row r="30" spans="1:15" ht="20.149999999999999" customHeight="1" thickTop="1" thickBot="1" x14ac:dyDescent="0.4">
      <c r="A30" s="51">
        <v>6</v>
      </c>
      <c r="B30" s="52" t="s">
        <v>114</v>
      </c>
      <c r="I30" s="60"/>
      <c r="J30" s="61" t="s">
        <v>83</v>
      </c>
      <c r="K30" s="166">
        <v>290</v>
      </c>
      <c r="L30" s="61"/>
      <c r="M30" s="49"/>
    </row>
    <row r="31" spans="1:15" ht="20.149999999999999" customHeight="1" thickTop="1" thickBot="1" x14ac:dyDescent="0.4">
      <c r="A31" s="53"/>
      <c r="B31" s="170">
        <v>1000000</v>
      </c>
      <c r="I31" s="28">
        <v>14</v>
      </c>
      <c r="J31" s="29" t="s">
        <v>89</v>
      </c>
      <c r="K31" s="156">
        <v>2000</v>
      </c>
      <c r="L31" s="56" t="s">
        <v>75</v>
      </c>
      <c r="M31" s="31"/>
    </row>
    <row r="32" spans="1:15" ht="20.149999999999999" customHeight="1" thickTop="1" thickBot="1" x14ac:dyDescent="0.4">
      <c r="A32" s="51">
        <v>7</v>
      </c>
      <c r="B32" s="52" t="s">
        <v>126</v>
      </c>
      <c r="I32" s="32">
        <v>15</v>
      </c>
      <c r="J32" s="38" t="s">
        <v>90</v>
      </c>
      <c r="K32" s="34">
        <v>10</v>
      </c>
      <c r="L32" s="35" t="s">
        <v>91</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93</v>
      </c>
      <c r="K34" s="156">
        <v>150</v>
      </c>
      <c r="L34" s="56" t="s">
        <v>75</v>
      </c>
      <c r="M34" s="31"/>
    </row>
    <row r="35" spans="1:13" ht="20.149999999999999" customHeight="1" thickTop="1" thickBot="1" x14ac:dyDescent="0.4">
      <c r="A35" s="51">
        <v>8</v>
      </c>
      <c r="B35" s="83" t="s">
        <v>134</v>
      </c>
      <c r="I35" s="64"/>
      <c r="J35" s="30" t="s">
        <v>58</v>
      </c>
      <c r="K35" s="156">
        <v>200</v>
      </c>
      <c r="L35" s="56" t="s">
        <v>75</v>
      </c>
      <c r="M35" s="31"/>
    </row>
    <row r="36" spans="1:13" ht="20.149999999999999" customHeight="1" thickTop="1" thickBot="1" x14ac:dyDescent="0.4">
      <c r="A36" s="53"/>
      <c r="B36" s="170">
        <v>1000</v>
      </c>
      <c r="I36" s="64"/>
      <c r="J36" s="30" t="s">
        <v>92</v>
      </c>
      <c r="K36" s="156">
        <v>200</v>
      </c>
      <c r="L36" s="56" t="s">
        <v>75</v>
      </c>
      <c r="M36" s="31"/>
    </row>
    <row r="37" spans="1:13" ht="20.149999999999999" customHeight="1" thickTop="1" thickBot="1" x14ac:dyDescent="0.4">
      <c r="A37" s="51">
        <v>9</v>
      </c>
      <c r="B37" s="85" t="s">
        <v>132</v>
      </c>
      <c r="I37" s="32">
        <v>17</v>
      </c>
      <c r="J37" s="33" t="s">
        <v>2</v>
      </c>
      <c r="K37" s="34"/>
      <c r="L37" s="35"/>
      <c r="M37" s="36"/>
    </row>
    <row r="38" spans="1:13" ht="20.149999999999999" customHeight="1" thickTop="1" thickBot="1" x14ac:dyDescent="0.35">
      <c r="B38" s="84" t="s">
        <v>133</v>
      </c>
      <c r="C38" s="1534">
        <v>0</v>
      </c>
      <c r="D38" s="1535"/>
      <c r="E38" s="1536"/>
      <c r="I38" s="65" t="s">
        <v>94</v>
      </c>
      <c r="J38" s="34">
        <v>1000</v>
      </c>
      <c r="K38" s="172">
        <v>10</v>
      </c>
      <c r="L38" s="66"/>
      <c r="M38" s="36"/>
    </row>
    <row r="39" spans="1:13" ht="20.149999999999999" customHeight="1" thickTop="1" thickBot="1" x14ac:dyDescent="0.4">
      <c r="A39" s="51">
        <v>10</v>
      </c>
      <c r="B39" s="62" t="s">
        <v>116</v>
      </c>
      <c r="D39" s="68" t="s">
        <v>76</v>
      </c>
      <c r="I39" s="65" t="s">
        <v>94</v>
      </c>
      <c r="J39" s="34">
        <v>2500</v>
      </c>
      <c r="K39" s="172">
        <v>15</v>
      </c>
      <c r="L39" s="66"/>
      <c r="M39" s="36"/>
    </row>
    <row r="40" spans="1:13" ht="17.149999999999999" customHeight="1" thickTop="1" thickBot="1" x14ac:dyDescent="0.4">
      <c r="A40" s="53"/>
      <c r="B40" s="63" t="s">
        <v>115</v>
      </c>
      <c r="C40" s="1534">
        <v>50000</v>
      </c>
      <c r="D40" s="1535"/>
      <c r="E40" s="1536"/>
      <c r="I40" s="65" t="s">
        <v>94</v>
      </c>
      <c r="J40" s="34">
        <v>5000</v>
      </c>
      <c r="K40" s="172">
        <v>20</v>
      </c>
      <c r="L40" s="66"/>
      <c r="M40" s="36"/>
    </row>
    <row r="41" spans="1:13" ht="17.149999999999999" customHeight="1" thickTop="1" thickBot="1" x14ac:dyDescent="0.35">
      <c r="B41" s="63" t="s">
        <v>127</v>
      </c>
      <c r="D41" s="68" t="s">
        <v>111</v>
      </c>
      <c r="I41" s="28">
        <v>18</v>
      </c>
      <c r="J41" s="55" t="s">
        <v>95</v>
      </c>
      <c r="K41" s="30"/>
      <c r="L41" s="30"/>
      <c r="M41" s="31"/>
    </row>
    <row r="42" spans="1:13" ht="17.149999999999999" customHeight="1" thickTop="1" thickBot="1" x14ac:dyDescent="0.35">
      <c r="B42" s="63" t="s">
        <v>156</v>
      </c>
      <c r="D42" s="68">
        <v>10</v>
      </c>
      <c r="I42" s="64"/>
      <c r="J42" s="67" t="s">
        <v>96</v>
      </c>
      <c r="K42" s="156">
        <v>4.5</v>
      </c>
      <c r="L42" s="30" t="s">
        <v>67</v>
      </c>
      <c r="M42" s="31"/>
    </row>
    <row r="43" spans="1:13" ht="17.149999999999999" customHeight="1" thickTop="1" thickBot="1" x14ac:dyDescent="0.4">
      <c r="A43" s="51">
        <v>11</v>
      </c>
      <c r="B43" s="1541" t="s">
        <v>128</v>
      </c>
      <c r="D43" s="68" t="s">
        <v>111</v>
      </c>
      <c r="I43" s="64"/>
      <c r="J43" s="67" t="s">
        <v>97</v>
      </c>
      <c r="K43" s="156">
        <v>5.25</v>
      </c>
      <c r="L43" s="30" t="s">
        <v>67</v>
      </c>
      <c r="M43" s="31"/>
    </row>
    <row r="44" spans="1:13" ht="17.149999999999999" customHeight="1" thickTop="1" thickBot="1" x14ac:dyDescent="0.35">
      <c r="B44" s="1541"/>
      <c r="I44" s="64"/>
      <c r="J44" s="67" t="s">
        <v>98</v>
      </c>
      <c r="K44" s="156">
        <v>6</v>
      </c>
      <c r="L44" s="30" t="s">
        <v>67</v>
      </c>
      <c r="M44" s="31"/>
    </row>
    <row r="45" spans="1:13" ht="17.149999999999999" customHeight="1" thickTop="1" thickBot="1" x14ac:dyDescent="0.4">
      <c r="A45" s="51">
        <v>12</v>
      </c>
      <c r="B45" s="63" t="s">
        <v>291</v>
      </c>
      <c r="D45" s="68" t="s">
        <v>111</v>
      </c>
      <c r="I45" s="64"/>
      <c r="J45" s="67" t="s">
        <v>99</v>
      </c>
      <c r="K45" s="156">
        <v>6.25</v>
      </c>
      <c r="L45" s="30" t="s">
        <v>67</v>
      </c>
      <c r="M45" s="31"/>
    </row>
    <row r="46" spans="1:13" ht="17.149999999999999" customHeight="1" thickTop="1" thickBot="1" x14ac:dyDescent="0.35">
      <c r="I46" s="64"/>
      <c r="J46" s="67" t="s">
        <v>100</v>
      </c>
      <c r="K46" s="156">
        <v>6.5</v>
      </c>
      <c r="L46" s="30" t="s">
        <v>67</v>
      </c>
      <c r="M46" s="31"/>
    </row>
    <row r="47" spans="1:13" ht="17.149999999999999" customHeight="1" thickTop="1" thickBot="1" x14ac:dyDescent="0.4">
      <c r="A47" s="51">
        <v>13</v>
      </c>
      <c r="B47" s="1527" t="s">
        <v>398</v>
      </c>
      <c r="D47" s="68" t="s">
        <v>111</v>
      </c>
      <c r="I47" s="64"/>
      <c r="J47" s="67" t="s">
        <v>101</v>
      </c>
      <c r="K47" s="156">
        <v>6.75</v>
      </c>
      <c r="L47" s="30" t="s">
        <v>67</v>
      </c>
      <c r="M47" s="31"/>
    </row>
    <row r="48" spans="1:13" ht="17.149999999999999" customHeight="1" thickTop="1" x14ac:dyDescent="0.3">
      <c r="B48" s="1527"/>
      <c r="I48" s="64"/>
      <c r="J48" s="67" t="s">
        <v>102</v>
      </c>
      <c r="K48" s="156">
        <v>7</v>
      </c>
      <c r="L48" s="30" t="s">
        <v>67</v>
      </c>
      <c r="M48" s="31"/>
    </row>
    <row r="49" spans="1:13" ht="17.149999999999999" customHeight="1" thickBot="1" x14ac:dyDescent="0.35">
      <c r="I49" s="64"/>
      <c r="J49" s="67" t="s">
        <v>103</v>
      </c>
      <c r="K49" s="156">
        <v>7</v>
      </c>
      <c r="L49" s="30" t="s">
        <v>67</v>
      </c>
      <c r="M49" s="31"/>
    </row>
    <row r="50" spans="1:13" ht="20.149999999999999" customHeight="1" thickTop="1" thickBot="1" x14ac:dyDescent="0.4">
      <c r="A50" s="51">
        <v>14</v>
      </c>
      <c r="B50" s="63" t="s">
        <v>260</v>
      </c>
      <c r="D50" s="68" t="s">
        <v>111</v>
      </c>
      <c r="I50" s="64"/>
      <c r="J50" s="67" t="s">
        <v>104</v>
      </c>
      <c r="K50" s="156">
        <v>7</v>
      </c>
      <c r="L50" s="30" t="s">
        <v>67</v>
      </c>
      <c r="M50" s="31"/>
    </row>
    <row r="51" spans="1:13" ht="17.149999999999999" customHeight="1" thickTop="1" thickBot="1" x14ac:dyDescent="0.35">
      <c r="I51" s="64"/>
      <c r="J51" s="67" t="s">
        <v>105</v>
      </c>
      <c r="K51" s="156">
        <v>7</v>
      </c>
      <c r="L51" s="30" t="s">
        <v>67</v>
      </c>
      <c r="M51" s="31"/>
    </row>
    <row r="52" spans="1:13" ht="17.149999999999999" customHeight="1" thickTop="1" thickBot="1" x14ac:dyDescent="0.4">
      <c r="A52" s="51">
        <v>15</v>
      </c>
      <c r="B52" s="272" t="str">
        <f>CONCATENATE("Allow Vehicle Above ",Administration!F29," Years")</f>
        <v>Allow Vehicle Above 19 Years</v>
      </c>
      <c r="D52" s="68" t="s">
        <v>76</v>
      </c>
      <c r="I52" s="32">
        <v>19</v>
      </c>
      <c r="J52" s="33" t="s">
        <v>38</v>
      </c>
      <c r="K52" s="35"/>
      <c r="L52" s="35"/>
      <c r="M52" s="36"/>
    </row>
    <row r="53" spans="1:13" ht="17.149999999999999" customHeight="1" thickTop="1" thickBot="1" x14ac:dyDescent="0.35">
      <c r="I53" s="60"/>
      <c r="J53" s="35" t="s">
        <v>4</v>
      </c>
      <c r="K53" s="173">
        <v>0.7</v>
      </c>
      <c r="L53" s="35" t="s">
        <v>119</v>
      </c>
      <c r="M53" s="36"/>
    </row>
    <row r="54" spans="1:13" ht="17.149999999999999" customHeight="1" thickTop="1" thickBot="1" x14ac:dyDescent="0.4">
      <c r="A54" s="51">
        <v>16</v>
      </c>
      <c r="B54" s="272" t="s">
        <v>290</v>
      </c>
      <c r="I54" s="60"/>
      <c r="J54" s="37" t="s">
        <v>5</v>
      </c>
      <c r="K54" s="174">
        <v>1.5</v>
      </c>
      <c r="L54" s="37" t="s">
        <v>119</v>
      </c>
      <c r="M54" s="36"/>
    </row>
    <row r="55" spans="1:13" ht="20.149999999999999" customHeight="1" thickTop="1" thickBot="1" x14ac:dyDescent="0.35">
      <c r="B55" s="1534">
        <v>15000</v>
      </c>
      <c r="C55" s="1535"/>
      <c r="D55" s="1536"/>
      <c r="I55" s="60"/>
      <c r="J55" s="37" t="s">
        <v>37</v>
      </c>
      <c r="K55" s="174">
        <v>3.5</v>
      </c>
      <c r="L55" s="37" t="s">
        <v>119</v>
      </c>
      <c r="M55" s="36"/>
    </row>
    <row r="56" spans="1:13" ht="20.149999999999999" customHeight="1" thickTop="1" thickBot="1" x14ac:dyDescent="0.35">
      <c r="I56" s="60"/>
      <c r="J56" s="37" t="s">
        <v>118</v>
      </c>
      <c r="K56" s="174">
        <v>1.5</v>
      </c>
      <c r="L56" s="37" t="s">
        <v>119</v>
      </c>
      <c r="M56" s="36"/>
    </row>
    <row r="57" spans="1:13" ht="20.149999999999999" customHeight="1" thickTop="1" thickBot="1" x14ac:dyDescent="0.45">
      <c r="A57" s="51">
        <v>17</v>
      </c>
      <c r="B57" s="430" t="s">
        <v>359</v>
      </c>
      <c r="I57" s="28">
        <v>20</v>
      </c>
      <c r="J57" s="55" t="s">
        <v>120</v>
      </c>
      <c r="K57" s="156">
        <v>33.33</v>
      </c>
      <c r="L57" s="30" t="s">
        <v>67</v>
      </c>
      <c r="M57" s="31"/>
    </row>
    <row r="58" spans="1:13" ht="20.149999999999999" customHeight="1" thickTop="1" thickBot="1" x14ac:dyDescent="0.35">
      <c r="B58" s="425" t="s">
        <v>363</v>
      </c>
      <c r="D58" s="68" t="s">
        <v>76</v>
      </c>
      <c r="I58" s="32">
        <v>21</v>
      </c>
      <c r="J58" s="33" t="s">
        <v>225</v>
      </c>
      <c r="K58" s="35"/>
      <c r="L58" s="35"/>
      <c r="M58" s="36"/>
    </row>
    <row r="59" spans="1:13" ht="20.149999999999999" customHeight="1" thickTop="1" thickBot="1" x14ac:dyDescent="0.35">
      <c r="B59" s="425" t="s">
        <v>360</v>
      </c>
      <c r="D59" s="251">
        <v>15</v>
      </c>
      <c r="E59" s="1" t="s">
        <v>364</v>
      </c>
      <c r="I59" s="60"/>
      <c r="J59" s="35" t="s">
        <v>226</v>
      </c>
      <c r="K59" s="173">
        <v>0</v>
      </c>
      <c r="L59" s="227" t="s">
        <v>75</v>
      </c>
      <c r="M59" s="36"/>
    </row>
    <row r="60" spans="1:13" ht="20.149999999999999" customHeight="1" thickBot="1" x14ac:dyDescent="0.35">
      <c r="B60" s="425" t="s">
        <v>361</v>
      </c>
      <c r="D60" s="251">
        <v>15</v>
      </c>
      <c r="E60" s="1" t="s">
        <v>364</v>
      </c>
      <c r="I60" s="60"/>
      <c r="J60" s="35" t="s">
        <v>227</v>
      </c>
      <c r="K60" s="174">
        <v>0</v>
      </c>
      <c r="L60" s="227" t="s">
        <v>75</v>
      </c>
      <c r="M60" s="36"/>
    </row>
    <row r="61" spans="1:13" ht="20.149999999999999" customHeight="1" thickTop="1" thickBot="1" x14ac:dyDescent="0.35">
      <c r="A61" s="456"/>
      <c r="B61" s="457" t="s">
        <v>365</v>
      </c>
      <c r="D61" s="68" t="s">
        <v>76</v>
      </c>
      <c r="I61" s="60"/>
      <c r="J61" s="37" t="s">
        <v>39</v>
      </c>
      <c r="K61" s="174">
        <v>0</v>
      </c>
      <c r="L61" s="227" t="s">
        <v>75</v>
      </c>
      <c r="M61" s="36"/>
    </row>
    <row r="62" spans="1:13" ht="20.149999999999999" customHeight="1" thickTop="1" thickBot="1" x14ac:dyDescent="0.35">
      <c r="I62" s="60"/>
      <c r="J62" s="37" t="s">
        <v>40</v>
      </c>
      <c r="K62" s="174">
        <v>6000</v>
      </c>
      <c r="L62" s="227" t="s">
        <v>75</v>
      </c>
      <c r="M62" s="36"/>
    </row>
    <row r="63" spans="1:13" ht="20.149999999999999" customHeight="1" thickTop="1" thickBot="1" x14ac:dyDescent="0.4">
      <c r="A63" s="51">
        <v>18</v>
      </c>
      <c r="B63" s="429" t="s">
        <v>362</v>
      </c>
      <c r="D63" s="68" t="s">
        <v>76</v>
      </c>
      <c r="I63" s="60"/>
      <c r="J63" s="37" t="s">
        <v>221</v>
      </c>
      <c r="K63" s="174">
        <v>0</v>
      </c>
      <c r="L63" s="227" t="s">
        <v>75</v>
      </c>
      <c r="M63" s="36"/>
    </row>
    <row r="64" spans="1:13" ht="20.149999999999999" customHeight="1" thickTop="1" thickBot="1" x14ac:dyDescent="0.35">
      <c r="B64" s="425" t="s">
        <v>363</v>
      </c>
      <c r="D64" s="68" t="s">
        <v>76</v>
      </c>
      <c r="I64" s="60"/>
      <c r="J64" s="37" t="s">
        <v>228</v>
      </c>
      <c r="K64" s="174">
        <v>2500</v>
      </c>
      <c r="L64" s="227" t="s">
        <v>75</v>
      </c>
      <c r="M64" s="36"/>
    </row>
    <row r="65" spans="1:13" ht="20.149999999999999" customHeight="1" thickTop="1" thickBot="1" x14ac:dyDescent="0.35">
      <c r="I65" s="60"/>
      <c r="J65" s="37" t="s">
        <v>224</v>
      </c>
      <c r="K65" s="174">
        <v>2000</v>
      </c>
      <c r="L65" s="227" t="s">
        <v>75</v>
      </c>
      <c r="M65" s="36"/>
    </row>
    <row r="66" spans="1:13" ht="20.149999999999999" customHeight="1" thickTop="1" thickBot="1" x14ac:dyDescent="0.45">
      <c r="A66" s="51">
        <v>19</v>
      </c>
      <c r="B66" s="430" t="s">
        <v>366</v>
      </c>
      <c r="I66" s="60"/>
      <c r="J66" s="37" t="s">
        <v>229</v>
      </c>
      <c r="K66" s="174">
        <v>5000</v>
      </c>
      <c r="L66" s="227" t="s">
        <v>75</v>
      </c>
      <c r="M66" s="36"/>
    </row>
    <row r="67" spans="1:13" ht="20.149999999999999" customHeight="1" thickTop="1" thickBot="1" x14ac:dyDescent="0.35">
      <c r="B67" s="428" t="s">
        <v>367</v>
      </c>
      <c r="D67" s="68" t="s">
        <v>76</v>
      </c>
      <c r="I67" s="60"/>
      <c r="J67" s="37" t="s">
        <v>216</v>
      </c>
      <c r="K67" s="174">
        <v>2500</v>
      </c>
      <c r="L67" s="227" t="s">
        <v>75</v>
      </c>
      <c r="M67" s="36"/>
    </row>
    <row r="68" spans="1:13" ht="20.149999999999999" customHeight="1" thickTop="1" x14ac:dyDescent="0.3">
      <c r="A68" s="1518" t="s">
        <v>432</v>
      </c>
      <c r="B68" s="1519"/>
      <c r="C68" s="1519"/>
      <c r="D68" s="1519"/>
      <c r="E68" s="1519"/>
      <c r="F68" s="1519"/>
      <c r="G68" s="1520"/>
      <c r="I68" s="60"/>
      <c r="J68" s="37" t="s">
        <v>266</v>
      </c>
      <c r="K68" s="174">
        <v>10</v>
      </c>
      <c r="L68" s="319">
        <v>5000</v>
      </c>
      <c r="M68" s="320" t="s">
        <v>279</v>
      </c>
    </row>
    <row r="69" spans="1:13" ht="20.149999999999999" customHeight="1" x14ac:dyDescent="0.3">
      <c r="A69" s="1521"/>
      <c r="B69" s="1522"/>
      <c r="C69" s="1522"/>
      <c r="D69" s="1522"/>
      <c r="E69" s="1522"/>
      <c r="F69" s="1522"/>
      <c r="G69" s="1523"/>
      <c r="I69" s="60"/>
      <c r="J69" s="37" t="s">
        <v>206</v>
      </c>
      <c r="K69" s="174">
        <v>0</v>
      </c>
      <c r="L69" s="227" t="s">
        <v>75</v>
      </c>
      <c r="M69" s="36"/>
    </row>
    <row r="70" spans="1:13" ht="20.149999999999999" customHeight="1" thickBot="1" x14ac:dyDescent="0.35">
      <c r="I70" s="60"/>
      <c r="J70" s="37" t="s">
        <v>267</v>
      </c>
      <c r="K70" s="174">
        <v>0</v>
      </c>
      <c r="L70" s="227" t="s">
        <v>75</v>
      </c>
      <c r="M70" s="36"/>
    </row>
    <row r="71" spans="1:13" ht="20.149999999999999" customHeight="1" thickTop="1" thickBot="1" x14ac:dyDescent="0.35">
      <c r="B71" s="428" t="s">
        <v>368</v>
      </c>
      <c r="D71" s="68" t="s">
        <v>111</v>
      </c>
      <c r="I71" s="60"/>
      <c r="J71" s="37" t="s">
        <v>205</v>
      </c>
      <c r="K71" s="174">
        <v>0</v>
      </c>
      <c r="L71" s="227" t="s">
        <v>75</v>
      </c>
      <c r="M71" s="36"/>
    </row>
    <row r="72" spans="1:13" ht="20.149999999999999" customHeight="1" thickTop="1" x14ac:dyDescent="0.3">
      <c r="A72" s="1518"/>
      <c r="B72" s="1519"/>
      <c r="C72" s="1519"/>
      <c r="D72" s="1519"/>
      <c r="E72" s="1519"/>
      <c r="F72" s="1519"/>
      <c r="G72" s="1520"/>
      <c r="I72" s="60"/>
      <c r="J72" s="37" t="s">
        <v>271</v>
      </c>
      <c r="K72" s="174">
        <v>0</v>
      </c>
      <c r="L72" s="227" t="s">
        <v>75</v>
      </c>
      <c r="M72" s="36"/>
    </row>
    <row r="73" spans="1:13" ht="20.149999999999999" customHeight="1" x14ac:dyDescent="0.3">
      <c r="A73" s="1521"/>
      <c r="B73" s="1522"/>
      <c r="C73" s="1522"/>
      <c r="D73" s="1522"/>
      <c r="E73" s="1522"/>
      <c r="F73" s="1522"/>
      <c r="G73" s="1523"/>
      <c r="I73" s="60"/>
      <c r="J73" s="37" t="s">
        <v>272</v>
      </c>
      <c r="K73" s="174">
        <v>0</v>
      </c>
      <c r="L73" s="227" t="s">
        <v>75</v>
      </c>
      <c r="M73" s="36"/>
    </row>
    <row r="74" spans="1:13" ht="20.149999999999999" customHeight="1" thickBot="1" x14ac:dyDescent="0.35">
      <c r="I74" s="60"/>
      <c r="J74" s="37" t="s">
        <v>207</v>
      </c>
      <c r="K74" s="174">
        <v>0</v>
      </c>
      <c r="L74" s="227" t="s">
        <v>75</v>
      </c>
      <c r="M74" s="36"/>
    </row>
    <row r="75" spans="1:13" ht="20.149999999999999" customHeight="1" thickTop="1" thickBot="1" x14ac:dyDescent="0.35">
      <c r="B75" s="428" t="s">
        <v>369</v>
      </c>
      <c r="D75" s="68" t="s">
        <v>111</v>
      </c>
      <c r="F75" s="427">
        <v>0.25</v>
      </c>
      <c r="I75" s="60"/>
      <c r="J75" s="37" t="s">
        <v>211</v>
      </c>
      <c r="K75" s="174">
        <v>0</v>
      </c>
      <c r="L75" s="227" t="s">
        <v>75</v>
      </c>
      <c r="M75" s="36"/>
    </row>
    <row r="76" spans="1:13" ht="20.149999999999999" customHeight="1" thickTop="1" thickBot="1" x14ac:dyDescent="0.35">
      <c r="B76" s="425" t="s">
        <v>363</v>
      </c>
      <c r="D76" s="68" t="str">
        <f>IF(OR('MC-Working'!H14="Yes",'MC-Working'!M12="Corporate"),"Yes","No")</f>
        <v>Yes</v>
      </c>
      <c r="I76" s="60"/>
      <c r="J76" s="547" t="s">
        <v>208</v>
      </c>
      <c r="K76" s="174">
        <v>3000</v>
      </c>
      <c r="L76" s="227" t="s">
        <v>75</v>
      </c>
      <c r="M76" s="36"/>
    </row>
    <row r="77" spans="1:13" ht="20.149999999999999" customHeight="1" thickTop="1" x14ac:dyDescent="0.3">
      <c r="I77" s="28">
        <v>22</v>
      </c>
      <c r="J77" s="55" t="s">
        <v>302</v>
      </c>
      <c r="K77" s="30"/>
      <c r="L77" s="30"/>
      <c r="M77" s="31"/>
    </row>
    <row r="78" spans="1:13" ht="20.149999999999999" customHeight="1" thickBot="1" x14ac:dyDescent="0.35">
      <c r="I78" s="64"/>
      <c r="J78" s="67" t="s">
        <v>312</v>
      </c>
      <c r="K78" s="356">
        <v>0.125</v>
      </c>
      <c r="L78" s="30" t="s">
        <v>303</v>
      </c>
      <c r="M78" s="31"/>
    </row>
    <row r="79" spans="1:13" ht="20.149999999999999" customHeight="1" thickTop="1" thickBot="1" x14ac:dyDescent="0.45">
      <c r="A79" s="51">
        <v>20</v>
      </c>
      <c r="B79" s="430" t="s">
        <v>393</v>
      </c>
      <c r="D79" s="68" t="s">
        <v>76</v>
      </c>
      <c r="I79" s="64"/>
      <c r="J79" s="67" t="s">
        <v>304</v>
      </c>
      <c r="K79" s="356">
        <v>0.25</v>
      </c>
      <c r="L79" s="30" t="s">
        <v>303</v>
      </c>
      <c r="M79" s="31"/>
    </row>
    <row r="80" spans="1:13" ht="20.149999999999999" customHeight="1" thickTop="1" thickBot="1" x14ac:dyDescent="0.35">
      <c r="I80" s="64"/>
      <c r="J80" s="67" t="s">
        <v>305</v>
      </c>
      <c r="K80" s="356">
        <v>0.375</v>
      </c>
      <c r="L80" s="30" t="s">
        <v>303</v>
      </c>
      <c r="M80" s="31"/>
    </row>
    <row r="81" spans="1:13" ht="20.149999999999999" customHeight="1" thickTop="1" thickBot="1" x14ac:dyDescent="0.4">
      <c r="A81" s="51">
        <v>24</v>
      </c>
      <c r="B81" s="536" t="s">
        <v>404</v>
      </c>
      <c r="D81" s="68" t="s">
        <v>111</v>
      </c>
      <c r="F81" s="68">
        <v>1000</v>
      </c>
      <c r="I81" s="64"/>
      <c r="J81" s="67" t="s">
        <v>298</v>
      </c>
      <c r="K81" s="356">
        <v>0.5</v>
      </c>
      <c r="L81" s="30" t="s">
        <v>67</v>
      </c>
      <c r="M81" s="31"/>
    </row>
    <row r="82" spans="1:13" ht="20.149999999999999" customHeight="1" thickTop="1" thickBot="1" x14ac:dyDescent="0.35">
      <c r="B82" s="545" t="s">
        <v>406</v>
      </c>
      <c r="I82" s="64"/>
      <c r="J82" s="67" t="s">
        <v>306</v>
      </c>
      <c r="K82" s="356">
        <v>0.625</v>
      </c>
      <c r="L82" s="30" t="s">
        <v>67</v>
      </c>
      <c r="M82" s="31"/>
    </row>
    <row r="83" spans="1:13" ht="20.149999999999999" customHeight="1" thickTop="1" thickBot="1" x14ac:dyDescent="0.35">
      <c r="B83" s="546" t="s">
        <v>219</v>
      </c>
      <c r="D83" s="68">
        <v>2500</v>
      </c>
      <c r="I83" s="64"/>
      <c r="J83" s="67" t="s">
        <v>301</v>
      </c>
      <c r="K83" s="356">
        <v>0.75</v>
      </c>
      <c r="L83" s="30" t="s">
        <v>67</v>
      </c>
      <c r="M83" s="31"/>
    </row>
    <row r="84" spans="1:13" ht="20.149999999999999" customHeight="1" thickTop="1" x14ac:dyDescent="0.3">
      <c r="I84" s="64"/>
      <c r="J84" s="67" t="s">
        <v>307</v>
      </c>
      <c r="K84" s="356">
        <v>0.75</v>
      </c>
      <c r="L84" s="30" t="s">
        <v>67</v>
      </c>
      <c r="M84" s="31"/>
    </row>
    <row r="85" spans="1:13" ht="20.149999999999999" customHeight="1" thickBot="1" x14ac:dyDescent="0.35">
      <c r="I85" s="64"/>
      <c r="J85" s="67" t="s">
        <v>308</v>
      </c>
      <c r="K85" s="356">
        <v>0.875</v>
      </c>
      <c r="L85" s="30" t="s">
        <v>303</v>
      </c>
      <c r="M85" s="31"/>
    </row>
    <row r="86" spans="1:13" ht="20.149999999999999" customHeight="1" thickTop="1" thickBot="1" x14ac:dyDescent="0.4">
      <c r="A86" s="51">
        <v>25</v>
      </c>
      <c r="B86" s="536" t="s">
        <v>409</v>
      </c>
      <c r="D86" s="554" t="s">
        <v>411</v>
      </c>
      <c r="E86" s="554"/>
      <c r="F86" s="554" t="s">
        <v>0</v>
      </c>
      <c r="I86" s="64"/>
      <c r="J86" s="67" t="s">
        <v>300</v>
      </c>
      <c r="K86" s="356">
        <v>0.875</v>
      </c>
      <c r="L86" s="30" t="s">
        <v>303</v>
      </c>
      <c r="M86" s="31"/>
    </row>
    <row r="87" spans="1:13" ht="20.149999999999999" customHeight="1" thickTop="1" x14ac:dyDescent="0.3">
      <c r="B87" s="552" t="s">
        <v>58</v>
      </c>
      <c r="D87" s="555">
        <f>IF(OR('MC-Working'!K14='MC-Working'!F109,'MC-Working'!K14='MC-Working'!F116),1,IF('MC-Working'!K14='MC-Working'!F101,0,IF('MC-Working'!K14='MC-Working'!F114,0,IF('MC-Working'!K14='MC-Working'!F99,Rates!D98,0))))</f>
        <v>0</v>
      </c>
      <c r="E87" s="556"/>
      <c r="F87" s="555">
        <f>IF('MC-Working'!K14='MC-Working'!F101,10,IF('MC-Working'!K14='MC-Working'!F114,10,IF('MC-Working'!K14='MC-Working'!F99,Rates!F98,15)))</f>
        <v>15</v>
      </c>
      <c r="I87" s="64"/>
      <c r="J87" s="67" t="s">
        <v>309</v>
      </c>
      <c r="K87" s="354">
        <v>1</v>
      </c>
      <c r="L87" s="30" t="s">
        <v>303</v>
      </c>
      <c r="M87" s="31"/>
    </row>
    <row r="88" spans="1:13" ht="20.149999999999999" customHeight="1" x14ac:dyDescent="0.3">
      <c r="B88" s="552" t="s">
        <v>410</v>
      </c>
      <c r="D88" s="555">
        <f>IF(OR('MC-Working'!K14='MC-Working'!F109,'MC-Working'!K14='MC-Working'!F116),0,IF('MC-Working'!K14='MC-Working'!F114,D92,IF(OR('MC-Working'!K14='MC-Working'!F104,'MC-Working'!K14='MC-Working'!F120),D104,0)))</f>
        <v>0</v>
      </c>
      <c r="E88" s="556"/>
      <c r="F88" s="555">
        <f>IF(OR('MC-Working'!K14='MC-Working'!F109,'MC-Working'!K14='MC-Working'!F116),15,IF('MC-Working'!K14='MC-Working'!F114,F92,IF(OR('MC-Working'!K14='MC-Working'!F104,'MC-Working'!K14='MC-Working'!F120),F104,15)))</f>
        <v>15</v>
      </c>
      <c r="I88" s="64"/>
      <c r="J88" s="67" t="s">
        <v>310</v>
      </c>
      <c r="K88" s="354">
        <v>1</v>
      </c>
      <c r="L88" s="30" t="s">
        <v>303</v>
      </c>
      <c r="M88" s="31"/>
    </row>
    <row r="89" spans="1:13" ht="20.149999999999999" customHeight="1" x14ac:dyDescent="0.3">
      <c r="I89" s="64"/>
      <c r="J89" s="67" t="s">
        <v>311</v>
      </c>
      <c r="K89" s="354">
        <v>1</v>
      </c>
      <c r="L89" s="30" t="s">
        <v>303</v>
      </c>
      <c r="M89" s="31"/>
    </row>
    <row r="90" spans="1:13" ht="20.149999999999999" customHeight="1" x14ac:dyDescent="0.3">
      <c r="B90" s="553"/>
      <c r="I90" s="64"/>
      <c r="J90" s="67" t="s">
        <v>299</v>
      </c>
      <c r="K90" s="354">
        <v>1</v>
      </c>
      <c r="L90" s="30" t="s">
        <v>303</v>
      </c>
      <c r="M90" s="31"/>
    </row>
    <row r="91" spans="1:13" ht="20.149999999999999" customHeight="1" x14ac:dyDescent="0.3">
      <c r="B91" s="566" t="s">
        <v>430</v>
      </c>
      <c r="C91" s="566"/>
      <c r="D91" s="567" t="s">
        <v>411</v>
      </c>
      <c r="E91" s="567"/>
      <c r="F91" s="567" t="s">
        <v>0</v>
      </c>
      <c r="I91" s="64"/>
      <c r="J91" s="67"/>
      <c r="K91" s="156"/>
      <c r="L91" s="30"/>
      <c r="M91" s="31"/>
    </row>
    <row r="92" spans="1:13" ht="20.149999999999999" customHeight="1" x14ac:dyDescent="0.3">
      <c r="B92" s="570" t="s">
        <v>431</v>
      </c>
      <c r="D92" s="555">
        <f>IF('MC-Working'!H9="Hiring",Rates!D95,Rates!F95)</f>
        <v>10</v>
      </c>
      <c r="E92" s="556"/>
      <c r="F92" s="555">
        <f>IF('MC-Working'!H9="Hiring",Rates!D96,Rates!F96)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39</v>
      </c>
      <c r="F94" s="1" t="s">
        <v>43</v>
      </c>
      <c r="I94" s="64"/>
      <c r="J94" s="67"/>
      <c r="K94" s="156"/>
      <c r="L94" s="30"/>
      <c r="M94" s="31"/>
    </row>
    <row r="95" spans="1:13" ht="20.149999999999999" customHeight="1" x14ac:dyDescent="0.25">
      <c r="B95" s="561" t="s">
        <v>411</v>
      </c>
      <c r="D95" s="1">
        <v>33.799999999999997</v>
      </c>
      <c r="F95" s="1">
        <v>10</v>
      </c>
    </row>
    <row r="96" spans="1:13" ht="20.149999999999999" customHeight="1" x14ac:dyDescent="0.25">
      <c r="B96" s="568" t="s">
        <v>0</v>
      </c>
      <c r="C96" s="19"/>
      <c r="D96" s="19">
        <v>65</v>
      </c>
      <c r="E96" s="19"/>
      <c r="F96" s="19">
        <v>38.32</v>
      </c>
    </row>
    <row r="97" spans="2:6" ht="20.149999999999999" customHeight="1" x14ac:dyDescent="0.3">
      <c r="B97" s="569" t="s">
        <v>434</v>
      </c>
      <c r="C97" s="566"/>
      <c r="D97" s="567" t="s">
        <v>411</v>
      </c>
      <c r="E97" s="567"/>
      <c r="F97" s="567" t="s">
        <v>0</v>
      </c>
    </row>
    <row r="98" spans="2:6" ht="20.149999999999999" customHeight="1" x14ac:dyDescent="0.3">
      <c r="B98" s="570" t="s">
        <v>433</v>
      </c>
      <c r="D98" s="555">
        <v>0</v>
      </c>
      <c r="E98" s="556"/>
      <c r="F98" s="555">
        <v>15</v>
      </c>
    </row>
    <row r="99" spans="2:6" ht="20.149999999999999" customHeight="1" x14ac:dyDescent="0.25">
      <c r="D99" s="572" t="s">
        <v>435</v>
      </c>
      <c r="F99" s="571" t="s">
        <v>436</v>
      </c>
    </row>
    <row r="100" spans="2:6" ht="20.149999999999999" customHeight="1" x14ac:dyDescent="0.25">
      <c r="B100" s="561" t="s">
        <v>441</v>
      </c>
      <c r="D100" s="1">
        <v>0</v>
      </c>
      <c r="F100" s="1">
        <v>0</v>
      </c>
    </row>
    <row r="101" spans="2:6" ht="20.149999999999999" customHeight="1" x14ac:dyDescent="0.25">
      <c r="B101" s="568" t="s">
        <v>442</v>
      </c>
      <c r="C101" s="19"/>
      <c r="D101" s="19">
        <v>15</v>
      </c>
      <c r="E101" s="19"/>
      <c r="F101" s="19">
        <v>15</v>
      </c>
    </row>
    <row r="102" spans="2:6" ht="20.149999999999999" customHeight="1" x14ac:dyDescent="0.25">
      <c r="B102" s="568"/>
      <c r="C102" s="19"/>
      <c r="D102" s="19"/>
      <c r="E102" s="19"/>
      <c r="F102" s="19"/>
    </row>
    <row r="103" spans="2:6" ht="23.25" customHeight="1" x14ac:dyDescent="0.3">
      <c r="B103" s="573" t="s">
        <v>439</v>
      </c>
      <c r="C103" s="566"/>
      <c r="D103" s="567" t="s">
        <v>411</v>
      </c>
      <c r="E103" s="567"/>
      <c r="F103" s="567" t="s">
        <v>0</v>
      </c>
    </row>
    <row r="104" spans="2:6" ht="20.149999999999999" customHeight="1" x14ac:dyDescent="0.3">
      <c r="B104" s="570" t="s">
        <v>431</v>
      </c>
      <c r="D104" s="555">
        <v>33</v>
      </c>
      <c r="E104" s="556"/>
      <c r="F104" s="555">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69"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3" customWidth="1"/>
    <col min="2" max="3" width="10.26953125" style="383" customWidth="1"/>
    <col min="4" max="4" width="1.7265625" style="383" customWidth="1"/>
    <col min="5" max="5" width="3.54296875" style="383" customWidth="1"/>
    <col min="6" max="6" width="10.1796875" style="383" customWidth="1"/>
    <col min="7" max="7" width="5.453125" style="383" customWidth="1"/>
    <col min="8" max="8" width="4.1796875" style="383" customWidth="1"/>
    <col min="9" max="9" width="3.7265625" style="383" customWidth="1"/>
    <col min="10" max="10" width="10.1796875" style="383" customWidth="1"/>
    <col min="11" max="11" width="6.54296875" style="383" customWidth="1"/>
    <col min="12" max="12" width="9.54296875" style="383" customWidth="1"/>
    <col min="13" max="13" width="2.26953125" style="383" customWidth="1"/>
    <col min="14" max="14" width="10.7265625" style="383" customWidth="1"/>
    <col min="15" max="15" width="13.54296875" style="383" customWidth="1"/>
    <col min="16" max="16" width="9.453125" style="383" bestFit="1" customWidth="1"/>
    <col min="17" max="19" width="9.1796875" style="383"/>
    <col min="20" max="20" width="11.453125" style="383" customWidth="1"/>
    <col min="21" max="21" width="10.453125" style="383" bestFit="1" customWidth="1"/>
    <col min="22" max="16384" width="9.1796875" style="383"/>
  </cols>
  <sheetData>
    <row r="1" spans="1:24" ht="20.149999999999999" customHeight="1" x14ac:dyDescent="0.3">
      <c r="A1" s="1552"/>
      <c r="B1" s="1553"/>
      <c r="C1" s="1553"/>
      <c r="D1" s="1553"/>
      <c r="E1" s="1553"/>
      <c r="F1" s="1553"/>
      <c r="G1" s="1553"/>
      <c r="H1" s="1553"/>
      <c r="I1" s="1553"/>
      <c r="J1" s="421"/>
      <c r="K1" s="421"/>
      <c r="L1" s="421"/>
      <c r="M1" s="422"/>
      <c r="R1" s="406" t="s">
        <v>323</v>
      </c>
      <c r="S1" s="406">
        <f>IF(O3&gt;DATE('MC-Working'!I4,2,28),K3,'MC-Working'!I4)</f>
        <v>2014</v>
      </c>
      <c r="T1" s="383">
        <f>IF(OR(S1=2008,S1=2012,S1=2016,S1=2020),366,365)</f>
        <v>365</v>
      </c>
      <c r="U1" s="423" t="s">
        <v>218</v>
      </c>
      <c r="V1" s="423" t="s">
        <v>324</v>
      </c>
      <c r="W1" s="396" t="s">
        <v>325</v>
      </c>
    </row>
    <row r="2" spans="1:24" ht="20.149999999999999" customHeight="1" thickBot="1" x14ac:dyDescent="0.3">
      <c r="A2" s="404"/>
      <c r="B2" s="405"/>
      <c r="C2" s="405"/>
      <c r="D2" s="405"/>
      <c r="E2" s="405"/>
      <c r="F2" s="405"/>
      <c r="G2" s="405"/>
      <c r="H2" s="406"/>
      <c r="I2" s="406"/>
      <c r="J2" s="406"/>
      <c r="K2" s="406"/>
      <c r="L2" s="406"/>
      <c r="M2" s="407"/>
      <c r="O2" s="396" t="s">
        <v>202</v>
      </c>
      <c r="P2" s="396" t="s">
        <v>201</v>
      </c>
      <c r="Q2" s="396"/>
      <c r="R2" s="383" t="s">
        <v>326</v>
      </c>
      <c r="S2" s="383">
        <f>IF(OR('MC-Working'!I4=2008,'MC-Working'!I4=2012,'MC-Working'!I4=2016,'MC-Working'!I4=2020),29,28)</f>
        <v>28</v>
      </c>
      <c r="T2" s="383">
        <f>IF(OR(K3=2008,K3=2012,K3=2016,K3=2020),29,28)</f>
        <v>28</v>
      </c>
      <c r="U2" s="396">
        <f>IF(AND('MC-Working'!G4=1,'MC-Working'!H4="January"),'MC-Working'!I4,'MC-Working'!I4+1)</f>
        <v>2014</v>
      </c>
      <c r="V2" s="383" t="str">
        <f>IF('MC-Working'!G4-1=0,V4,'MC-Working'!H4)</f>
        <v>August</v>
      </c>
      <c r="W2" s="383">
        <f>IF('MC-Working'!G4-1=0,W4,'MC-Working'!G4-1)</f>
        <v>23</v>
      </c>
    </row>
    <row r="3" spans="1:24" ht="15.75" customHeight="1" thickBot="1" x14ac:dyDescent="0.3">
      <c r="A3" s="404"/>
      <c r="B3" s="405"/>
      <c r="C3" s="405"/>
      <c r="D3" s="405"/>
      <c r="E3" s="405"/>
      <c r="F3" s="405"/>
      <c r="G3" s="405"/>
      <c r="H3" s="408" t="s">
        <v>327</v>
      </c>
      <c r="I3" s="409">
        <f>W2</f>
        <v>23</v>
      </c>
      <c r="J3" s="409" t="str">
        <f>V2</f>
        <v>August</v>
      </c>
      <c r="K3" s="409">
        <f>U2</f>
        <v>2014</v>
      </c>
      <c r="L3" s="406"/>
      <c r="M3" s="407"/>
      <c r="O3" s="397">
        <f>DATE('MC-Working'!I4,P3,'MC-Working'!G4)</f>
        <v>41510</v>
      </c>
      <c r="P3" s="383">
        <f>IF('MC-Working'!H4="January",1,IF('MC-Working'!H4="February",2,IF('MC-Working'!H4="March",3,IF('MC-Working'!H4="April",4,IF('MC-Working'!H4="May",5,IF('MC-Working'!H4="June",6,IF('MC-Working'!H4="July",7,IF('MC-Working'!H4="August",8,Q3))))))))</f>
        <v>8</v>
      </c>
      <c r="Q3" s="383">
        <f>IF('MC-Working'!H4="September",9,IF('MC-Working'!H4="October",10,IF('MC-Working'!H4="November",11,12)))</f>
        <v>12</v>
      </c>
      <c r="R3" s="383" t="s">
        <v>328</v>
      </c>
      <c r="S3" s="383">
        <f>IF(AND(P3=2,'MC-Working'!G4&gt;S2),0,IF(AND(P3=4,'MC-Working'!G4&gt;30),0,IF(AND(P3=6,'MC-Working'!G4&gt;30),0,IF(AND(P3=9,'MC-Working'!G4&gt;30),0,IF(AND(P3=11,'MC-Working'!G4&gt;30),0,1)))))</f>
        <v>1</v>
      </c>
    </row>
    <row r="4" spans="1:24" ht="15.75" customHeight="1" x14ac:dyDescent="0.25">
      <c r="A4" s="404"/>
      <c r="B4" s="405"/>
      <c r="C4" s="405"/>
      <c r="D4" s="405"/>
      <c r="E4" s="405"/>
      <c r="F4" s="405"/>
      <c r="G4" s="405"/>
      <c r="H4" s="406"/>
      <c r="I4" s="410"/>
      <c r="J4" s="410"/>
      <c r="K4" s="410"/>
      <c r="L4" s="410"/>
      <c r="M4" s="411"/>
      <c r="N4" s="398"/>
      <c r="O4" s="397">
        <f>DATE(K3,P4,I3)</f>
        <v>41874</v>
      </c>
      <c r="P4" s="383">
        <f>IF(J3="January",1,IF(J3="February",2,IF(J3="March",3,IF(J3="April",4,IF(J3="May",5,IF(J3="June",6,IF(J3="July",7,IF(J3="August",8,Q4))))))))</f>
        <v>8</v>
      </c>
      <c r="Q4" s="383">
        <f>IF(J3="September",9,IF(J3="October",10,IF(J3="November",11,12)))</f>
        <v>12</v>
      </c>
      <c r="R4" s="383" t="s">
        <v>328</v>
      </c>
      <c r="S4" s="383">
        <f>IF(AND(P4=2,I3&gt;S2),0,IF(AND(P4=4,I3&gt;30),0,IF(AND(P4=6,I3&gt;30),0,IF(AND(P4=9,I3&gt;30),0,IF(AND(P4=11,I3&gt;30),0,1)))))</f>
        <v>1</v>
      </c>
      <c r="T4" s="399" t="s">
        <v>329</v>
      </c>
      <c r="U4" s="383">
        <f>IF('MC-Working'!$H$4="January",31,IF('MC-Working'!$H$4="February",S2,IF('MC-Working'!$H$4="March",31,IF('MC-Working'!$H$4="April",30,IF('MC-Working'!$H$4="May",31,IF('MC-Working'!$H$4="June",30,IF('MC-Working'!$H$4="July",31,IF('MC-Working'!$H$4="August",31,U5))))))))</f>
        <v>31</v>
      </c>
      <c r="V4" s="383" t="str">
        <f>IF('MC-Working'!$H$4="January","December",IF('MC-Working'!$H$4="February","January",IF('MC-Working'!$H$4="March","February",IF('MC-Working'!$H$4="April","March",IF('MC-Working'!$H$4="May","April",IF('MC-Working'!$H$4="June","May",IF('MC-Working'!$H$4="July","June",IF('MC-Working'!$H$4="August","July",V5))))))))</f>
        <v>July</v>
      </c>
      <c r="W4" s="383">
        <f>IF(V4="January",31,IF(V4="February",T2,IF(V4="March",31,IF(V4="April",30,IF(V4="May",31,IF(V4="June",30,IF(V4="July",31,IF(V4="August",31,W5))))))))</f>
        <v>31</v>
      </c>
    </row>
    <row r="5" spans="1:24" ht="12.75" customHeight="1" thickBot="1" x14ac:dyDescent="0.3">
      <c r="A5" s="404"/>
      <c r="B5" s="405"/>
      <c r="C5" s="405"/>
      <c r="D5" s="405"/>
      <c r="E5" s="405"/>
      <c r="F5" s="405"/>
      <c r="G5" s="405"/>
      <c r="H5" s="412"/>
      <c r="I5" s="1556" t="str">
        <f>IF('MC-Working'!H3="Short period","Period Used (only for Short Period)","")</f>
        <v/>
      </c>
      <c r="J5" s="1556"/>
      <c r="K5" s="1556"/>
      <c r="L5" s="1556"/>
      <c r="M5" s="411"/>
      <c r="N5" s="400"/>
      <c r="O5" s="397"/>
      <c r="U5" s="383">
        <f>IF('MC-Working'!$H$4="September",30,IF('MC-Working'!$H$4="October",31,IF('MC-Working'!$H$4="November",30,31)))</f>
        <v>31</v>
      </c>
      <c r="V5" s="383" t="str">
        <f>IF('MC-Working'!$H$4="September","August",IF('MC-Working'!$H$4="October","September",IF('MC-Working'!$H$4="November","October","November")))</f>
        <v>November</v>
      </c>
      <c r="W5" s="383">
        <f>IF(V4="September",30,IF(V4="October",31,IF(V4="November",30,31)))</f>
        <v>31</v>
      </c>
    </row>
    <row r="6" spans="1:24" ht="13.5" customHeight="1" thickBot="1" x14ac:dyDescent="0.3">
      <c r="A6" s="404"/>
      <c r="B6" s="405"/>
      <c r="C6" s="405"/>
      <c r="D6" s="405"/>
      <c r="E6" s="405"/>
      <c r="F6" s="405"/>
      <c r="G6" s="405"/>
      <c r="H6" s="413"/>
      <c r="I6" s="155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58"/>
      <c r="K6" s="1558"/>
      <c r="L6" s="1559"/>
      <c r="M6" s="407"/>
      <c r="O6" s="397">
        <f>DATE('MC-Working'!I5,P6,'MC-Working'!G5)</f>
        <v>41606</v>
      </c>
      <c r="P6" s="383">
        <f>IF('MC-Working'!H5="January",1,IF('MC-Working'!H5="February",2,IF('MC-Working'!H5="March",3,IF('MC-Working'!H5="April",4,IF('MC-Working'!H5="May",5,IF('MC-Working'!H5="June",6,IF('MC-Working'!H5="July",7,IF('MC-Working'!H5="August",8,Q6))))))))</f>
        <v>11</v>
      </c>
      <c r="Q6" s="383">
        <f>IF('MC-Working'!H5="September",9,IF('MC-Working'!H5="October",10,IF('MC-Working'!H5="November",11,12)))</f>
        <v>11</v>
      </c>
      <c r="R6" s="383" t="s">
        <v>328</v>
      </c>
      <c r="S6" s="383">
        <f>IF(AND(P6=2,'MC-Working'!G5&gt;S2),0,IF(AND(P6=4,'MC-Working'!G5&gt;30),0,IF(AND(P6=6,'MC-Working'!G5&gt;30),0,IF(AND(P6=9,'MC-Working'!G5&gt;30),0,IF(AND(P6=11,'MC-Working'!G5&gt;30),0,1)))))</f>
        <v>1</v>
      </c>
    </row>
    <row r="7" spans="1:24" ht="15" customHeight="1" thickBot="1" x14ac:dyDescent="0.3">
      <c r="A7" s="404"/>
      <c r="B7" s="405"/>
      <c r="C7" s="405"/>
      <c r="D7" s="405"/>
      <c r="E7" s="405"/>
      <c r="F7" s="405"/>
      <c r="G7" s="405"/>
      <c r="H7" s="413"/>
      <c r="I7" s="406"/>
      <c r="J7" s="413"/>
      <c r="K7" s="406"/>
      <c r="L7" s="406"/>
      <c r="M7" s="407"/>
      <c r="O7" s="396" t="s">
        <v>331</v>
      </c>
    </row>
    <row r="8" spans="1:24" ht="16.5" customHeight="1" thickBot="1" x14ac:dyDescent="0.3">
      <c r="A8" s="404"/>
      <c r="B8" s="405"/>
      <c r="C8" s="405"/>
      <c r="D8" s="414"/>
      <c r="E8" s="414" t="s">
        <v>332</v>
      </c>
      <c r="F8" s="406"/>
      <c r="G8" s="413"/>
      <c r="H8" s="415">
        <f>T1-P8</f>
        <v>268</v>
      </c>
      <c r="I8" s="414" t="s">
        <v>333</v>
      </c>
      <c r="J8" s="413"/>
      <c r="K8" s="406"/>
      <c r="L8" s="406"/>
      <c r="M8" s="407"/>
      <c r="O8" s="401">
        <f>((O4-O3))*S3*S4</f>
        <v>364</v>
      </c>
      <c r="P8" s="401">
        <f>(O6-O3)+1</f>
        <v>97</v>
      </c>
    </row>
    <row r="9" spans="1:24" ht="14.25" customHeight="1" thickBot="1" x14ac:dyDescent="0.3">
      <c r="A9" s="404"/>
      <c r="B9" s="405"/>
      <c r="C9" s="405"/>
      <c r="D9" s="406"/>
      <c r="E9" s="414" t="s">
        <v>352</v>
      </c>
      <c r="F9" s="413"/>
      <c r="G9" s="413"/>
      <c r="H9" s="416">
        <f>P8</f>
        <v>97</v>
      </c>
      <c r="I9" s="414"/>
      <c r="J9" s="417">
        <f>IF('MC-Working'!H3="Short Period",Calculation!O12,Calculation!O14)*Calculation!S3*Calculation!S4*Calculation!S6*Calculation!N11</f>
        <v>0.26575342465753427</v>
      </c>
      <c r="K9" s="406"/>
      <c r="L9" s="406"/>
      <c r="M9" s="407"/>
      <c r="N9" s="402" t="s">
        <v>328</v>
      </c>
      <c r="O9" s="383">
        <f>IF(OR(O8&lt;1,O8&gt;90),0,1)</f>
        <v>0</v>
      </c>
      <c r="V9" s="396" t="s">
        <v>200</v>
      </c>
      <c r="W9" s="383" t="s">
        <v>201</v>
      </c>
      <c r="X9" s="383" t="s">
        <v>202</v>
      </c>
    </row>
    <row r="10" spans="1:24" ht="20.149999999999999" customHeight="1" x14ac:dyDescent="0.25">
      <c r="A10" s="404"/>
      <c r="B10" s="418"/>
      <c r="C10" s="418"/>
      <c r="D10" s="405"/>
      <c r="E10" s="405"/>
      <c r="F10" s="405"/>
      <c r="G10" s="405"/>
      <c r="H10" s="405"/>
      <c r="I10" s="405"/>
      <c r="J10" s="405"/>
      <c r="K10" s="406"/>
      <c r="L10" s="406"/>
      <c r="M10" s="407"/>
      <c r="T10" s="383" t="s">
        <v>334</v>
      </c>
      <c r="U10" s="397">
        <f>O3+6</f>
        <v>41516</v>
      </c>
    </row>
    <row r="11" spans="1:24" ht="15" customHeight="1" x14ac:dyDescent="0.25">
      <c r="A11" s="404"/>
      <c r="B11" s="405"/>
      <c r="C11" s="405"/>
      <c r="D11" s="405"/>
      <c r="E11" s="405"/>
      <c r="F11" s="405"/>
      <c r="G11" s="405"/>
      <c r="H11" s="405"/>
      <c r="I11" s="405"/>
      <c r="J11" s="405"/>
      <c r="K11" s="405"/>
      <c r="L11" s="405"/>
      <c r="M11" s="405"/>
      <c r="N11" s="383">
        <f>IF(OR(S6=0,OR(O6&lt;O3,O6&gt;=O4)),0,1)</f>
        <v>1</v>
      </c>
      <c r="O11" s="403"/>
      <c r="T11" s="383" t="s">
        <v>335</v>
      </c>
      <c r="U11" s="397">
        <f>DATE(YEAR($O$3),MONTH($O$3)+1,DAY($O$3))</f>
        <v>41541</v>
      </c>
      <c r="V11" s="383">
        <v>2008</v>
      </c>
      <c r="W11" s="396">
        <f>MONTH(O3)</f>
        <v>8</v>
      </c>
      <c r="X11" s="384">
        <f>IF('MC-Working'!G4-1=0,W2,'MC-Working'!G4-1)</f>
        <v>23</v>
      </c>
    </row>
    <row r="12" spans="1:24" ht="15" customHeight="1" x14ac:dyDescent="0.25">
      <c r="A12" s="404"/>
      <c r="B12" s="405"/>
      <c r="C12" s="405"/>
      <c r="D12" s="405"/>
      <c r="E12" s="405"/>
      <c r="F12" s="405"/>
      <c r="G12" s="405"/>
      <c r="H12" s="405"/>
      <c r="I12" s="405"/>
      <c r="J12" s="405"/>
      <c r="K12" s="405"/>
      <c r="L12" s="405"/>
      <c r="M12" s="405"/>
      <c r="N12" s="1562" t="s">
        <v>336</v>
      </c>
      <c r="O12" s="1560">
        <f>IF(I6="Not Exceeding 1 week",1/8,IF(I6="Not Exceeding 1 Month",1/4,IF(I6="Not Exceeding 2 Months",3/8,IF(I6="Not Exceeding 3 Months",1/2,IF(I6="Not Exceeding 4 Months",5/8,IF(I6="Not Exceeding 6 Months",3/4,IF(I6="Not Exceeding 8 Months",7/8,1)))))))</f>
        <v>0.625</v>
      </c>
      <c r="P12" s="383" t="s">
        <v>337</v>
      </c>
      <c r="Q12" s="384">
        <v>31</v>
      </c>
      <c r="T12" s="383" t="s">
        <v>338</v>
      </c>
      <c r="U12" s="397">
        <f>DATE(YEAR($O$3),MONTH($O$3)+2,DAY($O$3))</f>
        <v>41571</v>
      </c>
    </row>
    <row r="13" spans="1:24" ht="15" customHeight="1" x14ac:dyDescent="0.25">
      <c r="A13" s="404"/>
      <c r="B13" s="405"/>
      <c r="C13" s="405"/>
      <c r="D13" s="405"/>
      <c r="E13" s="405"/>
      <c r="F13" s="405"/>
      <c r="G13" s="405"/>
      <c r="H13" s="405"/>
      <c r="I13" s="405"/>
      <c r="J13" s="405"/>
      <c r="K13" s="405"/>
      <c r="L13" s="405"/>
      <c r="M13" s="405"/>
      <c r="N13" s="1562"/>
      <c r="O13" s="1560"/>
      <c r="P13" s="383" t="s">
        <v>326</v>
      </c>
      <c r="Q13" s="384">
        <f>S2</f>
        <v>28</v>
      </c>
      <c r="T13" s="383" t="s">
        <v>339</v>
      </c>
      <c r="U13" s="397">
        <f>DATE(YEAR($O$3),MONTH($O$3)+3,DAY($O$3))</f>
        <v>41602</v>
      </c>
    </row>
    <row r="14" spans="1:24" ht="15" customHeight="1" x14ac:dyDescent="0.25">
      <c r="A14" s="404"/>
      <c r="B14" s="405"/>
      <c r="C14" s="405"/>
      <c r="D14" s="405"/>
      <c r="E14" s="405"/>
      <c r="F14" s="405"/>
      <c r="G14" s="405"/>
      <c r="H14" s="405"/>
      <c r="I14" s="405"/>
      <c r="J14" s="405"/>
      <c r="K14" s="405"/>
      <c r="L14" s="405"/>
      <c r="M14" s="405"/>
      <c r="N14" s="1562" t="s">
        <v>340</v>
      </c>
      <c r="O14" s="1561">
        <f>P8/365</f>
        <v>0.26575342465753427</v>
      </c>
      <c r="P14" s="383" t="s">
        <v>318</v>
      </c>
      <c r="Q14" s="384">
        <v>31</v>
      </c>
      <c r="T14" s="383" t="s">
        <v>341</v>
      </c>
      <c r="U14" s="397">
        <f>DATE(YEAR($O$3),MONTH($O$3)+4,DAY($O$3))</f>
        <v>41632</v>
      </c>
    </row>
    <row r="15" spans="1:24" ht="15" customHeight="1" x14ac:dyDescent="0.25">
      <c r="A15" s="404"/>
      <c r="B15" s="405"/>
      <c r="C15" s="405"/>
      <c r="D15" s="405"/>
      <c r="E15" s="405"/>
      <c r="F15" s="405"/>
      <c r="G15" s="405"/>
      <c r="H15" s="405"/>
      <c r="I15" s="405"/>
      <c r="J15" s="405"/>
      <c r="K15" s="405"/>
      <c r="L15" s="405"/>
      <c r="M15" s="405"/>
      <c r="N15" s="1562"/>
      <c r="O15" s="1561"/>
      <c r="P15" s="383" t="s">
        <v>342</v>
      </c>
      <c r="Q15" s="384">
        <v>30</v>
      </c>
      <c r="T15" s="383" t="s">
        <v>343</v>
      </c>
      <c r="U15" s="397">
        <f>DATE(YEAR($O$3),MONTH($O$3)+6,DAY($O$3))</f>
        <v>41694</v>
      </c>
    </row>
    <row r="16" spans="1:24" ht="15" customHeight="1" x14ac:dyDescent="0.25">
      <c r="A16" s="404"/>
      <c r="B16" s="405"/>
      <c r="C16" s="405"/>
      <c r="D16" s="405"/>
      <c r="E16" s="405"/>
      <c r="F16" s="405"/>
      <c r="G16" s="405"/>
      <c r="H16" s="405"/>
      <c r="I16" s="405"/>
      <c r="J16" s="405"/>
      <c r="K16" s="405"/>
      <c r="L16" s="405"/>
      <c r="M16" s="405"/>
      <c r="O16" s="403"/>
      <c r="P16" s="383" t="s">
        <v>344</v>
      </c>
      <c r="Q16" s="384">
        <v>31</v>
      </c>
      <c r="T16" s="383" t="s">
        <v>345</v>
      </c>
      <c r="U16" s="397">
        <f>DATE(YEAR($O$3),MONTH($O$3)+8,DAY($O$3))</f>
        <v>41753</v>
      </c>
    </row>
    <row r="17" spans="1:21" ht="15" customHeight="1" x14ac:dyDescent="0.25">
      <c r="A17" s="404"/>
      <c r="B17" s="405"/>
      <c r="C17" s="405"/>
      <c r="D17" s="405"/>
      <c r="E17" s="405"/>
      <c r="F17" s="405"/>
      <c r="G17" s="405"/>
      <c r="H17" s="405"/>
      <c r="I17" s="405"/>
      <c r="J17" s="405"/>
      <c r="K17" s="405"/>
      <c r="L17" s="405"/>
      <c r="M17" s="405"/>
      <c r="O17" s="403"/>
      <c r="P17" s="383" t="s">
        <v>346</v>
      </c>
      <c r="Q17" s="384">
        <v>30</v>
      </c>
    </row>
    <row r="18" spans="1:21" ht="15" customHeight="1" x14ac:dyDescent="0.25">
      <c r="A18" s="404"/>
      <c r="B18" s="405"/>
      <c r="C18" s="405"/>
      <c r="D18" s="405"/>
      <c r="E18" s="405"/>
      <c r="F18" s="405"/>
      <c r="G18" s="405"/>
      <c r="H18" s="405"/>
      <c r="I18" s="405"/>
      <c r="J18" s="405"/>
      <c r="K18" s="405"/>
      <c r="L18" s="405"/>
      <c r="M18" s="405"/>
      <c r="N18" s="402"/>
      <c r="O18" s="403"/>
      <c r="P18" s="383" t="s">
        <v>330</v>
      </c>
      <c r="Q18" s="384">
        <v>31</v>
      </c>
      <c r="U18" s="383" t="str">
        <f>IF(AND(O6&gt;U16,O6&lt;=O4),"Exceeding 8 Months","Out of Period")</f>
        <v>Out of Period</v>
      </c>
    </row>
    <row r="19" spans="1:21" ht="15" customHeight="1" x14ac:dyDescent="0.25">
      <c r="A19" s="404"/>
      <c r="B19" s="405"/>
      <c r="C19" s="405"/>
      <c r="D19" s="405"/>
      <c r="E19" s="405"/>
      <c r="F19" s="405"/>
      <c r="G19" s="405"/>
      <c r="H19" s="405"/>
      <c r="I19" s="405"/>
      <c r="J19" s="405"/>
      <c r="K19" s="406"/>
      <c r="L19" s="406">
        <f>100-L18</f>
        <v>100</v>
      </c>
      <c r="M19" s="407"/>
      <c r="N19" s="402"/>
      <c r="O19" s="403"/>
      <c r="P19" s="383" t="s">
        <v>347</v>
      </c>
      <c r="Q19" s="384">
        <v>31</v>
      </c>
    </row>
    <row r="20" spans="1:21" ht="15" customHeight="1" x14ac:dyDescent="0.25">
      <c r="A20" s="404"/>
      <c r="B20" s="405"/>
      <c r="C20" s="405"/>
      <c r="D20" s="405"/>
      <c r="E20" s="405"/>
      <c r="F20" s="405"/>
      <c r="G20" s="405"/>
      <c r="H20" s="405"/>
      <c r="I20" s="405"/>
      <c r="J20" s="405"/>
      <c r="K20" s="406"/>
      <c r="L20" s="406"/>
      <c r="M20" s="407"/>
      <c r="O20" s="403"/>
      <c r="P20" s="383" t="s">
        <v>348</v>
      </c>
      <c r="Q20" s="384">
        <v>30</v>
      </c>
    </row>
    <row r="21" spans="1:21" ht="15" customHeight="1" x14ac:dyDescent="0.25">
      <c r="A21" s="404"/>
      <c r="B21" s="405"/>
      <c r="C21" s="405"/>
      <c r="D21" s="405"/>
      <c r="E21" s="405"/>
      <c r="F21" s="405"/>
      <c r="G21" s="405"/>
      <c r="H21" s="405"/>
      <c r="I21" s="405"/>
      <c r="J21" s="405"/>
      <c r="K21" s="406"/>
      <c r="L21" s="406"/>
      <c r="M21" s="407"/>
      <c r="O21" s="403"/>
      <c r="P21" s="383" t="s">
        <v>349</v>
      </c>
      <c r="Q21" s="384">
        <v>31</v>
      </c>
    </row>
    <row r="22" spans="1:21" ht="15" customHeight="1" x14ac:dyDescent="0.25">
      <c r="A22" s="404"/>
      <c r="B22" s="405"/>
      <c r="C22" s="405"/>
      <c r="D22" s="405"/>
      <c r="E22" s="405"/>
      <c r="F22" s="405"/>
      <c r="G22" s="405"/>
      <c r="H22" s="405"/>
      <c r="I22" s="405"/>
      <c r="J22" s="405"/>
      <c r="K22" s="406"/>
      <c r="L22" s="406"/>
      <c r="M22" s="407"/>
      <c r="P22" s="383" t="s">
        <v>350</v>
      </c>
      <c r="Q22" s="384">
        <v>30</v>
      </c>
    </row>
    <row r="23" spans="1:21" ht="15" customHeight="1" x14ac:dyDescent="0.25">
      <c r="A23" s="404"/>
      <c r="B23" s="405"/>
      <c r="C23" s="405"/>
      <c r="D23" s="405"/>
      <c r="E23" s="405"/>
      <c r="F23" s="405"/>
      <c r="G23" s="405"/>
      <c r="H23" s="405"/>
      <c r="I23" s="405"/>
      <c r="J23" s="405"/>
      <c r="K23" s="406"/>
      <c r="L23" s="406"/>
      <c r="M23" s="407"/>
      <c r="P23" s="383" t="s">
        <v>351</v>
      </c>
      <c r="Q23" s="384">
        <v>31</v>
      </c>
    </row>
    <row r="24" spans="1:21" ht="15" customHeight="1" x14ac:dyDescent="0.25">
      <c r="A24" s="404"/>
      <c r="B24" s="405"/>
      <c r="C24" s="405"/>
      <c r="D24" s="405"/>
      <c r="E24" s="405"/>
      <c r="F24" s="405"/>
      <c r="G24" s="405"/>
      <c r="H24" s="405"/>
      <c r="I24" s="405"/>
      <c r="J24" s="405"/>
      <c r="K24" s="412"/>
      <c r="L24" s="406"/>
      <c r="M24" s="407"/>
    </row>
    <row r="25" spans="1:21" ht="15" customHeight="1" x14ac:dyDescent="0.25">
      <c r="A25" s="404"/>
      <c r="B25" s="405"/>
      <c r="C25" s="405"/>
      <c r="D25" s="405"/>
      <c r="E25" s="405"/>
      <c r="F25" s="405"/>
      <c r="G25" s="405"/>
      <c r="H25" s="405"/>
      <c r="I25" s="405"/>
      <c r="J25" s="405"/>
      <c r="K25" s="412"/>
      <c r="L25" s="406"/>
      <c r="M25" s="407"/>
    </row>
    <row r="26" spans="1:21" ht="15" customHeight="1" x14ac:dyDescent="0.25">
      <c r="A26" s="404"/>
      <c r="B26" s="405"/>
      <c r="C26" s="405"/>
      <c r="D26" s="405"/>
      <c r="E26" s="405"/>
      <c r="F26" s="405"/>
      <c r="G26" s="405"/>
      <c r="H26" s="405"/>
      <c r="I26" s="405"/>
      <c r="J26" s="405"/>
      <c r="K26" s="406"/>
      <c r="L26" s="406"/>
      <c r="M26" s="407"/>
    </row>
    <row r="27" spans="1:21" ht="15" customHeight="1" x14ac:dyDescent="0.25">
      <c r="A27" s="404"/>
      <c r="B27" s="405"/>
      <c r="C27" s="405"/>
      <c r="D27" s="405"/>
      <c r="E27" s="405"/>
      <c r="F27" s="405"/>
      <c r="G27" s="405"/>
      <c r="H27" s="405"/>
      <c r="I27" s="405"/>
      <c r="J27" s="405"/>
      <c r="K27" s="406"/>
      <c r="L27" s="406"/>
      <c r="M27" s="407"/>
    </row>
    <row r="28" spans="1:21" ht="15" customHeight="1" x14ac:dyDescent="0.25">
      <c r="A28" s="404"/>
      <c r="B28" s="405"/>
      <c r="C28" s="405"/>
      <c r="D28" s="405"/>
      <c r="E28" s="405"/>
      <c r="F28" s="405"/>
      <c r="G28" s="405"/>
      <c r="H28" s="405"/>
      <c r="I28" s="405"/>
      <c r="J28" s="405"/>
      <c r="K28" s="406"/>
      <c r="L28" s="406"/>
      <c r="M28" s="407"/>
    </row>
    <row r="29" spans="1:21" ht="15" customHeight="1" x14ac:dyDescent="0.25">
      <c r="A29" s="404"/>
      <c r="B29" s="405"/>
      <c r="C29" s="405"/>
      <c r="D29" s="405"/>
      <c r="E29" s="405"/>
      <c r="F29" s="405"/>
      <c r="G29" s="405"/>
      <c r="H29" s="405"/>
      <c r="I29" s="405"/>
      <c r="J29" s="405"/>
      <c r="K29" s="406"/>
      <c r="L29" s="406"/>
      <c r="M29" s="407"/>
    </row>
    <row r="30" spans="1:21" ht="15" customHeight="1" x14ac:dyDescent="0.25">
      <c r="A30" s="404"/>
      <c r="B30" s="405"/>
      <c r="C30" s="405"/>
      <c r="D30" s="405"/>
      <c r="E30" s="405"/>
      <c r="F30" s="405"/>
      <c r="G30" s="405"/>
      <c r="H30" s="405"/>
      <c r="I30" s="405"/>
      <c r="J30" s="405"/>
      <c r="K30" s="406"/>
      <c r="L30" s="406"/>
      <c r="M30" s="407"/>
    </row>
    <row r="31" spans="1:21" ht="15" customHeight="1" x14ac:dyDescent="0.25">
      <c r="A31" s="404"/>
      <c r="B31" s="405"/>
      <c r="C31" s="405"/>
      <c r="D31" s="405"/>
      <c r="E31" s="405"/>
      <c r="F31" s="405"/>
      <c r="G31" s="405"/>
      <c r="H31" s="405"/>
      <c r="I31" s="405"/>
      <c r="J31" s="405"/>
      <c r="K31" s="406"/>
      <c r="L31" s="406"/>
      <c r="M31" s="407"/>
    </row>
    <row r="32" spans="1:21" ht="15" customHeight="1" x14ac:dyDescent="0.25">
      <c r="A32" s="404"/>
      <c r="B32" s="405"/>
      <c r="C32" s="405"/>
      <c r="D32" s="405"/>
      <c r="E32" s="405"/>
      <c r="F32" s="405"/>
      <c r="G32" s="405"/>
      <c r="H32" s="405"/>
      <c r="I32" s="405"/>
      <c r="J32" s="405"/>
      <c r="K32" s="406"/>
      <c r="L32" s="406"/>
      <c r="M32" s="407"/>
    </row>
    <row r="33" spans="1:13" ht="15" customHeight="1" x14ac:dyDescent="0.25">
      <c r="A33" s="404"/>
      <c r="B33" s="405"/>
      <c r="C33" s="405"/>
      <c r="D33" s="405"/>
      <c r="E33" s="405"/>
      <c r="F33" s="405"/>
      <c r="G33" s="405"/>
      <c r="H33" s="405"/>
      <c r="I33" s="405"/>
      <c r="J33" s="405"/>
      <c r="K33" s="406"/>
      <c r="L33" s="406"/>
      <c r="M33" s="407"/>
    </row>
    <row r="34" spans="1:13" ht="15" customHeight="1" x14ac:dyDescent="0.25">
      <c r="A34" s="404"/>
      <c r="B34" s="405"/>
      <c r="C34" s="405"/>
      <c r="D34" s="405"/>
      <c r="E34" s="405"/>
      <c r="F34" s="405"/>
      <c r="G34" s="405"/>
      <c r="H34" s="405"/>
      <c r="I34" s="405"/>
      <c r="J34" s="405"/>
      <c r="K34" s="406"/>
      <c r="L34" s="406"/>
      <c r="M34" s="407"/>
    </row>
    <row r="35" spans="1:13" ht="15" customHeight="1" x14ac:dyDescent="0.25">
      <c r="A35" s="404"/>
      <c r="B35" s="405"/>
      <c r="C35" s="405"/>
      <c r="D35" s="405"/>
      <c r="E35" s="405"/>
      <c r="F35" s="405"/>
      <c r="G35" s="405"/>
      <c r="H35" s="405"/>
      <c r="I35" s="405"/>
      <c r="J35" s="405"/>
      <c r="K35" s="406"/>
      <c r="L35" s="406"/>
      <c r="M35" s="407"/>
    </row>
    <row r="36" spans="1:13" ht="15" customHeight="1" x14ac:dyDescent="0.25">
      <c r="A36" s="404"/>
      <c r="B36" s="405"/>
      <c r="C36" s="405"/>
      <c r="D36" s="405"/>
      <c r="E36" s="405"/>
      <c r="F36" s="405"/>
      <c r="G36" s="405"/>
      <c r="H36" s="405"/>
      <c r="I36" s="405"/>
      <c r="J36" s="405"/>
      <c r="K36" s="406"/>
      <c r="L36" s="406"/>
      <c r="M36" s="407"/>
    </row>
    <row r="37" spans="1:13" ht="15" customHeight="1" x14ac:dyDescent="0.25">
      <c r="A37" s="404"/>
      <c r="B37" s="405"/>
      <c r="C37" s="405"/>
      <c r="D37" s="405"/>
      <c r="E37" s="405"/>
      <c r="F37" s="405"/>
      <c r="G37" s="405"/>
      <c r="H37" s="405"/>
      <c r="I37" s="405"/>
      <c r="J37" s="405"/>
      <c r="K37" s="406"/>
      <c r="L37" s="406"/>
      <c r="M37" s="407"/>
    </row>
    <row r="38" spans="1:13" ht="15" customHeight="1" x14ac:dyDescent="0.25">
      <c r="A38" s="404"/>
      <c r="B38" s="405"/>
      <c r="C38" s="405"/>
      <c r="D38" s="405"/>
      <c r="E38" s="405"/>
      <c r="F38" s="405"/>
      <c r="G38" s="405"/>
      <c r="H38" s="405"/>
      <c r="I38" s="405"/>
      <c r="J38" s="405"/>
      <c r="K38" s="406"/>
      <c r="L38" s="406"/>
      <c r="M38" s="407"/>
    </row>
    <row r="39" spans="1:13" ht="15" customHeight="1" x14ac:dyDescent="0.25">
      <c r="A39" s="404"/>
      <c r="B39" s="405"/>
      <c r="C39" s="405"/>
      <c r="D39" s="405"/>
      <c r="E39" s="405"/>
      <c r="F39" s="405"/>
      <c r="G39" s="405"/>
      <c r="H39" s="405"/>
      <c r="I39" s="405"/>
      <c r="J39" s="405"/>
      <c r="K39" s="414"/>
      <c r="L39" s="1554"/>
      <c r="M39" s="1555"/>
    </row>
    <row r="40" spans="1:13" ht="20.25" customHeight="1" x14ac:dyDescent="0.25">
      <c r="A40" s="404"/>
      <c r="B40" s="405"/>
      <c r="C40" s="405"/>
      <c r="D40" s="405"/>
      <c r="E40" s="405"/>
      <c r="F40" s="405"/>
      <c r="G40" s="405"/>
      <c r="H40" s="405"/>
      <c r="I40" s="405"/>
      <c r="J40" s="405"/>
      <c r="K40" s="1566"/>
      <c r="L40" s="1566"/>
      <c r="M40" s="1567"/>
    </row>
    <row r="41" spans="1:13" ht="15" customHeight="1" x14ac:dyDescent="0.25">
      <c r="A41" s="404"/>
      <c r="B41" s="405"/>
      <c r="C41" s="405"/>
      <c r="D41" s="405"/>
      <c r="E41" s="405"/>
      <c r="F41" s="405"/>
      <c r="G41" s="405"/>
      <c r="H41" s="405"/>
      <c r="I41" s="405"/>
      <c r="J41" s="405"/>
      <c r="K41" s="1568"/>
      <c r="L41" s="1568"/>
      <c r="M41" s="1569"/>
    </row>
    <row r="42" spans="1:13" ht="15" customHeight="1" x14ac:dyDescent="0.25">
      <c r="A42" s="404"/>
      <c r="B42" s="405"/>
      <c r="C42" s="405"/>
      <c r="D42" s="405"/>
      <c r="E42" s="405"/>
      <c r="F42" s="405"/>
      <c r="G42" s="405"/>
      <c r="H42" s="405"/>
      <c r="I42" s="405"/>
      <c r="J42" s="405"/>
      <c r="K42" s="1570"/>
      <c r="L42" s="1570"/>
      <c r="M42" s="1571"/>
    </row>
    <row r="43" spans="1:13" ht="20.149999999999999" customHeight="1" x14ac:dyDescent="0.25">
      <c r="A43" s="419"/>
      <c r="B43" s="420"/>
      <c r="C43" s="420"/>
      <c r="D43" s="420"/>
      <c r="E43" s="420"/>
      <c r="F43" s="420"/>
      <c r="G43" s="420"/>
      <c r="H43" s="420"/>
      <c r="I43" s="420"/>
      <c r="J43" s="420"/>
      <c r="K43" s="1563"/>
      <c r="L43" s="1564"/>
      <c r="M43" s="1565"/>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68" priority="1" stopIfTrue="1" operator="greaterThan">
      <formula>T1</formula>
    </cfRule>
    <cfRule type="cellIs" dxfId="367" priority="2" stopIfTrue="1" operator="lessThan">
      <formula>0</formula>
    </cfRule>
  </conditionalFormatting>
  <conditionalFormatting sqref="H9">
    <cfRule type="cellIs" dxfId="366" priority="3" stopIfTrue="1" operator="greaterThan">
      <formula>T1</formula>
    </cfRule>
    <cfRule type="cellIs" dxfId="365" priority="4" stopIfTrue="1" operator="lessThan">
      <formula>0</formula>
    </cfRule>
  </conditionalFormatting>
  <conditionalFormatting sqref="I6:L6">
    <cfRule type="expression" dxfId="364"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C1" workbookViewId="0">
      <selection activeCell="IT5" sqref="IT5"/>
    </sheetView>
  </sheetViews>
  <sheetFormatPr defaultColWidth="9.1796875" defaultRowHeight="25" customHeight="1" x14ac:dyDescent="0.25"/>
  <cols>
    <col min="1" max="1" width="13.453125" style="726" customWidth="1"/>
    <col min="2" max="2" width="9.1796875" style="726"/>
    <col min="3" max="3" width="6.1796875" style="726" customWidth="1"/>
    <col min="4" max="4" width="11.26953125" style="726" customWidth="1"/>
    <col min="5" max="5" width="5" style="726" customWidth="1"/>
    <col min="6" max="6" width="5.7265625" style="726" customWidth="1"/>
    <col min="7" max="7" width="23.1796875" style="726" customWidth="1"/>
    <col min="8" max="8" width="9.1796875" style="726"/>
    <col min="9" max="9" width="10.453125" style="726" customWidth="1"/>
    <col min="10" max="10" width="41.1796875" style="726" customWidth="1"/>
    <col min="11" max="12" width="9.1796875" style="726"/>
    <col min="13" max="13" width="1.81640625" style="726" customWidth="1"/>
    <col min="14" max="14" width="17.453125" style="726" customWidth="1"/>
    <col min="15" max="15" width="20.7265625" style="726" customWidth="1"/>
    <col min="16" max="16384" width="9.1796875" style="726"/>
  </cols>
  <sheetData>
    <row r="1" spans="1:254" ht="25" customHeight="1" thickBot="1" x14ac:dyDescent="0.35">
      <c r="A1" s="1572" t="s">
        <v>214</v>
      </c>
      <c r="B1" s="1573"/>
      <c r="C1" s="1573"/>
      <c r="D1" s="1574"/>
      <c r="E1" s="725"/>
    </row>
    <row r="2" spans="1:254" ht="14.25" customHeight="1" x14ac:dyDescent="0.25"/>
    <row r="3" spans="1:254" ht="20.25" customHeight="1" x14ac:dyDescent="0.3">
      <c r="A3" s="727"/>
      <c r="G3" s="728">
        <f>IF(IS5="January",1,IF(IS5="February",2,IF(IS5="March",3,IF(IS5="April",4,IF(IS5="May",5,IF(IS5="June",6,IF(IS5="July",7,IF(IS5="August",8,H3))))))))</f>
        <v>5</v>
      </c>
      <c r="H3" s="728">
        <f>IF(IS5="September",9,IF(IS5="October",10,IF(IS5="November",11,12)))</f>
        <v>12</v>
      </c>
      <c r="I3" s="729">
        <f>DATE(IR5,G3,IT5)</f>
        <v>45413</v>
      </c>
      <c r="J3" s="728">
        <f>IF(M3=0,29,28)</f>
        <v>29</v>
      </c>
      <c r="K3" s="730">
        <f>YEAR(I3)/4</f>
        <v>506</v>
      </c>
      <c r="L3" s="730">
        <f>ROUND(K3,0)</f>
        <v>506</v>
      </c>
      <c r="M3" s="728">
        <f>K3-L3</f>
        <v>0</v>
      </c>
      <c r="N3" s="731" t="s">
        <v>231</v>
      </c>
      <c r="Q3" s="732" t="s">
        <v>202</v>
      </c>
    </row>
    <row r="4" spans="1:254" ht="25" customHeight="1" thickBot="1" x14ac:dyDescent="0.35">
      <c r="A4" s="733"/>
      <c r="G4" s="734"/>
      <c r="H4" s="734"/>
      <c r="I4" s="735"/>
      <c r="J4" s="735"/>
      <c r="K4" s="735"/>
      <c r="L4" s="725"/>
      <c r="M4" s="725"/>
      <c r="N4" s="736" t="s">
        <v>232</v>
      </c>
      <c r="O4" s="737" t="s">
        <v>173</v>
      </c>
      <c r="Q4" s="726">
        <v>1</v>
      </c>
      <c r="IR4" s="738" t="s">
        <v>200</v>
      </c>
      <c r="IS4" s="738" t="s">
        <v>201</v>
      </c>
      <c r="IT4" s="738" t="s">
        <v>202</v>
      </c>
    </row>
    <row r="5" spans="1:254" ht="25" customHeight="1" thickBot="1" x14ac:dyDescent="0.35">
      <c r="A5" s="727" t="s">
        <v>203</v>
      </c>
      <c r="C5" s="1575" t="str">
        <f>H5</f>
        <v/>
      </c>
      <c r="D5" s="1576"/>
      <c r="E5" s="1577"/>
      <c r="G5" s="734"/>
      <c r="H5" s="734" t="str">
        <f>IF('TW-Working'!$H$65531=N4,O4,IF('TW-Working'!$H$65531=N5,O5,IF('TW-Working'!$H$65531=N6,O6,IF('TW-Working'!$H$65531=N7,O7,IF('TW-Working'!$H$65531=N8,O8,IF('TW-Working'!$H$65531=N9,O9,IF('TW-Working'!$H$65531=N10,O10,IF('TW-Working'!$H$65531=N11,O11,I5))))))))</f>
        <v/>
      </c>
      <c r="I5" s="734" t="str">
        <f>IF('TW-Working'!$H$65531=N12,O12,IF('TW-Working'!$H$65531=N13,O13,IF('TW-Working'!$H$65531=N14,O14,IF('TW-Working'!$H$65531=N15,O15,IF('TW-Working'!$H$65531=N16,O16,IF('TW-Working'!$H$65531=N17,O17,IF('TW-Working'!$H$65531=N18,O18,IF('TW-Working'!$H$65531=N19,O19,J5))))))))</f>
        <v/>
      </c>
      <c r="J5" s="734" t="str">
        <f>IF('TW-Working'!$H$65531=N20,O20,IF('TW-Working'!$H$65531=N21,O21,IF('TW-Working'!$H$65531=N22,O22,IF('TW-Working'!$H$65531=N23,O23,IF('TW-Working'!$H$65531=N24,O24,IF('TW-Working'!$H$65531=N25,O25,IF('TW-Working'!$H$65531=N26,O26,IF('TW-Working'!$H$65531=N27,O27,K5))))))))</f>
        <v/>
      </c>
      <c r="K5" s="734" t="str">
        <f>IF('TW-Working'!$H$65531=N28,O28,IF('TW-Working'!$H$65531=N29,O29,IF('TW-Working'!$H$65531=N30,O30,IF('TW-Working'!$H$65531=N31,O31,""))))</f>
        <v/>
      </c>
      <c r="N5" s="736" t="s">
        <v>233</v>
      </c>
      <c r="O5" s="737" t="s">
        <v>174</v>
      </c>
      <c r="Q5" s="726">
        <f>Q4+1</f>
        <v>2</v>
      </c>
      <c r="IR5" s="739">
        <v>2024</v>
      </c>
      <c r="IS5" s="739" t="s">
        <v>344</v>
      </c>
      <c r="IT5" s="739">
        <v>1</v>
      </c>
    </row>
    <row r="6" spans="1:254" ht="25" customHeight="1" thickBot="1" x14ac:dyDescent="0.3">
      <c r="G6" s="734"/>
      <c r="H6" s="734"/>
      <c r="I6" s="734"/>
      <c r="J6" s="740" t="s">
        <v>414</v>
      </c>
      <c r="K6" s="734"/>
      <c r="N6" s="736" t="s">
        <v>237</v>
      </c>
      <c r="O6" s="737" t="s">
        <v>175</v>
      </c>
      <c r="Q6" s="726">
        <f t="shared" ref="Q6:Q31" si="0">Q5+1</f>
        <v>3</v>
      </c>
    </row>
    <row r="7" spans="1:254" ht="25" customHeight="1" thickBot="1" x14ac:dyDescent="0.35">
      <c r="A7" s="727" t="s">
        <v>204</v>
      </c>
      <c r="C7" s="726" t="s">
        <v>171</v>
      </c>
      <c r="F7" s="741" t="s">
        <v>76</v>
      </c>
      <c r="G7" s="734" t="str">
        <f t="shared" ref="G7:G17" si="1">IF(F7="Yes",C7,"")</f>
        <v>Motor Car</v>
      </c>
      <c r="H7" s="734">
        <f>IF(F7="Yes",1,0)</f>
        <v>1</v>
      </c>
      <c r="I7" s="734" t="str">
        <f>IF(H7=1,C7,IF(H8=1,C8,IF(H9=1,C9,IF(H10=1,C10,IF(H11=1,C16,IF(H12=1,C11,IF(I5=1,C12,IF(H14=1,C13,J15))))))))</f>
        <v>Motor Car</v>
      </c>
      <c r="J7" s="740" t="s">
        <v>378</v>
      </c>
      <c r="K7" s="734"/>
      <c r="N7" s="736" t="s">
        <v>235</v>
      </c>
      <c r="O7" s="737" t="s">
        <v>176</v>
      </c>
      <c r="Q7" s="726">
        <f t="shared" si="0"/>
        <v>4</v>
      </c>
      <c r="IR7" s="1578">
        <f>I3</f>
        <v>45413</v>
      </c>
      <c r="IS7" s="1578"/>
      <c r="IT7" s="1578"/>
    </row>
    <row r="8" spans="1:254" ht="17.149999999999999" customHeight="1" thickBot="1" x14ac:dyDescent="0.3">
      <c r="C8" s="726" t="s">
        <v>205</v>
      </c>
      <c r="F8" s="741" t="s">
        <v>76</v>
      </c>
      <c r="G8" s="734" t="str">
        <f t="shared" si="1"/>
        <v>Jeep</v>
      </c>
      <c r="H8" s="734">
        <f>IF(F8="Yes",1,0)</f>
        <v>1</v>
      </c>
      <c r="I8" s="734"/>
      <c r="J8" s="740" t="s">
        <v>379</v>
      </c>
      <c r="K8" s="734"/>
      <c r="N8" s="736" t="s">
        <v>236</v>
      </c>
      <c r="O8" s="737" t="s">
        <v>177</v>
      </c>
      <c r="Q8" s="726">
        <f t="shared" si="0"/>
        <v>5</v>
      </c>
    </row>
    <row r="9" spans="1:254" ht="17.149999999999999" customHeight="1" thickBot="1" x14ac:dyDescent="0.3">
      <c r="C9" s="726" t="s">
        <v>206</v>
      </c>
      <c r="F9" s="741" t="s">
        <v>76</v>
      </c>
      <c r="G9" s="734" t="str">
        <f t="shared" si="1"/>
        <v>Dual Purpose</v>
      </c>
      <c r="H9" s="734">
        <f>IF(F9="Yes",1,0)</f>
        <v>1</v>
      </c>
      <c r="I9" s="734"/>
      <c r="J9" s="740" t="s">
        <v>386</v>
      </c>
      <c r="K9" s="734"/>
      <c r="N9" s="736" t="s">
        <v>234</v>
      </c>
      <c r="O9" s="737" t="s">
        <v>178</v>
      </c>
      <c r="Q9" s="726">
        <f t="shared" si="0"/>
        <v>6</v>
      </c>
    </row>
    <row r="10" spans="1:254" ht="17.149999999999999" customHeight="1" thickBot="1" x14ac:dyDescent="0.3">
      <c r="C10" s="726" t="s">
        <v>207</v>
      </c>
      <c r="F10" s="741" t="s">
        <v>76</v>
      </c>
      <c r="G10" s="734" t="str">
        <f t="shared" si="1"/>
        <v>Motor Coach</v>
      </c>
      <c r="H10" s="734">
        <f>IF(F10="Yes",1,0)</f>
        <v>1</v>
      </c>
      <c r="I10" s="734"/>
      <c r="J10" s="740" t="s">
        <v>424</v>
      </c>
      <c r="K10" s="734"/>
      <c r="N10" s="736" t="s">
        <v>257</v>
      </c>
      <c r="O10" s="737" t="s">
        <v>179</v>
      </c>
      <c r="Q10" s="726">
        <f t="shared" si="0"/>
        <v>7</v>
      </c>
    </row>
    <row r="11" spans="1:254" ht="17.149999999999999" customHeight="1" thickBot="1" x14ac:dyDescent="0.3">
      <c r="C11" s="726" t="s">
        <v>355</v>
      </c>
      <c r="F11" s="741" t="s">
        <v>76</v>
      </c>
      <c r="G11" s="734" t="str">
        <f t="shared" si="1"/>
        <v>Motor Lorry</v>
      </c>
      <c r="H11" s="734">
        <f>IF(F16="Yes",1,0)</f>
        <v>1</v>
      </c>
      <c r="I11" s="734"/>
      <c r="J11" s="740" t="s">
        <v>428</v>
      </c>
      <c r="K11" s="734"/>
      <c r="N11" s="736" t="s">
        <v>238</v>
      </c>
      <c r="O11" s="737" t="s">
        <v>180</v>
      </c>
      <c r="Q11" s="726">
        <f t="shared" si="0"/>
        <v>8</v>
      </c>
    </row>
    <row r="12" spans="1:254" ht="17.149999999999999" customHeight="1" thickBot="1" x14ac:dyDescent="0.3">
      <c r="C12" s="726" t="s">
        <v>208</v>
      </c>
      <c r="F12" s="741" t="s">
        <v>76</v>
      </c>
      <c r="G12" s="734" t="str">
        <f t="shared" si="1"/>
        <v>Three Wheeler</v>
      </c>
      <c r="H12" s="734">
        <f>IF(F11="Yes",1,0)</f>
        <v>1</v>
      </c>
      <c r="I12" s="734"/>
      <c r="J12" s="740" t="s">
        <v>380</v>
      </c>
      <c r="K12" s="734"/>
      <c r="N12" s="736" t="s">
        <v>239</v>
      </c>
      <c r="O12" s="737" t="s">
        <v>181</v>
      </c>
      <c r="Q12" s="726">
        <f t="shared" si="0"/>
        <v>9</v>
      </c>
    </row>
    <row r="13" spans="1:254" ht="17.149999999999999" customHeight="1" thickBot="1" x14ac:dyDescent="0.3">
      <c r="C13" s="726" t="s">
        <v>210</v>
      </c>
      <c r="F13" s="741" t="s">
        <v>76</v>
      </c>
      <c r="G13" s="734" t="str">
        <f t="shared" si="1"/>
        <v>Motor Cycle (Chinese)</v>
      </c>
      <c r="H13" s="734">
        <f>IF(F12="Yes",1,0)</f>
        <v>1</v>
      </c>
      <c r="I13" s="734"/>
      <c r="J13" s="740" t="s">
        <v>413</v>
      </c>
      <c r="K13" s="734"/>
      <c r="N13" s="736" t="s">
        <v>258</v>
      </c>
      <c r="O13" s="737" t="s">
        <v>182</v>
      </c>
      <c r="Q13" s="726">
        <f t="shared" si="0"/>
        <v>10</v>
      </c>
    </row>
    <row r="14" spans="1:254" ht="17.149999999999999" customHeight="1" thickBot="1" x14ac:dyDescent="0.3">
      <c r="C14" s="726" t="s">
        <v>357</v>
      </c>
      <c r="F14" s="741" t="s">
        <v>76</v>
      </c>
      <c r="G14" s="734" t="str">
        <f t="shared" si="1"/>
        <v>Motor Cycle</v>
      </c>
      <c r="H14" s="734">
        <f>IF(F13="Yes",1,0)</f>
        <v>1</v>
      </c>
      <c r="I14" s="734"/>
      <c r="J14" s="740" t="s">
        <v>437</v>
      </c>
      <c r="K14" s="734"/>
      <c r="N14" s="736" t="s">
        <v>259</v>
      </c>
      <c r="O14" s="737" t="s">
        <v>183</v>
      </c>
      <c r="Q14" s="726">
        <f t="shared" si="0"/>
        <v>11</v>
      </c>
    </row>
    <row r="15" spans="1:254" ht="17.149999999999999" customHeight="1" thickBot="1" x14ac:dyDescent="0.3">
      <c r="C15" s="726" t="s">
        <v>211</v>
      </c>
      <c r="F15" s="741" t="s">
        <v>76</v>
      </c>
      <c r="G15" s="734" t="str">
        <f t="shared" si="1"/>
        <v>Tractor</v>
      </c>
      <c r="H15" s="734">
        <f>IF(F14="Yes",1,0)</f>
        <v>1</v>
      </c>
      <c r="I15" s="734"/>
      <c r="J15" s="740" t="s">
        <v>417</v>
      </c>
      <c r="K15" s="734"/>
      <c r="N15" s="736" t="s">
        <v>240</v>
      </c>
      <c r="O15" s="737" t="s">
        <v>184</v>
      </c>
      <c r="Q15" s="726">
        <f t="shared" si="0"/>
        <v>12</v>
      </c>
    </row>
    <row r="16" spans="1:254" ht="17.149999999999999" customHeight="1" thickBot="1" x14ac:dyDescent="0.3">
      <c r="C16" s="726" t="s">
        <v>209</v>
      </c>
      <c r="F16" s="741" t="s">
        <v>76</v>
      </c>
      <c r="G16" s="734" t="str">
        <f t="shared" si="1"/>
        <v>Motor Lorry (Chinese)</v>
      </c>
      <c r="H16" s="734">
        <f>IF(F15="Yes",1,0)</f>
        <v>1</v>
      </c>
      <c r="I16" s="734"/>
      <c r="J16" s="740" t="s">
        <v>421</v>
      </c>
      <c r="K16" s="734"/>
      <c r="N16" s="736" t="s">
        <v>241</v>
      </c>
      <c r="O16" s="737" t="s">
        <v>185</v>
      </c>
      <c r="Q16" s="726">
        <f t="shared" si="0"/>
        <v>13</v>
      </c>
    </row>
    <row r="17" spans="1:17" ht="17.149999999999999" customHeight="1" thickBot="1" x14ac:dyDescent="0.3">
      <c r="C17" s="726" t="s">
        <v>212</v>
      </c>
      <c r="F17" s="741" t="s">
        <v>76</v>
      </c>
      <c r="G17" s="734" t="str">
        <f t="shared" si="1"/>
        <v>Others</v>
      </c>
      <c r="H17" s="734">
        <f>IF(F17="Yes",1,0)</f>
        <v>1</v>
      </c>
      <c r="I17" s="742"/>
      <c r="J17" s="740" t="s">
        <v>387</v>
      </c>
      <c r="K17" s="734"/>
      <c r="N17" s="736" t="s">
        <v>242</v>
      </c>
      <c r="O17" s="737" t="s">
        <v>186</v>
      </c>
      <c r="Q17" s="726">
        <f t="shared" si="0"/>
        <v>14</v>
      </c>
    </row>
    <row r="18" spans="1:17" ht="17.149999999999999" customHeight="1" x14ac:dyDescent="0.25">
      <c r="H18" s="734"/>
      <c r="I18" s="742"/>
      <c r="J18" s="740" t="s">
        <v>382</v>
      </c>
      <c r="K18" s="734"/>
      <c r="N18" s="736" t="s">
        <v>243</v>
      </c>
      <c r="O18" s="737" t="s">
        <v>187</v>
      </c>
      <c r="Q18" s="726">
        <f t="shared" si="0"/>
        <v>15</v>
      </c>
    </row>
    <row r="19" spans="1:17" ht="17.149999999999999" customHeight="1" thickBot="1" x14ac:dyDescent="0.3">
      <c r="G19" s="734"/>
      <c r="H19" s="734"/>
      <c r="I19" s="734"/>
      <c r="J19" s="740" t="s">
        <v>383</v>
      </c>
      <c r="K19" s="734"/>
      <c r="N19" s="736" t="s">
        <v>244</v>
      </c>
      <c r="O19" s="737" t="s">
        <v>188</v>
      </c>
      <c r="Q19" s="726">
        <f t="shared" si="0"/>
        <v>16</v>
      </c>
    </row>
    <row r="20" spans="1:17" ht="17.149999999999999" customHeight="1" thickBot="1" x14ac:dyDescent="0.3">
      <c r="A20" s="743" t="s">
        <v>33</v>
      </c>
      <c r="C20" s="726" t="s">
        <v>319</v>
      </c>
      <c r="F20" s="741" t="s">
        <v>76</v>
      </c>
      <c r="G20" s="734" t="str">
        <f>IF(F20="Yes",C20,"")</f>
        <v>Private Use Only</v>
      </c>
      <c r="H20" s="734"/>
      <c r="I20" s="734" t="str">
        <f>IF(G20&lt;&gt;"",G20,IF(G21&lt;&gt;"",G21,IF(G22&lt;&gt;"",G22,IF(G23&lt;&gt;"",G23,IF(G24&lt;&gt;"",G24,"")))))</f>
        <v>Private Use Only</v>
      </c>
      <c r="J20" s="740" t="s">
        <v>426</v>
      </c>
      <c r="K20" s="734"/>
      <c r="N20" s="736" t="s">
        <v>245</v>
      </c>
      <c r="O20" s="737" t="s">
        <v>172</v>
      </c>
      <c r="Q20" s="726">
        <f t="shared" si="0"/>
        <v>17</v>
      </c>
    </row>
    <row r="21" spans="1:17" ht="17.149999999999999" customHeight="1" thickBot="1" x14ac:dyDescent="0.3">
      <c r="C21" s="726" t="s">
        <v>39</v>
      </c>
      <c r="F21" s="741" t="s">
        <v>76</v>
      </c>
      <c r="G21" s="734" t="str">
        <f>IF(F21="Yes",C21,"")</f>
        <v>Hiring</v>
      </c>
      <c r="I21" s="734" t="str">
        <f>IF(AND(G21&lt;&gt;"",G21&lt;&gt;I20),G21,IF(AND(G22&lt;&gt;"",G22&lt;&gt;I20),G22,IF(AND(G23&lt;&gt;"",G23&lt;&gt;I20),G23,IF(AND(G24&lt;&gt;"",G24&lt;&gt;I20),G24,""))))</f>
        <v>Hiring</v>
      </c>
      <c r="J21" s="740" t="s">
        <v>384</v>
      </c>
      <c r="K21" s="734"/>
      <c r="N21" s="736" t="s">
        <v>246</v>
      </c>
      <c r="O21" s="737" t="s">
        <v>189</v>
      </c>
      <c r="Q21" s="726">
        <f t="shared" si="0"/>
        <v>18</v>
      </c>
    </row>
    <row r="22" spans="1:17" ht="18" customHeight="1" thickBot="1" x14ac:dyDescent="0.3">
      <c r="C22" s="726" t="s">
        <v>7</v>
      </c>
      <c r="F22" s="741" t="s">
        <v>76</v>
      </c>
      <c r="G22" s="734" t="str">
        <f>IF(F22="Yes",C22,"")</f>
        <v>Rent A Vehicle</v>
      </c>
      <c r="H22" s="734"/>
      <c r="I22" s="734" t="str">
        <f>IF(AND(G22&lt;&gt;"",G22&lt;&gt;I21,G22&lt;&gt;I20),G22,IF(AND(G23&lt;&gt;"",G23&lt;&gt;I21,G23&lt;&gt;I20),G23,IF(AND(G24&lt;&gt;"",G24&lt;&gt;I20,G24&lt;&gt;I21),G24,"")))</f>
        <v>Rent A Vehicle</v>
      </c>
      <c r="J22" s="740" t="s">
        <v>420</v>
      </c>
      <c r="K22" s="734"/>
      <c r="N22" s="736" t="s">
        <v>247</v>
      </c>
      <c r="O22" s="737" t="s">
        <v>190</v>
      </c>
      <c r="Q22" s="726">
        <f t="shared" si="0"/>
        <v>19</v>
      </c>
    </row>
    <row r="23" spans="1:17" ht="18" customHeight="1" thickBot="1" x14ac:dyDescent="0.3">
      <c r="C23" s="726" t="s">
        <v>215</v>
      </c>
      <c r="F23" s="741" t="s">
        <v>76</v>
      </c>
      <c r="G23" s="734" t="str">
        <f>IF(F23="Yes",C23,"")</f>
        <v xml:space="preserve">SLTB Route </v>
      </c>
      <c r="H23" s="734"/>
      <c r="I23" s="734" t="str">
        <f>IF(AND(G23&lt;&gt;"",I20&lt;&gt;G23,I21&lt;&gt;G23,I22&lt;&gt;G23),G23,IF(AND(G24&lt;&gt;"",G24&lt;&gt;I20,G24&lt;&gt;I21,G24&lt;&gt;I22),G24,""))</f>
        <v xml:space="preserve">SLTB Route </v>
      </c>
      <c r="J23" s="740" t="s">
        <v>419</v>
      </c>
      <c r="K23" s="734"/>
      <c r="N23" s="736" t="s">
        <v>248</v>
      </c>
      <c r="O23" s="737" t="s">
        <v>191</v>
      </c>
      <c r="Q23" s="726">
        <f t="shared" si="0"/>
        <v>20</v>
      </c>
    </row>
    <row r="24" spans="1:17" ht="18" customHeight="1" thickBot="1" x14ac:dyDescent="0.3">
      <c r="C24" s="726" t="s">
        <v>217</v>
      </c>
      <c r="F24" s="741" t="s">
        <v>111</v>
      </c>
      <c r="G24" s="734" t="str">
        <f>IF(F24="Yes",C24,"")</f>
        <v/>
      </c>
      <c r="H24" s="734"/>
      <c r="I24" s="734" t="str">
        <f>IF(AND(G24&lt;&gt;"",I21&lt;&gt;G24,I22&lt;&gt;G24,I23&lt;&gt;G24,G24&lt;&gt;I20),G24,"")</f>
        <v/>
      </c>
      <c r="J24" s="740" t="s">
        <v>429</v>
      </c>
      <c r="K24" s="734"/>
      <c r="N24" s="736" t="s">
        <v>249</v>
      </c>
      <c r="O24" s="737" t="s">
        <v>192</v>
      </c>
      <c r="Q24" s="726">
        <f t="shared" si="0"/>
        <v>21</v>
      </c>
    </row>
    <row r="25" spans="1:17" ht="18" customHeight="1" x14ac:dyDescent="0.25">
      <c r="G25" s="734"/>
      <c r="H25" s="734"/>
      <c r="I25" s="734"/>
      <c r="J25" s="740" t="s">
        <v>416</v>
      </c>
      <c r="K25" s="734"/>
      <c r="N25" s="736" t="s">
        <v>250</v>
      </c>
      <c r="O25" s="737" t="s">
        <v>193</v>
      </c>
      <c r="Q25" s="726">
        <f t="shared" si="0"/>
        <v>22</v>
      </c>
    </row>
    <row r="26" spans="1:17" ht="18" customHeight="1" thickBot="1" x14ac:dyDescent="0.3">
      <c r="G26" s="734"/>
      <c r="H26" s="734"/>
      <c r="I26" s="734"/>
      <c r="J26" s="740" t="s">
        <v>390</v>
      </c>
      <c r="K26" s="734"/>
      <c r="N26" s="736" t="s">
        <v>251</v>
      </c>
      <c r="O26" s="737" t="s">
        <v>194</v>
      </c>
      <c r="Q26" s="726">
        <f t="shared" si="0"/>
        <v>23</v>
      </c>
    </row>
    <row r="27" spans="1:17" ht="25" customHeight="1" thickBot="1" x14ac:dyDescent="0.35">
      <c r="A27" s="744" t="s">
        <v>213</v>
      </c>
      <c r="F27" s="741" t="s">
        <v>76</v>
      </c>
      <c r="G27" s="734"/>
      <c r="H27" s="734"/>
      <c r="I27" s="734"/>
      <c r="J27" s="740" t="s">
        <v>415</v>
      </c>
      <c r="K27" s="734"/>
      <c r="N27" s="736" t="s">
        <v>252</v>
      </c>
      <c r="O27" s="737" t="s">
        <v>195</v>
      </c>
      <c r="Q27" s="726">
        <f t="shared" si="0"/>
        <v>24</v>
      </c>
    </row>
    <row r="28" spans="1:17" ht="25" customHeight="1" thickBot="1" x14ac:dyDescent="0.3">
      <c r="G28" s="734"/>
      <c r="H28" s="734"/>
      <c r="I28" s="734"/>
      <c r="J28" s="740" t="s">
        <v>423</v>
      </c>
      <c r="K28" s="734"/>
      <c r="N28" s="736" t="s">
        <v>253</v>
      </c>
      <c r="O28" s="737" t="s">
        <v>196</v>
      </c>
      <c r="Q28" s="726">
        <f t="shared" si="0"/>
        <v>25</v>
      </c>
    </row>
    <row r="29" spans="1:17" ht="25" customHeight="1" thickBot="1" x14ac:dyDescent="0.35">
      <c r="A29" s="727" t="s">
        <v>274</v>
      </c>
      <c r="C29" s="745"/>
      <c r="F29" s="746">
        <v>19</v>
      </c>
      <c r="G29" s="734"/>
      <c r="I29" s="734"/>
      <c r="J29" s="740" t="s">
        <v>425</v>
      </c>
      <c r="K29" s="734"/>
      <c r="N29" s="736" t="s">
        <v>254</v>
      </c>
      <c r="O29" s="737" t="s">
        <v>197</v>
      </c>
      <c r="Q29" s="726">
        <f t="shared" si="0"/>
        <v>26</v>
      </c>
    </row>
    <row r="30" spans="1:17" ht="25" customHeight="1" thickBot="1" x14ac:dyDescent="0.3">
      <c r="G30" s="734"/>
      <c r="H30" s="734"/>
      <c r="I30" s="734"/>
      <c r="J30" s="740" t="s">
        <v>438</v>
      </c>
      <c r="K30" s="734"/>
      <c r="N30" s="736" t="s">
        <v>255</v>
      </c>
      <c r="O30" s="737" t="s">
        <v>198</v>
      </c>
      <c r="Q30" s="726">
        <f t="shared" si="0"/>
        <v>27</v>
      </c>
    </row>
    <row r="31" spans="1:17" ht="25" customHeight="1" thickBot="1" x14ac:dyDescent="0.35">
      <c r="A31" s="727" t="s">
        <v>285</v>
      </c>
      <c r="C31" s="745"/>
      <c r="F31" s="741" t="s">
        <v>76</v>
      </c>
      <c r="J31" s="740" t="s">
        <v>427</v>
      </c>
      <c r="N31" s="736" t="s">
        <v>256</v>
      </c>
      <c r="O31" s="737" t="s">
        <v>199</v>
      </c>
      <c r="Q31" s="726">
        <f t="shared" si="0"/>
        <v>28</v>
      </c>
    </row>
    <row r="32" spans="1:17" ht="8.25" customHeight="1" x14ac:dyDescent="0.25">
      <c r="A32" s="1579"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79"/>
      <c r="C32" s="1579"/>
      <c r="D32" s="1579"/>
      <c r="E32" s="1579"/>
      <c r="F32" s="1579"/>
      <c r="G32" s="1579"/>
      <c r="J32" s="740" t="s">
        <v>418</v>
      </c>
      <c r="N32" s="736"/>
      <c r="Q32" s="726">
        <f>IF(AND(M3&lt;&gt;0,G3=2),"",29)</f>
        <v>29</v>
      </c>
    </row>
    <row r="33" spans="1:17" ht="25" customHeight="1" x14ac:dyDescent="0.25">
      <c r="A33" s="1579"/>
      <c r="B33" s="1579"/>
      <c r="C33" s="1579"/>
      <c r="D33" s="1579"/>
      <c r="E33" s="1579"/>
      <c r="F33" s="1579"/>
      <c r="G33" s="1579"/>
      <c r="J33" s="740" t="s">
        <v>385</v>
      </c>
      <c r="N33" s="736"/>
      <c r="Q33" s="726">
        <f>IF(G3=2,"",30)</f>
        <v>30</v>
      </c>
    </row>
    <row r="34" spans="1:17" ht="25" customHeight="1" x14ac:dyDescent="0.25">
      <c r="I34" s="747" t="s">
        <v>440</v>
      </c>
      <c r="J34" s="740"/>
      <c r="N34" s="736"/>
      <c r="Q34" s="726">
        <f>IF(OR(G3=2,G3=4,G3=6,G3=9,G3=11),"",31)</f>
        <v>31</v>
      </c>
    </row>
    <row r="35" spans="1:17" ht="25" customHeight="1" x14ac:dyDescent="0.25">
      <c r="J35" s="740"/>
      <c r="N35" s="736"/>
    </row>
    <row r="36" spans="1:17" ht="25" customHeight="1" x14ac:dyDescent="0.25">
      <c r="J36" s="740"/>
    </row>
    <row r="37" spans="1:17" ht="25" customHeight="1" x14ac:dyDescent="0.25">
      <c r="J37" s="740"/>
    </row>
    <row r="38" spans="1:17" ht="25" customHeight="1" x14ac:dyDescent="0.25">
      <c r="J38" s="740"/>
    </row>
    <row r="39" spans="1:17" ht="25" customHeight="1" x14ac:dyDescent="0.25">
      <c r="J39" s="740"/>
    </row>
    <row r="40" spans="1:17" ht="25" customHeight="1" x14ac:dyDescent="0.25">
      <c r="J40" s="740"/>
    </row>
  </sheetData>
  <dataConsolidate/>
  <mergeCells count="4">
    <mergeCell ref="A1:D1"/>
    <mergeCell ref="C5:E5"/>
    <mergeCell ref="IR7:IT7"/>
    <mergeCell ref="A32:G33"/>
  </mergeCells>
  <conditionalFormatting sqref="F27 F20:F24 F7:F17 F31">
    <cfRule type="cellIs" dxfId="363"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"2023,2024"</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B26" sqref="B26"/>
    </sheetView>
  </sheetViews>
  <sheetFormatPr defaultColWidth="9.1796875" defaultRowHeight="20.149999999999999" customHeight="1" x14ac:dyDescent="0.25"/>
  <cols>
    <col min="1" max="1" width="3.1796875" style="745" customWidth="1"/>
    <col min="2" max="2" width="25.26953125" style="745" customWidth="1"/>
    <col min="3" max="3" width="1.7265625" style="745" customWidth="1"/>
    <col min="4" max="4" width="6.26953125" style="745" customWidth="1"/>
    <col min="5" max="5" width="2.453125" style="745" customWidth="1"/>
    <col min="6" max="6" width="7.26953125" style="745" customWidth="1"/>
    <col min="7" max="8" width="7" style="749" customWidth="1"/>
    <col min="9" max="9" width="2.7265625" style="745" customWidth="1"/>
    <col min="10" max="10" width="25.1796875" style="745" customWidth="1"/>
    <col min="11" max="11" width="7.7265625" style="745" customWidth="1"/>
    <col min="12" max="12" width="20.54296875" style="745" customWidth="1"/>
    <col min="13" max="13" width="8.81640625" style="745" customWidth="1"/>
    <col min="14" max="14" width="15.81640625" style="745" customWidth="1"/>
    <col min="15" max="15" width="10.26953125" style="745" customWidth="1"/>
    <col min="16" max="16" width="3.453125" style="745" customWidth="1"/>
    <col min="17" max="17" width="9.1796875" style="745"/>
    <col min="18" max="18" width="11.1796875" style="745" customWidth="1"/>
    <col min="19" max="21" width="9.1796875" style="745"/>
    <col min="22" max="22" width="7.26953125" style="745" customWidth="1"/>
    <col min="23" max="23" width="12.453125" style="745" customWidth="1"/>
    <col min="24" max="24" width="6" style="745" customWidth="1"/>
    <col min="25" max="16384" width="9.1796875" style="745"/>
  </cols>
  <sheetData>
    <row r="1" spans="1:19" ht="20.149999999999999" customHeight="1" thickBot="1" x14ac:dyDescent="0.3">
      <c r="A1" s="745">
        <f ca="1">YEAR(B1)</f>
        <v>2024</v>
      </c>
      <c r="B1" s="748">
        <f ca="1">TODAY()</f>
        <v>45348</v>
      </c>
      <c r="F1" s="1599" t="s">
        <v>153</v>
      </c>
      <c r="L1" s="750"/>
    </row>
    <row r="2" spans="1:19" ht="20.149999999999999" customHeight="1" thickTop="1" thickBot="1" x14ac:dyDescent="0.4">
      <c r="A2" s="751" t="s">
        <v>53</v>
      </c>
      <c r="B2" s="752"/>
      <c r="F2" s="1599"/>
      <c r="G2" s="753" t="s">
        <v>354</v>
      </c>
      <c r="H2" s="753" t="s">
        <v>358</v>
      </c>
      <c r="I2" s="1600" t="s">
        <v>55</v>
      </c>
      <c r="J2" s="1601"/>
      <c r="L2" s="750"/>
    </row>
    <row r="3" spans="1:19" ht="20.149999999999999" customHeight="1" thickTop="1" thickBot="1" x14ac:dyDescent="0.4">
      <c r="A3" s="754">
        <v>1</v>
      </c>
      <c r="B3" s="755" t="s">
        <v>48</v>
      </c>
      <c r="C3" s="756" t="s">
        <v>49</v>
      </c>
      <c r="D3" s="757">
        <f>IF('TW-Working'!M12="Above 250cc",10,IF(AND(TW!B13=1,TW!T13="Ijarah"),5,2.2))</f>
        <v>2.2000000000000002</v>
      </c>
      <c r="E3" s="758" t="s">
        <v>54</v>
      </c>
      <c r="F3" s="759">
        <v>2</v>
      </c>
      <c r="I3" s="760">
        <v>1</v>
      </c>
      <c r="J3" s="761" t="s">
        <v>167</v>
      </c>
      <c r="K3" s="762">
        <v>0.2</v>
      </c>
      <c r="L3" s="763" t="s">
        <v>70</v>
      </c>
      <c r="M3" s="764"/>
      <c r="N3" s="1602" t="s">
        <v>139</v>
      </c>
      <c r="O3" s="1603"/>
      <c r="P3" s="1604"/>
      <c r="Q3" s="765" t="s">
        <v>136</v>
      </c>
      <c r="R3" s="766" t="s">
        <v>56</v>
      </c>
    </row>
    <row r="4" spans="1:19" ht="20.149999999999999" customHeight="1" thickTop="1" x14ac:dyDescent="0.35">
      <c r="A4" s="767">
        <f>A3+1</f>
        <v>2</v>
      </c>
      <c r="B4" s="768" t="s">
        <v>50</v>
      </c>
      <c r="C4" s="769" t="s">
        <v>49</v>
      </c>
      <c r="D4" s="770">
        <f>IF('TW-Working'!M12="Above 250cc",10,IF(AND(TW!B13=1,TW!T13="Ijarah"),5,2.2))</f>
        <v>2.2000000000000002</v>
      </c>
      <c r="E4" s="771" t="s">
        <v>54</v>
      </c>
      <c r="F4" s="772">
        <v>2</v>
      </c>
      <c r="I4" s="773"/>
      <c r="J4" s="774" t="s">
        <v>166</v>
      </c>
      <c r="K4" s="775">
        <v>0.25</v>
      </c>
      <c r="L4" s="776" t="s">
        <v>70</v>
      </c>
      <c r="M4" s="777"/>
      <c r="N4" s="1605" t="s">
        <v>137</v>
      </c>
      <c r="O4" s="1606"/>
      <c r="P4" s="1606"/>
      <c r="Q4" s="778">
        <v>7.0000000000000007E-2</v>
      </c>
      <c r="R4" s="779">
        <v>2.5000000000000001E-2</v>
      </c>
    </row>
    <row r="5" spans="1:19" ht="20.149999999999999" customHeight="1" x14ac:dyDescent="0.35">
      <c r="A5" s="780">
        <f t="shared" ref="A5:A14" si="0">A4+1</f>
        <v>3</v>
      </c>
      <c r="B5" s="781" t="s">
        <v>152</v>
      </c>
      <c r="C5" s="782" t="s">
        <v>49</v>
      </c>
      <c r="D5" s="783">
        <v>2</v>
      </c>
      <c r="E5" s="784" t="s">
        <v>54</v>
      </c>
      <c r="F5" s="785">
        <v>20</v>
      </c>
      <c r="I5" s="786">
        <f>I3+1</f>
        <v>2</v>
      </c>
      <c r="J5" s="787" t="s">
        <v>168</v>
      </c>
      <c r="K5" s="788">
        <v>0.05</v>
      </c>
      <c r="L5" s="789" t="s">
        <v>70</v>
      </c>
      <c r="M5" s="790"/>
      <c r="N5" s="1607" t="s">
        <v>146</v>
      </c>
      <c r="O5" s="1608"/>
      <c r="P5" s="1608"/>
      <c r="Q5" s="791">
        <v>0.04</v>
      </c>
      <c r="R5" s="792">
        <v>1.2500000000000001E-2</v>
      </c>
    </row>
    <row r="6" spans="1:19" ht="20.149999999999999" customHeight="1" x14ac:dyDescent="0.35">
      <c r="A6" s="767">
        <f t="shared" si="0"/>
        <v>4</v>
      </c>
      <c r="B6" s="768" t="s">
        <v>157</v>
      </c>
      <c r="C6" s="769" t="s">
        <v>49</v>
      </c>
      <c r="D6" s="793">
        <v>2.25</v>
      </c>
      <c r="E6" s="771" t="s">
        <v>54</v>
      </c>
      <c r="F6" s="772">
        <v>5</v>
      </c>
      <c r="I6" s="786"/>
      <c r="J6" s="794" t="s">
        <v>166</v>
      </c>
      <c r="K6" s="788">
        <v>6.25E-2</v>
      </c>
      <c r="L6" s="789" t="s">
        <v>70</v>
      </c>
      <c r="M6" s="790"/>
      <c r="N6" s="1607" t="s">
        <v>145</v>
      </c>
      <c r="O6" s="1608"/>
      <c r="P6" s="1608"/>
      <c r="Q6" s="791">
        <v>3.7499999999999999E-2</v>
      </c>
      <c r="R6" s="792">
        <v>1.2500000000000001E-2</v>
      </c>
    </row>
    <row r="7" spans="1:19" ht="20.149999999999999" customHeight="1" thickBot="1" x14ac:dyDescent="0.4">
      <c r="A7" s="780">
        <f t="shared" si="0"/>
        <v>5</v>
      </c>
      <c r="B7" s="781" t="s">
        <v>158</v>
      </c>
      <c r="C7" s="782" t="s">
        <v>49</v>
      </c>
      <c r="D7" s="783">
        <v>2</v>
      </c>
      <c r="E7" s="784" t="s">
        <v>54</v>
      </c>
      <c r="F7" s="785">
        <v>5</v>
      </c>
      <c r="I7" s="773">
        <f>I5+1</f>
        <v>3</v>
      </c>
      <c r="J7" s="795" t="s">
        <v>57</v>
      </c>
      <c r="K7" s="775"/>
      <c r="L7" s="776"/>
      <c r="M7" s="777"/>
      <c r="N7" s="1609" t="s">
        <v>138</v>
      </c>
      <c r="O7" s="1610"/>
      <c r="P7" s="1610"/>
      <c r="Q7" s="796">
        <v>0.05</v>
      </c>
      <c r="R7" s="797">
        <v>1250</v>
      </c>
    </row>
    <row r="8" spans="1:19" ht="20.149999999999999" customHeight="1" thickTop="1" thickBot="1" x14ac:dyDescent="0.4">
      <c r="A8" s="767">
        <f t="shared" si="0"/>
        <v>6</v>
      </c>
      <c r="B8" s="768" t="s">
        <v>160</v>
      </c>
      <c r="C8" s="769" t="s">
        <v>49</v>
      </c>
      <c r="D8" s="793">
        <v>2.25</v>
      </c>
      <c r="E8" s="771" t="s">
        <v>54</v>
      </c>
      <c r="F8" s="772">
        <v>7</v>
      </c>
      <c r="I8" s="773"/>
      <c r="J8" s="776" t="s">
        <v>66</v>
      </c>
      <c r="K8" s="775">
        <v>50</v>
      </c>
      <c r="L8" s="776" t="s">
        <v>59</v>
      </c>
      <c r="M8" s="777"/>
      <c r="N8" s="1602" t="s">
        <v>38</v>
      </c>
      <c r="O8" s="1603"/>
      <c r="P8" s="1604"/>
      <c r="Q8" s="796">
        <v>0.15</v>
      </c>
      <c r="R8" s="797">
        <v>0.25</v>
      </c>
      <c r="S8" s="745" t="s">
        <v>142</v>
      </c>
    </row>
    <row r="9" spans="1:19" ht="20.149999999999999" customHeight="1" thickTop="1" thickBot="1" x14ac:dyDescent="0.4">
      <c r="A9" s="780">
        <f t="shared" si="0"/>
        <v>7</v>
      </c>
      <c r="B9" s="781" t="s">
        <v>159</v>
      </c>
      <c r="C9" s="782" t="s">
        <v>49</v>
      </c>
      <c r="D9" s="783">
        <v>2</v>
      </c>
      <c r="E9" s="784" t="s">
        <v>54</v>
      </c>
      <c r="F9" s="785">
        <v>7</v>
      </c>
      <c r="I9" s="773"/>
      <c r="J9" s="776" t="s">
        <v>65</v>
      </c>
      <c r="K9" s="775">
        <v>25</v>
      </c>
      <c r="L9" s="776" t="s">
        <v>59</v>
      </c>
      <c r="M9" s="777"/>
      <c r="N9" s="1611" t="s">
        <v>140</v>
      </c>
      <c r="O9" s="1611"/>
      <c r="P9" s="1611"/>
      <c r="Q9" s="796">
        <v>15</v>
      </c>
      <c r="R9" s="797">
        <v>3.7499999999999999E-2</v>
      </c>
      <c r="S9" s="745" t="s">
        <v>141</v>
      </c>
    </row>
    <row r="10" spans="1:19" ht="20.149999999999999" customHeight="1" thickTop="1" x14ac:dyDescent="0.35">
      <c r="A10" s="767">
        <f t="shared" si="0"/>
        <v>8</v>
      </c>
      <c r="B10" s="768" t="s">
        <v>313</v>
      </c>
      <c r="C10" s="769" t="s">
        <v>49</v>
      </c>
      <c r="D10" s="793">
        <f>'TW-Working'!K8*100</f>
        <v>1.25</v>
      </c>
      <c r="E10" s="771" t="s">
        <v>54</v>
      </c>
      <c r="F10" s="772">
        <v>5</v>
      </c>
      <c r="I10" s="773"/>
      <c r="J10" s="776" t="s">
        <v>64</v>
      </c>
      <c r="K10" s="775">
        <v>25</v>
      </c>
      <c r="L10" s="776" t="s">
        <v>59</v>
      </c>
      <c r="M10" s="777"/>
    </row>
    <row r="11" spans="1:19" ht="20.149999999999999" customHeight="1" x14ac:dyDescent="0.35">
      <c r="A11" s="780">
        <f t="shared" si="0"/>
        <v>9</v>
      </c>
      <c r="B11" s="781" t="s">
        <v>151</v>
      </c>
      <c r="C11" s="782" t="s">
        <v>49</v>
      </c>
      <c r="D11" s="783">
        <v>1</v>
      </c>
      <c r="E11" s="784" t="s">
        <v>54</v>
      </c>
      <c r="F11" s="785">
        <v>60</v>
      </c>
      <c r="I11" s="786">
        <v>4</v>
      </c>
      <c r="J11" s="787" t="s">
        <v>61</v>
      </c>
      <c r="K11" s="788">
        <v>10</v>
      </c>
      <c r="L11" s="789" t="s">
        <v>67</v>
      </c>
      <c r="M11" s="790"/>
    </row>
    <row r="12" spans="1:19" ht="20.149999999999999" customHeight="1" x14ac:dyDescent="0.35">
      <c r="A12" s="767">
        <f t="shared" si="0"/>
        <v>10</v>
      </c>
      <c r="B12" s="768" t="s">
        <v>51</v>
      </c>
      <c r="C12" s="769" t="s">
        <v>49</v>
      </c>
      <c r="D12" s="793">
        <v>1.75</v>
      </c>
      <c r="E12" s="771" t="s">
        <v>54</v>
      </c>
      <c r="F12" s="772">
        <v>4</v>
      </c>
      <c r="I12" s="773">
        <f>I11+1</f>
        <v>5</v>
      </c>
      <c r="J12" s="798" t="s">
        <v>62</v>
      </c>
      <c r="K12" s="775">
        <v>10</v>
      </c>
      <c r="L12" s="776" t="s">
        <v>68</v>
      </c>
      <c r="M12" s="777"/>
    </row>
    <row r="13" spans="1:19" ht="20.149999999999999" customHeight="1" thickBot="1" x14ac:dyDescent="0.4">
      <c r="A13" s="780">
        <f t="shared" si="0"/>
        <v>11</v>
      </c>
      <c r="B13" s="799" t="s">
        <v>52</v>
      </c>
      <c r="C13" s="800" t="s">
        <v>49</v>
      </c>
      <c r="D13" s="801">
        <v>0.8</v>
      </c>
      <c r="E13" s="802" t="s">
        <v>54</v>
      </c>
      <c r="F13" s="803">
        <v>4</v>
      </c>
      <c r="I13" s="786">
        <f>I12+1</f>
        <v>6</v>
      </c>
      <c r="J13" s="787" t="s">
        <v>12</v>
      </c>
      <c r="K13" s="788">
        <v>15</v>
      </c>
      <c r="L13" s="789" t="s">
        <v>67</v>
      </c>
      <c r="M13" s="790"/>
    </row>
    <row r="14" spans="1:19" ht="20.149999999999999" customHeight="1" thickTop="1" thickBot="1" x14ac:dyDescent="0.4">
      <c r="A14" s="767">
        <f t="shared" si="0"/>
        <v>12</v>
      </c>
      <c r="B14" s="804" t="s">
        <v>161</v>
      </c>
      <c r="C14" s="769" t="s">
        <v>49</v>
      </c>
      <c r="D14" s="805">
        <v>0.8</v>
      </c>
      <c r="E14" s="806" t="s">
        <v>54</v>
      </c>
      <c r="F14" s="807">
        <v>4</v>
      </c>
      <c r="I14" s="773">
        <f>I13+1</f>
        <v>7</v>
      </c>
      <c r="J14" s="798" t="s">
        <v>44</v>
      </c>
      <c r="K14" s="775">
        <v>30</v>
      </c>
      <c r="L14" s="776" t="s">
        <v>67</v>
      </c>
      <c r="M14" s="808" t="s">
        <v>123</v>
      </c>
    </row>
    <row r="15" spans="1:19" ht="20.149999999999999" customHeight="1" thickTop="1" thickBot="1" x14ac:dyDescent="0.4">
      <c r="A15" s="780">
        <f>A14+1</f>
        <v>13</v>
      </c>
      <c r="B15" s="799" t="s">
        <v>164</v>
      </c>
      <c r="C15" s="800" t="s">
        <v>49</v>
      </c>
      <c r="D15" s="801">
        <v>2</v>
      </c>
      <c r="E15" s="802" t="s">
        <v>54</v>
      </c>
      <c r="F15" s="803">
        <v>50</v>
      </c>
      <c r="I15" s="786">
        <f>I14+1</f>
        <v>8</v>
      </c>
      <c r="J15" s="787" t="s">
        <v>63</v>
      </c>
      <c r="K15" s="788">
        <v>33.33</v>
      </c>
      <c r="L15" s="789" t="s">
        <v>67</v>
      </c>
      <c r="M15" s="808" t="s">
        <v>123</v>
      </c>
    </row>
    <row r="16" spans="1:19" ht="20.149999999999999" customHeight="1" thickTop="1" x14ac:dyDescent="0.35">
      <c r="A16" s="767">
        <f>A15+1</f>
        <v>14</v>
      </c>
      <c r="B16" s="768" t="s">
        <v>314</v>
      </c>
      <c r="C16" s="769" t="s">
        <v>49</v>
      </c>
      <c r="D16" s="809">
        <v>2.25</v>
      </c>
      <c r="E16" s="810" t="s">
        <v>54</v>
      </c>
      <c r="F16" s="807">
        <v>4</v>
      </c>
      <c r="I16" s="773">
        <f>I15+1</f>
        <v>9</v>
      </c>
      <c r="J16" s="795" t="s">
        <v>34</v>
      </c>
      <c r="K16" s="776"/>
      <c r="L16" s="776"/>
      <c r="M16" s="777"/>
    </row>
    <row r="17" spans="1:15" ht="20.149999999999999" customHeight="1" thickBot="1" x14ac:dyDescent="0.4">
      <c r="A17" s="811">
        <v>15</v>
      </c>
      <c r="B17" s="812" t="s">
        <v>162</v>
      </c>
      <c r="C17" s="813" t="s">
        <v>49</v>
      </c>
      <c r="D17" s="814"/>
      <c r="E17" s="815" t="s">
        <v>54</v>
      </c>
      <c r="F17" s="816">
        <v>5</v>
      </c>
      <c r="I17" s="773"/>
      <c r="J17" s="774" t="s">
        <v>69</v>
      </c>
      <c r="K17" s="817">
        <v>100</v>
      </c>
      <c r="L17" s="818" t="s">
        <v>79</v>
      </c>
      <c r="M17" s="819">
        <v>1100</v>
      </c>
    </row>
    <row r="18" spans="1:15" ht="20.149999999999999" customHeight="1" thickTop="1" thickBot="1" x14ac:dyDescent="0.4">
      <c r="A18" s="820">
        <v>1</v>
      </c>
      <c r="B18" s="821"/>
      <c r="C18" s="821"/>
      <c r="D18" s="821"/>
      <c r="E18" s="821"/>
      <c r="F18" s="821"/>
      <c r="I18" s="773"/>
      <c r="J18" s="774" t="s">
        <v>515</v>
      </c>
      <c r="K18" s="817">
        <v>700</v>
      </c>
      <c r="L18" s="822" t="s">
        <v>80</v>
      </c>
      <c r="M18" s="819">
        <v>2200</v>
      </c>
      <c r="N18" s="823"/>
    </row>
    <row r="19" spans="1:15" ht="20.149999999999999" customHeight="1" thickTop="1" thickBot="1" x14ac:dyDescent="0.4">
      <c r="A19" s="824"/>
      <c r="B19" s="825" t="s">
        <v>77</v>
      </c>
      <c r="C19" s="826" t="s">
        <v>49</v>
      </c>
      <c r="D19" s="827">
        <v>2.5</v>
      </c>
      <c r="E19" s="828" t="s">
        <v>54</v>
      </c>
      <c r="F19" s="821"/>
      <c r="I19" s="786">
        <v>10</v>
      </c>
      <c r="J19" s="787" t="s">
        <v>124</v>
      </c>
      <c r="K19" s="788">
        <v>15</v>
      </c>
      <c r="L19" s="789" t="s">
        <v>67</v>
      </c>
      <c r="M19" s="1612" t="s">
        <v>125</v>
      </c>
      <c r="N19" s="1613"/>
      <c r="O19" s="808" t="s">
        <v>111</v>
      </c>
    </row>
    <row r="20" spans="1:15" ht="20.149999999999999" customHeight="1" thickTop="1" thickBot="1" x14ac:dyDescent="0.4">
      <c r="A20" s="829"/>
      <c r="B20" s="830" t="s">
        <v>169</v>
      </c>
      <c r="C20" s="831" t="s">
        <v>49</v>
      </c>
      <c r="D20" s="832">
        <v>0</v>
      </c>
      <c r="E20" s="833" t="s">
        <v>54</v>
      </c>
      <c r="F20" s="834" t="s">
        <v>111</v>
      </c>
      <c r="G20" s="835">
        <f>IF(F20="Yes",D20,0)</f>
        <v>0</v>
      </c>
      <c r="H20" s="835"/>
      <c r="I20" s="786"/>
      <c r="J20" s="787"/>
      <c r="K20" s="788"/>
      <c r="L20" s="789"/>
      <c r="M20" s="836"/>
      <c r="N20" s="837"/>
    </row>
    <row r="21" spans="1:15" ht="20.149999999999999" customHeight="1" thickTop="1" thickBot="1" x14ac:dyDescent="0.4">
      <c r="A21" s="838"/>
      <c r="B21" s="839" t="s">
        <v>78</v>
      </c>
      <c r="C21" s="840" t="s">
        <v>49</v>
      </c>
      <c r="D21" s="841">
        <v>18</v>
      </c>
      <c r="E21" s="842" t="s">
        <v>54</v>
      </c>
      <c r="F21" s="821"/>
      <c r="I21" s="773">
        <f>I19+1</f>
        <v>11</v>
      </c>
      <c r="J21" s="798" t="s">
        <v>71</v>
      </c>
      <c r="K21" s="775">
        <v>10</v>
      </c>
      <c r="L21" s="776" t="s">
        <v>73</v>
      </c>
      <c r="M21" s="808" t="s">
        <v>123</v>
      </c>
    </row>
    <row r="22" spans="1:15" ht="30.75" customHeight="1" thickTop="1" thickBot="1" x14ac:dyDescent="0.35">
      <c r="I22" s="786">
        <f>I21+1</f>
        <v>12</v>
      </c>
      <c r="J22" s="843" t="s">
        <v>72</v>
      </c>
      <c r="K22" s="789"/>
      <c r="L22" s="789"/>
      <c r="M22" s="790"/>
    </row>
    <row r="23" spans="1:15" ht="20.149999999999999" customHeight="1" thickTop="1" thickBot="1" x14ac:dyDescent="0.4">
      <c r="A23" s="820">
        <v>2</v>
      </c>
      <c r="B23" s="844" t="s">
        <v>117</v>
      </c>
      <c r="I23" s="786"/>
      <c r="J23" s="789" t="s">
        <v>60</v>
      </c>
      <c r="K23" s="788">
        <v>150</v>
      </c>
      <c r="L23" s="845" t="s">
        <v>75</v>
      </c>
      <c r="M23" s="790"/>
    </row>
    <row r="24" spans="1:15" ht="20.149999999999999" customHeight="1" thickTop="1" thickBot="1" x14ac:dyDescent="0.4">
      <c r="A24" s="846"/>
      <c r="B24" s="847">
        <v>28000000</v>
      </c>
      <c r="I24" s="786"/>
      <c r="J24" s="848" t="s">
        <v>121</v>
      </c>
      <c r="K24" s="849">
        <v>600</v>
      </c>
      <c r="L24" s="850" t="s">
        <v>75</v>
      </c>
      <c r="M24" s="790"/>
    </row>
    <row r="25" spans="1:15" ht="20.149999999999999" customHeight="1" thickBot="1" x14ac:dyDescent="0.4">
      <c r="B25" s="847">
        <v>1000000</v>
      </c>
      <c r="C25" s="851" t="s">
        <v>135</v>
      </c>
      <c r="I25" s="786"/>
      <c r="J25" s="789" t="s">
        <v>74</v>
      </c>
      <c r="K25" s="788">
        <v>150</v>
      </c>
      <c r="L25" s="845" t="s">
        <v>75</v>
      </c>
      <c r="M25" s="790"/>
    </row>
    <row r="26" spans="1:15" ht="20.149999999999999" customHeight="1" thickTop="1" thickBot="1" x14ac:dyDescent="0.4">
      <c r="A26" s="820">
        <v>3</v>
      </c>
      <c r="B26" s="844" t="s">
        <v>110</v>
      </c>
      <c r="F26" s="844" t="s">
        <v>392</v>
      </c>
      <c r="I26" s="773">
        <v>13</v>
      </c>
      <c r="J26" s="795" t="s">
        <v>81</v>
      </c>
      <c r="K26" s="776"/>
      <c r="L26" s="776"/>
      <c r="M26" s="819"/>
    </row>
    <row r="27" spans="1:15" ht="20.149999999999999" customHeight="1" thickTop="1" thickBot="1" x14ac:dyDescent="0.4">
      <c r="A27" s="846"/>
      <c r="B27" s="847">
        <v>28000000</v>
      </c>
      <c r="F27" s="1590">
        <v>10</v>
      </c>
      <c r="G27" s="1591"/>
      <c r="I27" s="852"/>
      <c r="J27" s="853" t="s">
        <v>528</v>
      </c>
      <c r="K27" s="817">
        <v>6</v>
      </c>
      <c r="L27" s="854" t="s">
        <v>529</v>
      </c>
      <c r="M27" s="819">
        <v>12</v>
      </c>
    </row>
    <row r="28" spans="1:15" ht="20.149999999999999" customHeight="1" thickTop="1" thickBot="1" x14ac:dyDescent="0.4">
      <c r="A28" s="820">
        <v>4</v>
      </c>
      <c r="B28" s="844" t="s">
        <v>112</v>
      </c>
      <c r="C28" s="1597" t="s">
        <v>76</v>
      </c>
      <c r="D28" s="1598"/>
      <c r="I28" s="852"/>
      <c r="J28" s="853" t="s">
        <v>530</v>
      </c>
      <c r="K28" s="817">
        <v>20</v>
      </c>
      <c r="L28" s="854" t="s">
        <v>531</v>
      </c>
      <c r="M28" s="819">
        <v>30</v>
      </c>
    </row>
    <row r="29" spans="1:15" ht="20.149999999999999" customHeight="1" thickTop="1" thickBot="1" x14ac:dyDescent="0.4">
      <c r="A29" s="820">
        <v>5</v>
      </c>
      <c r="B29" s="855" t="s">
        <v>113</v>
      </c>
      <c r="C29" s="1590">
        <v>75</v>
      </c>
      <c r="D29" s="1591"/>
      <c r="E29" s="1592">
        <f>IF(OR('TW-Working'!H8='Administration (2)'!C7,'TW-Working'!H8='Administration (2)'!C8),G29,0)</f>
        <v>0</v>
      </c>
      <c r="F29" s="1593"/>
      <c r="G29" s="1594">
        <v>1200000</v>
      </c>
      <c r="H29" s="1595"/>
      <c r="I29" s="852"/>
      <c r="J29" s="853" t="s">
        <v>532</v>
      </c>
      <c r="K29" s="817">
        <v>55</v>
      </c>
      <c r="L29" s="854" t="s">
        <v>533</v>
      </c>
      <c r="M29" s="819">
        <v>105</v>
      </c>
    </row>
    <row r="30" spans="1:15" ht="20.149999999999999" customHeight="1" thickTop="1" thickBot="1" x14ac:dyDescent="0.4">
      <c r="A30" s="820">
        <v>6</v>
      </c>
      <c r="B30" s="844" t="s">
        <v>114</v>
      </c>
      <c r="I30" s="852"/>
      <c r="J30" s="853" t="s">
        <v>534</v>
      </c>
      <c r="K30" s="817">
        <v>290</v>
      </c>
      <c r="L30" s="853"/>
      <c r="M30" s="819"/>
    </row>
    <row r="31" spans="1:15" ht="20.149999999999999" customHeight="1" thickTop="1" thickBot="1" x14ac:dyDescent="0.4">
      <c r="A31" s="846"/>
      <c r="B31" s="847">
        <v>1000000</v>
      </c>
      <c r="I31" s="786">
        <v>14</v>
      </c>
      <c r="J31" s="787" t="s">
        <v>89</v>
      </c>
      <c r="K31" s="788">
        <v>2000</v>
      </c>
      <c r="L31" s="845" t="s">
        <v>75</v>
      </c>
      <c r="M31" s="790"/>
    </row>
    <row r="32" spans="1:15" ht="20.149999999999999" customHeight="1" thickTop="1" thickBot="1" x14ac:dyDescent="0.4">
      <c r="A32" s="820">
        <v>7</v>
      </c>
      <c r="B32" s="844" t="s">
        <v>126</v>
      </c>
      <c r="I32" s="773">
        <v>15</v>
      </c>
      <c r="J32" s="798" t="s">
        <v>90</v>
      </c>
      <c r="K32" s="775">
        <v>10</v>
      </c>
      <c r="L32" s="776" t="s">
        <v>91</v>
      </c>
      <c r="M32" s="777"/>
    </row>
    <row r="33" spans="1:13" ht="20.149999999999999" customHeight="1" thickTop="1" thickBot="1" x14ac:dyDescent="0.4">
      <c r="B33" s="847">
        <v>5000</v>
      </c>
      <c r="I33" s="786">
        <v>16</v>
      </c>
      <c r="J33" s="843" t="s">
        <v>8</v>
      </c>
      <c r="K33" s="789"/>
      <c r="L33" s="789"/>
      <c r="M33" s="790"/>
    </row>
    <row r="34" spans="1:13" ht="20.149999999999999" customHeight="1" thickBot="1" x14ac:dyDescent="0.35">
      <c r="I34" s="856"/>
      <c r="J34" s="789" t="s">
        <v>93</v>
      </c>
      <c r="K34" s="788">
        <v>150</v>
      </c>
      <c r="L34" s="845" t="s">
        <v>75</v>
      </c>
      <c r="M34" s="790"/>
    </row>
    <row r="35" spans="1:13" ht="20.149999999999999" customHeight="1" thickTop="1" thickBot="1" x14ac:dyDescent="0.4">
      <c r="A35" s="820">
        <v>8</v>
      </c>
      <c r="B35" s="857" t="s">
        <v>134</v>
      </c>
      <c r="I35" s="856"/>
      <c r="J35" s="789" t="s">
        <v>58</v>
      </c>
      <c r="K35" s="788">
        <v>200</v>
      </c>
      <c r="L35" s="845" t="s">
        <v>75</v>
      </c>
      <c r="M35" s="790"/>
    </row>
    <row r="36" spans="1:13" ht="20.149999999999999" customHeight="1" thickTop="1" thickBot="1" x14ac:dyDescent="0.4">
      <c r="A36" s="846"/>
      <c r="B36" s="847">
        <v>1000</v>
      </c>
      <c r="I36" s="856"/>
      <c r="J36" s="789" t="s">
        <v>92</v>
      </c>
      <c r="K36" s="788">
        <v>200</v>
      </c>
      <c r="L36" s="845" t="s">
        <v>75</v>
      </c>
      <c r="M36" s="790"/>
    </row>
    <row r="37" spans="1:13" ht="20.149999999999999" customHeight="1" thickTop="1" thickBot="1" x14ac:dyDescent="0.4">
      <c r="A37" s="820">
        <v>9</v>
      </c>
      <c r="B37" s="858" t="s">
        <v>132</v>
      </c>
      <c r="I37" s="773">
        <v>17</v>
      </c>
      <c r="J37" s="795" t="s">
        <v>2</v>
      </c>
      <c r="K37" s="775"/>
      <c r="L37" s="776"/>
      <c r="M37" s="777"/>
    </row>
    <row r="38" spans="1:13" ht="20.149999999999999" customHeight="1" thickTop="1" thickBot="1" x14ac:dyDescent="0.35">
      <c r="B38" s="859" t="s">
        <v>133</v>
      </c>
      <c r="C38" s="1581">
        <v>0</v>
      </c>
      <c r="D38" s="1582"/>
      <c r="E38" s="1583"/>
      <c r="I38" s="860" t="s">
        <v>94</v>
      </c>
      <c r="J38" s="775">
        <v>1000</v>
      </c>
      <c r="K38" s="861">
        <v>10</v>
      </c>
      <c r="L38" s="862"/>
      <c r="M38" s="777"/>
    </row>
    <row r="39" spans="1:13" ht="20.149999999999999" customHeight="1" thickTop="1" thickBot="1" x14ac:dyDescent="0.4">
      <c r="A39" s="820">
        <v>10</v>
      </c>
      <c r="B39" s="863" t="s">
        <v>116</v>
      </c>
      <c r="D39" s="864" t="s">
        <v>76</v>
      </c>
      <c r="I39" s="860" t="s">
        <v>94</v>
      </c>
      <c r="J39" s="775">
        <v>2500</v>
      </c>
      <c r="K39" s="861">
        <v>15</v>
      </c>
      <c r="L39" s="862"/>
      <c r="M39" s="777"/>
    </row>
    <row r="40" spans="1:13" ht="17.149999999999999" customHeight="1" thickTop="1" thickBot="1" x14ac:dyDescent="0.4">
      <c r="A40" s="846"/>
      <c r="B40" s="865" t="s">
        <v>115</v>
      </c>
      <c r="C40" s="1581">
        <v>50000</v>
      </c>
      <c r="D40" s="1582"/>
      <c r="E40" s="1583"/>
      <c r="I40" s="860" t="s">
        <v>94</v>
      </c>
      <c r="J40" s="775">
        <v>5000</v>
      </c>
      <c r="K40" s="861">
        <v>20</v>
      </c>
      <c r="L40" s="862"/>
      <c r="M40" s="777"/>
    </row>
    <row r="41" spans="1:13" ht="17.149999999999999" customHeight="1" thickTop="1" thickBot="1" x14ac:dyDescent="0.35">
      <c r="B41" s="865" t="s">
        <v>127</v>
      </c>
      <c r="D41" s="864" t="s">
        <v>111</v>
      </c>
      <c r="I41" s="786">
        <v>18</v>
      </c>
      <c r="J41" s="843" t="s">
        <v>95</v>
      </c>
      <c r="K41" s="789"/>
      <c r="L41" s="789"/>
      <c r="M41" s="790"/>
    </row>
    <row r="42" spans="1:13" ht="17.149999999999999" customHeight="1" thickTop="1" thickBot="1" x14ac:dyDescent="0.35">
      <c r="B42" s="865" t="s">
        <v>156</v>
      </c>
      <c r="D42" s="864">
        <v>10</v>
      </c>
      <c r="I42" s="856"/>
      <c r="J42" s="866" t="s">
        <v>96</v>
      </c>
      <c r="K42" s="788">
        <v>4.5</v>
      </c>
      <c r="L42" s="789" t="s">
        <v>67</v>
      </c>
      <c r="M42" s="790"/>
    </row>
    <row r="43" spans="1:13" ht="17.149999999999999" customHeight="1" thickTop="1" thickBot="1" x14ac:dyDescent="0.4">
      <c r="A43" s="820">
        <v>11</v>
      </c>
      <c r="B43" s="1596" t="s">
        <v>128</v>
      </c>
      <c r="D43" s="864" t="s">
        <v>111</v>
      </c>
      <c r="I43" s="856"/>
      <c r="J43" s="866" t="s">
        <v>97</v>
      </c>
      <c r="K43" s="788">
        <v>5.25</v>
      </c>
      <c r="L43" s="789" t="s">
        <v>67</v>
      </c>
      <c r="M43" s="790"/>
    </row>
    <row r="44" spans="1:13" ht="17.149999999999999" customHeight="1" thickTop="1" thickBot="1" x14ac:dyDescent="0.35">
      <c r="B44" s="1596"/>
      <c r="I44" s="856"/>
      <c r="J44" s="866" t="s">
        <v>98</v>
      </c>
      <c r="K44" s="788">
        <v>6</v>
      </c>
      <c r="L44" s="789" t="s">
        <v>67</v>
      </c>
      <c r="M44" s="790"/>
    </row>
    <row r="45" spans="1:13" ht="17.149999999999999" customHeight="1" thickTop="1" thickBot="1" x14ac:dyDescent="0.4">
      <c r="A45" s="820">
        <v>12</v>
      </c>
      <c r="B45" s="865" t="s">
        <v>291</v>
      </c>
      <c r="D45" s="864" t="s">
        <v>111</v>
      </c>
      <c r="I45" s="856"/>
      <c r="J45" s="866" t="s">
        <v>99</v>
      </c>
      <c r="K45" s="788">
        <v>6.25</v>
      </c>
      <c r="L45" s="789" t="s">
        <v>67</v>
      </c>
      <c r="M45" s="790"/>
    </row>
    <row r="46" spans="1:13" ht="17.149999999999999" customHeight="1" thickTop="1" thickBot="1" x14ac:dyDescent="0.35">
      <c r="I46" s="856"/>
      <c r="J46" s="866" t="s">
        <v>100</v>
      </c>
      <c r="K46" s="788">
        <v>6.5</v>
      </c>
      <c r="L46" s="789" t="s">
        <v>67</v>
      </c>
      <c r="M46" s="790"/>
    </row>
    <row r="47" spans="1:13" ht="17.149999999999999" customHeight="1" thickTop="1" thickBot="1" x14ac:dyDescent="0.4">
      <c r="A47" s="820">
        <v>13</v>
      </c>
      <c r="B47" s="1580" t="s">
        <v>398</v>
      </c>
      <c r="D47" s="864" t="s">
        <v>111</v>
      </c>
      <c r="I47" s="856"/>
      <c r="J47" s="866" t="s">
        <v>101</v>
      </c>
      <c r="K47" s="788">
        <v>6.75</v>
      </c>
      <c r="L47" s="789" t="s">
        <v>67</v>
      </c>
      <c r="M47" s="790"/>
    </row>
    <row r="48" spans="1:13" ht="17.149999999999999" customHeight="1" thickTop="1" x14ac:dyDescent="0.3">
      <c r="B48" s="1580"/>
      <c r="I48" s="856"/>
      <c r="J48" s="866" t="s">
        <v>102</v>
      </c>
      <c r="K48" s="788">
        <v>7</v>
      </c>
      <c r="L48" s="789" t="s">
        <v>67</v>
      </c>
      <c r="M48" s="790"/>
    </row>
    <row r="49" spans="1:13" ht="17.149999999999999" customHeight="1" thickBot="1" x14ac:dyDescent="0.35">
      <c r="I49" s="856"/>
      <c r="J49" s="866" t="s">
        <v>103</v>
      </c>
      <c r="K49" s="788">
        <v>7</v>
      </c>
      <c r="L49" s="789" t="s">
        <v>67</v>
      </c>
      <c r="M49" s="790"/>
    </row>
    <row r="50" spans="1:13" ht="20.149999999999999" customHeight="1" thickTop="1" thickBot="1" x14ac:dyDescent="0.4">
      <c r="A50" s="820">
        <v>14</v>
      </c>
      <c r="B50" s="865" t="s">
        <v>260</v>
      </c>
      <c r="D50" s="864" t="s">
        <v>111</v>
      </c>
      <c r="I50" s="856"/>
      <c r="J50" s="866" t="s">
        <v>104</v>
      </c>
      <c r="K50" s="788">
        <v>7</v>
      </c>
      <c r="L50" s="789" t="s">
        <v>67</v>
      </c>
      <c r="M50" s="790"/>
    </row>
    <row r="51" spans="1:13" ht="17.149999999999999" customHeight="1" thickTop="1" thickBot="1" x14ac:dyDescent="0.35">
      <c r="I51" s="856"/>
      <c r="J51" s="866" t="s">
        <v>105</v>
      </c>
      <c r="K51" s="788">
        <v>7</v>
      </c>
      <c r="L51" s="789" t="s">
        <v>67</v>
      </c>
      <c r="M51" s="790"/>
    </row>
    <row r="52" spans="1:13" ht="17.149999999999999" customHeight="1" thickTop="1" thickBot="1" x14ac:dyDescent="0.4">
      <c r="A52" s="820">
        <v>15</v>
      </c>
      <c r="B52" s="867" t="str">
        <f>CONCATENATE("Allow Vehicle Above ",'Administration (2)'!F29," Years")</f>
        <v>Allow Vehicle Above 19 Years</v>
      </c>
      <c r="D52" s="864" t="s">
        <v>76</v>
      </c>
      <c r="I52" s="773">
        <v>19</v>
      </c>
      <c r="J52" s="795" t="s">
        <v>38</v>
      </c>
      <c r="K52" s="776"/>
      <c r="L52" s="776"/>
      <c r="M52" s="777"/>
    </row>
    <row r="53" spans="1:13" ht="17.149999999999999" customHeight="1" thickTop="1" thickBot="1" x14ac:dyDescent="0.35">
      <c r="I53" s="852"/>
      <c r="J53" s="776" t="s">
        <v>4</v>
      </c>
      <c r="K53" s="868">
        <v>0.7</v>
      </c>
      <c r="L53" s="776" t="s">
        <v>119</v>
      </c>
      <c r="M53" s="777"/>
    </row>
    <row r="54" spans="1:13" ht="17.149999999999999" customHeight="1" thickTop="1" thickBot="1" x14ac:dyDescent="0.4">
      <c r="A54" s="820">
        <v>16</v>
      </c>
      <c r="B54" s="867" t="s">
        <v>290</v>
      </c>
      <c r="I54" s="852"/>
      <c r="J54" s="869" t="s">
        <v>5</v>
      </c>
      <c r="K54" s="870">
        <v>1.5</v>
      </c>
      <c r="L54" s="869" t="s">
        <v>119</v>
      </c>
      <c r="M54" s="777"/>
    </row>
    <row r="55" spans="1:13" ht="20.149999999999999" customHeight="1" thickTop="1" thickBot="1" x14ac:dyDescent="0.35">
      <c r="B55" s="1581">
        <v>15000</v>
      </c>
      <c r="C55" s="1582"/>
      <c r="D55" s="1583"/>
      <c r="I55" s="852"/>
      <c r="J55" s="869" t="s">
        <v>37</v>
      </c>
      <c r="K55" s="870">
        <v>3.5</v>
      </c>
      <c r="L55" s="869" t="s">
        <v>119</v>
      </c>
      <c r="M55" s="777"/>
    </row>
    <row r="56" spans="1:13" ht="20.149999999999999" customHeight="1" thickTop="1" thickBot="1" x14ac:dyDescent="0.35">
      <c r="I56" s="852"/>
      <c r="J56" s="869" t="s">
        <v>118</v>
      </c>
      <c r="K56" s="870">
        <v>1.5</v>
      </c>
      <c r="L56" s="869" t="s">
        <v>119</v>
      </c>
      <c r="M56" s="777"/>
    </row>
    <row r="57" spans="1:13" ht="20.149999999999999" customHeight="1" thickTop="1" thickBot="1" x14ac:dyDescent="0.45">
      <c r="A57" s="820">
        <v>17</v>
      </c>
      <c r="B57" s="871" t="s">
        <v>359</v>
      </c>
      <c r="I57" s="786">
        <v>20</v>
      </c>
      <c r="J57" s="843" t="s">
        <v>120</v>
      </c>
      <c r="K57" s="788">
        <v>33.33</v>
      </c>
      <c r="L57" s="789" t="s">
        <v>67</v>
      </c>
      <c r="M57" s="790"/>
    </row>
    <row r="58" spans="1:13" ht="20.149999999999999" customHeight="1" thickTop="1" thickBot="1" x14ac:dyDescent="0.35">
      <c r="B58" s="872" t="s">
        <v>363</v>
      </c>
      <c r="D58" s="864" t="s">
        <v>76</v>
      </c>
      <c r="I58" s="773">
        <v>21</v>
      </c>
      <c r="J58" s="795" t="s">
        <v>225</v>
      </c>
      <c r="K58" s="776"/>
      <c r="L58" s="776"/>
      <c r="M58" s="777"/>
    </row>
    <row r="59" spans="1:13" ht="20.149999999999999" customHeight="1" thickTop="1" thickBot="1" x14ac:dyDescent="0.35">
      <c r="B59" s="872" t="s">
        <v>360</v>
      </c>
      <c r="D59" s="741">
        <v>15</v>
      </c>
      <c r="E59" s="745" t="s">
        <v>364</v>
      </c>
      <c r="I59" s="852"/>
      <c r="J59" s="776" t="s">
        <v>226</v>
      </c>
      <c r="K59" s="868">
        <v>0</v>
      </c>
      <c r="L59" s="873" t="s">
        <v>75</v>
      </c>
      <c r="M59" s="777"/>
    </row>
    <row r="60" spans="1:13" ht="20.149999999999999" customHeight="1" thickBot="1" x14ac:dyDescent="0.35">
      <c r="B60" s="872" t="s">
        <v>361</v>
      </c>
      <c r="D60" s="741">
        <v>15</v>
      </c>
      <c r="E60" s="745" t="s">
        <v>364</v>
      </c>
      <c r="I60" s="852"/>
      <c r="J60" s="776" t="s">
        <v>227</v>
      </c>
      <c r="K60" s="870">
        <v>0</v>
      </c>
      <c r="L60" s="873" t="s">
        <v>75</v>
      </c>
      <c r="M60" s="777"/>
    </row>
    <row r="61" spans="1:13" ht="20.149999999999999" customHeight="1" thickTop="1" thickBot="1" x14ac:dyDescent="0.35">
      <c r="A61" s="874"/>
      <c r="B61" s="875" t="s">
        <v>365</v>
      </c>
      <c r="D61" s="864" t="s">
        <v>76</v>
      </c>
      <c r="I61" s="852"/>
      <c r="J61" s="869" t="s">
        <v>39</v>
      </c>
      <c r="K61" s="870">
        <v>0</v>
      </c>
      <c r="L61" s="873" t="s">
        <v>75</v>
      </c>
      <c r="M61" s="777"/>
    </row>
    <row r="62" spans="1:13" ht="20.149999999999999" customHeight="1" thickTop="1" thickBot="1" x14ac:dyDescent="0.35">
      <c r="I62" s="852"/>
      <c r="J62" s="869" t="s">
        <v>40</v>
      </c>
      <c r="K62" s="870">
        <v>6000</v>
      </c>
      <c r="L62" s="873" t="s">
        <v>75</v>
      </c>
      <c r="M62" s="777"/>
    </row>
    <row r="63" spans="1:13" ht="20.149999999999999" customHeight="1" thickTop="1" thickBot="1" x14ac:dyDescent="0.4">
      <c r="A63" s="820">
        <v>18</v>
      </c>
      <c r="B63" s="876" t="s">
        <v>362</v>
      </c>
      <c r="D63" s="864" t="s">
        <v>76</v>
      </c>
      <c r="I63" s="852"/>
      <c r="J63" s="869" t="s">
        <v>221</v>
      </c>
      <c r="K63" s="870">
        <v>0</v>
      </c>
      <c r="L63" s="873" t="s">
        <v>75</v>
      </c>
      <c r="M63" s="777"/>
    </row>
    <row r="64" spans="1:13" ht="20.149999999999999" customHeight="1" thickTop="1" thickBot="1" x14ac:dyDescent="0.35">
      <c r="B64" s="872" t="s">
        <v>363</v>
      </c>
      <c r="D64" s="864" t="s">
        <v>76</v>
      </c>
      <c r="I64" s="852"/>
      <c r="J64" s="869" t="s">
        <v>228</v>
      </c>
      <c r="K64" s="870">
        <v>2500</v>
      </c>
      <c r="L64" s="873" t="s">
        <v>75</v>
      </c>
      <c r="M64" s="777"/>
    </row>
    <row r="65" spans="1:13" ht="20.149999999999999" customHeight="1" thickTop="1" thickBot="1" x14ac:dyDescent="0.35">
      <c r="I65" s="852"/>
      <c r="J65" s="869" t="s">
        <v>224</v>
      </c>
      <c r="K65" s="870">
        <v>2000</v>
      </c>
      <c r="L65" s="873" t="s">
        <v>75</v>
      </c>
      <c r="M65" s="777"/>
    </row>
    <row r="66" spans="1:13" ht="20.149999999999999" customHeight="1" thickTop="1" thickBot="1" x14ac:dyDescent="0.45">
      <c r="A66" s="820">
        <v>19</v>
      </c>
      <c r="B66" s="871" t="s">
        <v>366</v>
      </c>
      <c r="I66" s="852"/>
      <c r="J66" s="869" t="s">
        <v>229</v>
      </c>
      <c r="K66" s="870">
        <v>5000</v>
      </c>
      <c r="L66" s="873" t="s">
        <v>75</v>
      </c>
      <c r="M66" s="777"/>
    </row>
    <row r="67" spans="1:13" ht="20.149999999999999" customHeight="1" thickTop="1" thickBot="1" x14ac:dyDescent="0.35">
      <c r="B67" s="877" t="s">
        <v>367</v>
      </c>
      <c r="D67" s="864" t="s">
        <v>76</v>
      </c>
      <c r="I67" s="852"/>
      <c r="J67" s="869" t="s">
        <v>216</v>
      </c>
      <c r="K67" s="870">
        <v>2500</v>
      </c>
      <c r="L67" s="873" t="s">
        <v>75</v>
      </c>
      <c r="M67" s="777"/>
    </row>
    <row r="68" spans="1:13" ht="20.149999999999999" customHeight="1" thickTop="1" x14ac:dyDescent="0.3">
      <c r="A68" s="1584" t="s">
        <v>432</v>
      </c>
      <c r="B68" s="1585"/>
      <c r="C68" s="1585"/>
      <c r="D68" s="1585"/>
      <c r="E68" s="1585"/>
      <c r="F68" s="1585"/>
      <c r="G68" s="1586"/>
      <c r="I68" s="852"/>
      <c r="J68" s="869" t="s">
        <v>266</v>
      </c>
      <c r="K68" s="870">
        <v>10</v>
      </c>
      <c r="L68" s="878">
        <v>5000</v>
      </c>
      <c r="M68" s="879" t="s">
        <v>279</v>
      </c>
    </row>
    <row r="69" spans="1:13" ht="20.149999999999999" customHeight="1" x14ac:dyDescent="0.3">
      <c r="A69" s="1587"/>
      <c r="B69" s="1588"/>
      <c r="C69" s="1588"/>
      <c r="D69" s="1588"/>
      <c r="E69" s="1588"/>
      <c r="F69" s="1588"/>
      <c r="G69" s="1589"/>
      <c r="I69" s="852"/>
      <c r="J69" s="869" t="s">
        <v>206</v>
      </c>
      <c r="K69" s="870">
        <v>0</v>
      </c>
      <c r="L69" s="873" t="s">
        <v>75</v>
      </c>
      <c r="M69" s="777"/>
    </row>
    <row r="70" spans="1:13" ht="20.149999999999999" customHeight="1" thickBot="1" x14ac:dyDescent="0.35">
      <c r="I70" s="852"/>
      <c r="J70" s="869" t="s">
        <v>267</v>
      </c>
      <c r="K70" s="870">
        <v>0</v>
      </c>
      <c r="L70" s="873" t="s">
        <v>75</v>
      </c>
      <c r="M70" s="777"/>
    </row>
    <row r="71" spans="1:13" ht="20.149999999999999" customHeight="1" thickTop="1" thickBot="1" x14ac:dyDescent="0.35">
      <c r="B71" s="877" t="s">
        <v>368</v>
      </c>
      <c r="D71" s="864" t="s">
        <v>111</v>
      </c>
      <c r="I71" s="852"/>
      <c r="J71" s="869" t="s">
        <v>205</v>
      </c>
      <c r="K71" s="870">
        <v>0</v>
      </c>
      <c r="L71" s="873" t="s">
        <v>75</v>
      </c>
      <c r="M71" s="777"/>
    </row>
    <row r="72" spans="1:13" ht="20.149999999999999" customHeight="1" thickTop="1" x14ac:dyDescent="0.3">
      <c r="A72" s="1584"/>
      <c r="B72" s="1585"/>
      <c r="C72" s="1585"/>
      <c r="D72" s="1585"/>
      <c r="E72" s="1585"/>
      <c r="F72" s="1585"/>
      <c r="G72" s="1586"/>
      <c r="I72" s="852"/>
      <c r="J72" s="869" t="s">
        <v>271</v>
      </c>
      <c r="K72" s="870">
        <v>0</v>
      </c>
      <c r="L72" s="873" t="s">
        <v>75</v>
      </c>
      <c r="M72" s="777"/>
    </row>
    <row r="73" spans="1:13" ht="20.149999999999999" customHeight="1" x14ac:dyDescent="0.3">
      <c r="A73" s="1587"/>
      <c r="B73" s="1588"/>
      <c r="C73" s="1588"/>
      <c r="D73" s="1588"/>
      <c r="E73" s="1588"/>
      <c r="F73" s="1588"/>
      <c r="G73" s="1589"/>
      <c r="I73" s="852"/>
      <c r="J73" s="869" t="s">
        <v>272</v>
      </c>
      <c r="K73" s="870">
        <v>0</v>
      </c>
      <c r="L73" s="873" t="s">
        <v>75</v>
      </c>
      <c r="M73" s="777"/>
    </row>
    <row r="74" spans="1:13" ht="20.149999999999999" customHeight="1" thickBot="1" x14ac:dyDescent="0.35">
      <c r="I74" s="852"/>
      <c r="J74" s="869" t="s">
        <v>207</v>
      </c>
      <c r="K74" s="870">
        <v>0</v>
      </c>
      <c r="L74" s="873" t="s">
        <v>75</v>
      </c>
      <c r="M74" s="777"/>
    </row>
    <row r="75" spans="1:13" ht="20.149999999999999" customHeight="1" thickTop="1" thickBot="1" x14ac:dyDescent="0.35">
      <c r="B75" s="877" t="s">
        <v>369</v>
      </c>
      <c r="D75" s="864" t="s">
        <v>111</v>
      </c>
      <c r="F75" s="880">
        <v>0.25</v>
      </c>
      <c r="I75" s="852"/>
      <c r="J75" s="869" t="s">
        <v>211</v>
      </c>
      <c r="K75" s="870">
        <v>0</v>
      </c>
      <c r="L75" s="873" t="s">
        <v>75</v>
      </c>
      <c r="M75" s="777"/>
    </row>
    <row r="76" spans="1:13" ht="20.149999999999999" customHeight="1" thickTop="1" thickBot="1" x14ac:dyDescent="0.35">
      <c r="B76" s="872" t="s">
        <v>363</v>
      </c>
      <c r="D76" s="864" t="str">
        <f>IF(OR('TW-Working'!H14="Yes",'TW-Working'!M12="Corporate"),"Yes","No")</f>
        <v>Yes</v>
      </c>
      <c r="I76" s="852"/>
      <c r="J76" s="881" t="s">
        <v>208</v>
      </c>
      <c r="K76" s="870">
        <v>3000</v>
      </c>
      <c r="L76" s="873" t="s">
        <v>75</v>
      </c>
      <c r="M76" s="777"/>
    </row>
    <row r="77" spans="1:13" ht="20.149999999999999" customHeight="1" thickTop="1" x14ac:dyDescent="0.3">
      <c r="I77" s="786">
        <v>22</v>
      </c>
      <c r="J77" s="843" t="s">
        <v>302</v>
      </c>
      <c r="K77" s="789"/>
      <c r="L77" s="789"/>
      <c r="M77" s="790"/>
    </row>
    <row r="78" spans="1:13" ht="20.149999999999999" customHeight="1" thickBot="1" x14ac:dyDescent="0.35">
      <c r="I78" s="856"/>
      <c r="J78" s="866" t="s">
        <v>312</v>
      </c>
      <c r="K78" s="882">
        <v>0.125</v>
      </c>
      <c r="L78" s="789" t="s">
        <v>303</v>
      </c>
      <c r="M78" s="790"/>
    </row>
    <row r="79" spans="1:13" ht="20.149999999999999" customHeight="1" thickTop="1" thickBot="1" x14ac:dyDescent="0.45">
      <c r="A79" s="820">
        <v>20</v>
      </c>
      <c r="B79" s="871" t="s">
        <v>393</v>
      </c>
      <c r="D79" s="864" t="s">
        <v>76</v>
      </c>
      <c r="I79" s="856"/>
      <c r="J79" s="866" t="s">
        <v>304</v>
      </c>
      <c r="K79" s="882">
        <v>0.25</v>
      </c>
      <c r="L79" s="789" t="s">
        <v>303</v>
      </c>
      <c r="M79" s="790"/>
    </row>
    <row r="80" spans="1:13" ht="20.149999999999999" customHeight="1" thickTop="1" thickBot="1" x14ac:dyDescent="0.35">
      <c r="I80" s="856"/>
      <c r="J80" s="866" t="s">
        <v>305</v>
      </c>
      <c r="K80" s="882">
        <v>0.375</v>
      </c>
      <c r="L80" s="789" t="s">
        <v>303</v>
      </c>
      <c r="M80" s="790"/>
    </row>
    <row r="81" spans="1:13" ht="20.149999999999999" customHeight="1" thickTop="1" thickBot="1" x14ac:dyDescent="0.4">
      <c r="A81" s="820">
        <v>24</v>
      </c>
      <c r="B81" s="883" t="s">
        <v>404</v>
      </c>
      <c r="D81" s="864" t="s">
        <v>111</v>
      </c>
      <c r="F81" s="864">
        <v>1000</v>
      </c>
      <c r="I81" s="856"/>
      <c r="J81" s="866" t="s">
        <v>298</v>
      </c>
      <c r="K81" s="882">
        <v>0.5</v>
      </c>
      <c r="L81" s="789" t="s">
        <v>67</v>
      </c>
      <c r="M81" s="790"/>
    </row>
    <row r="82" spans="1:13" ht="20.149999999999999" customHeight="1" thickTop="1" thickBot="1" x14ac:dyDescent="0.35">
      <c r="B82" s="884" t="s">
        <v>406</v>
      </c>
      <c r="I82" s="856"/>
      <c r="J82" s="866" t="s">
        <v>306</v>
      </c>
      <c r="K82" s="882">
        <v>0.625</v>
      </c>
      <c r="L82" s="789" t="s">
        <v>67</v>
      </c>
      <c r="M82" s="790"/>
    </row>
    <row r="83" spans="1:13" ht="20.149999999999999" customHeight="1" thickTop="1" thickBot="1" x14ac:dyDescent="0.35">
      <c r="B83" s="885" t="s">
        <v>219</v>
      </c>
      <c r="D83" s="864">
        <v>2500</v>
      </c>
      <c r="I83" s="856"/>
      <c r="J83" s="866" t="s">
        <v>301</v>
      </c>
      <c r="K83" s="882">
        <v>0.75</v>
      </c>
      <c r="L83" s="789" t="s">
        <v>67</v>
      </c>
      <c r="M83" s="790"/>
    </row>
    <row r="84" spans="1:13" ht="20.149999999999999" customHeight="1" thickTop="1" x14ac:dyDescent="0.3">
      <c r="I84" s="856"/>
      <c r="J84" s="866" t="s">
        <v>307</v>
      </c>
      <c r="K84" s="882">
        <v>0.75</v>
      </c>
      <c r="L84" s="789" t="s">
        <v>67</v>
      </c>
      <c r="M84" s="790"/>
    </row>
    <row r="85" spans="1:13" ht="20.149999999999999" customHeight="1" thickBot="1" x14ac:dyDescent="0.35">
      <c r="I85" s="856"/>
      <c r="J85" s="866" t="s">
        <v>308</v>
      </c>
      <c r="K85" s="882">
        <v>0.875</v>
      </c>
      <c r="L85" s="789" t="s">
        <v>303</v>
      </c>
      <c r="M85" s="790"/>
    </row>
    <row r="86" spans="1:13" ht="20.149999999999999" customHeight="1" thickTop="1" thickBot="1" x14ac:dyDescent="0.4">
      <c r="A86" s="820">
        <v>25</v>
      </c>
      <c r="B86" s="883" t="s">
        <v>409</v>
      </c>
      <c r="D86" s="886" t="s">
        <v>411</v>
      </c>
      <c r="E86" s="886"/>
      <c r="F86" s="886" t="s">
        <v>0</v>
      </c>
      <c r="I86" s="856"/>
      <c r="J86" s="866" t="s">
        <v>300</v>
      </c>
      <c r="K86" s="882">
        <v>0.875</v>
      </c>
      <c r="L86" s="789" t="s">
        <v>303</v>
      </c>
      <c r="M86" s="790"/>
    </row>
    <row r="87" spans="1:13" ht="20.149999999999999" customHeight="1" thickTop="1" x14ac:dyDescent="0.3">
      <c r="B87" s="887" t="s">
        <v>58</v>
      </c>
      <c r="D87" s="888">
        <f>IF(OR('TW-Working'!K14='TW-Working'!F109,'TW-Working'!K14='TW-Working'!F116),1,IF('TW-Working'!K14='TW-Working'!F101,0,IF('TW-Working'!K14='TW-Working'!F114,0,IF('TW-Working'!K14='TW-Working'!F99,'Rates (2)'!D98,0))))</f>
        <v>0</v>
      </c>
      <c r="E87" s="889"/>
      <c r="F87" s="888">
        <f>IF('TW-Working'!K14='TW-Working'!F101,10,IF('TW-Working'!K14='TW-Working'!F114,10,IF('TW-Working'!K14='TW-Working'!F99,'Rates (2)'!F98,15)))</f>
        <v>15</v>
      </c>
      <c r="I87" s="856"/>
      <c r="J87" s="866" t="s">
        <v>309</v>
      </c>
      <c r="K87" s="890">
        <v>1</v>
      </c>
      <c r="L87" s="789" t="s">
        <v>303</v>
      </c>
      <c r="M87" s="790"/>
    </row>
    <row r="88" spans="1:13" ht="20.149999999999999" customHeight="1" x14ac:dyDescent="0.3">
      <c r="B88" s="887" t="s">
        <v>410</v>
      </c>
      <c r="D88" s="888">
        <f>IF(OR('TW-Working'!K14='TW-Working'!F109,'TW-Working'!K14='TW-Working'!F116),0,IF('TW-Working'!K14='TW-Working'!F114,D92,IF(OR('TW-Working'!K14='TW-Working'!F104,'TW-Working'!K14='TW-Working'!F120),D104,0)))</f>
        <v>0</v>
      </c>
      <c r="E88" s="889"/>
      <c r="F88" s="888">
        <f>IF(OR('TW-Working'!K14='TW-Working'!F109,'TW-Working'!K14='TW-Working'!F116),15,IF('TW-Working'!K14='TW-Working'!F114,F92,IF(OR('TW-Working'!K14='TW-Working'!F104,'TW-Working'!K14='TW-Working'!F120),F104,15)))</f>
        <v>15</v>
      </c>
      <c r="I88" s="856"/>
      <c r="J88" s="866" t="s">
        <v>310</v>
      </c>
      <c r="K88" s="890">
        <v>1</v>
      </c>
      <c r="L88" s="789" t="s">
        <v>303</v>
      </c>
      <c r="M88" s="790"/>
    </row>
    <row r="89" spans="1:13" ht="20.149999999999999" customHeight="1" x14ac:dyDescent="0.3">
      <c r="I89" s="856"/>
      <c r="J89" s="866" t="s">
        <v>311</v>
      </c>
      <c r="K89" s="890">
        <v>1</v>
      </c>
      <c r="L89" s="789" t="s">
        <v>303</v>
      </c>
      <c r="M89" s="790"/>
    </row>
    <row r="90" spans="1:13" ht="20.149999999999999" customHeight="1" x14ac:dyDescent="0.3">
      <c r="B90" s="749"/>
      <c r="I90" s="856"/>
      <c r="J90" s="866" t="s">
        <v>299</v>
      </c>
      <c r="K90" s="890">
        <v>1</v>
      </c>
      <c r="L90" s="789" t="s">
        <v>303</v>
      </c>
      <c r="M90" s="790"/>
    </row>
    <row r="91" spans="1:13" ht="20.149999999999999" customHeight="1" x14ac:dyDescent="0.3">
      <c r="B91" s="891" t="s">
        <v>430</v>
      </c>
      <c r="C91" s="891"/>
      <c r="D91" s="892" t="s">
        <v>411</v>
      </c>
      <c r="E91" s="892"/>
      <c r="F91" s="892" t="s">
        <v>0</v>
      </c>
      <c r="I91" s="856"/>
      <c r="J91" s="866"/>
      <c r="K91" s="788"/>
      <c r="L91" s="789"/>
      <c r="M91" s="790"/>
    </row>
    <row r="92" spans="1:13" ht="20.149999999999999" customHeight="1" x14ac:dyDescent="0.3">
      <c r="B92" s="893" t="s">
        <v>431</v>
      </c>
      <c r="D92" s="888">
        <f>IF('TW-Working'!H9="Hiring",'Rates (2)'!D95,'Rates (2)'!F95)</f>
        <v>33.799999999999997</v>
      </c>
      <c r="E92" s="889"/>
      <c r="F92" s="888">
        <f>IF('TW-Working'!H9="Hiring",'Rates (2)'!D96,'Rates (2)'!F96)</f>
        <v>65</v>
      </c>
      <c r="I92" s="856"/>
      <c r="J92" s="866"/>
      <c r="K92" s="788"/>
      <c r="L92" s="789"/>
      <c r="M92" s="790"/>
    </row>
    <row r="93" spans="1:13" ht="20.149999999999999" customHeight="1" x14ac:dyDescent="0.3">
      <c r="I93" s="856"/>
      <c r="J93" s="866"/>
      <c r="K93" s="788"/>
      <c r="L93" s="789"/>
      <c r="M93" s="790"/>
    </row>
    <row r="94" spans="1:13" ht="20.149999999999999" customHeight="1" x14ac:dyDescent="0.3">
      <c r="D94" s="745" t="s">
        <v>39</v>
      </c>
      <c r="F94" s="745" t="s">
        <v>43</v>
      </c>
      <c r="I94" s="856"/>
      <c r="J94" s="866"/>
      <c r="K94" s="788"/>
      <c r="L94" s="789"/>
      <c r="M94" s="790"/>
    </row>
    <row r="95" spans="1:13" ht="20.149999999999999" customHeight="1" x14ac:dyDescent="0.25">
      <c r="B95" s="894" t="s">
        <v>411</v>
      </c>
      <c r="D95" s="745">
        <v>33.799999999999997</v>
      </c>
      <c r="F95" s="745">
        <v>10</v>
      </c>
    </row>
    <row r="96" spans="1:13" ht="20.149999999999999" customHeight="1" x14ac:dyDescent="0.25">
      <c r="B96" s="895" t="s">
        <v>0</v>
      </c>
      <c r="C96" s="896"/>
      <c r="D96" s="896">
        <v>65</v>
      </c>
      <c r="E96" s="896"/>
      <c r="F96" s="896">
        <v>38.32</v>
      </c>
    </row>
    <row r="97" spans="2:6" ht="20.149999999999999" customHeight="1" x14ac:dyDescent="0.3">
      <c r="B97" s="897" t="s">
        <v>434</v>
      </c>
      <c r="C97" s="891"/>
      <c r="D97" s="892" t="s">
        <v>411</v>
      </c>
      <c r="E97" s="892"/>
      <c r="F97" s="892" t="s">
        <v>0</v>
      </c>
    </row>
    <row r="98" spans="2:6" ht="20.149999999999999" customHeight="1" x14ac:dyDescent="0.3">
      <c r="B98" s="893" t="s">
        <v>433</v>
      </c>
      <c r="D98" s="888">
        <v>0</v>
      </c>
      <c r="E98" s="889"/>
      <c r="F98" s="888">
        <v>15</v>
      </c>
    </row>
    <row r="99" spans="2:6" ht="20.149999999999999" customHeight="1" x14ac:dyDescent="0.25">
      <c r="D99" s="898" t="s">
        <v>435</v>
      </c>
      <c r="F99" s="899" t="s">
        <v>436</v>
      </c>
    </row>
    <row r="100" spans="2:6" ht="20.149999999999999" customHeight="1" x14ac:dyDescent="0.25">
      <c r="B100" s="894" t="s">
        <v>441</v>
      </c>
      <c r="D100" s="745">
        <v>0</v>
      </c>
      <c r="F100" s="745">
        <v>0</v>
      </c>
    </row>
    <row r="101" spans="2:6" ht="20.149999999999999" customHeight="1" x14ac:dyDescent="0.25">
      <c r="B101" s="895" t="s">
        <v>442</v>
      </c>
      <c r="C101" s="896"/>
      <c r="D101" s="896">
        <v>15</v>
      </c>
      <c r="E101" s="896"/>
      <c r="F101" s="896">
        <v>15</v>
      </c>
    </row>
    <row r="102" spans="2:6" ht="20.149999999999999" customHeight="1" x14ac:dyDescent="0.25">
      <c r="B102" s="895"/>
      <c r="C102" s="896"/>
      <c r="D102" s="896"/>
      <c r="E102" s="896"/>
      <c r="F102" s="896"/>
    </row>
    <row r="103" spans="2:6" ht="23.25" customHeight="1" x14ac:dyDescent="0.3">
      <c r="B103" s="900" t="s">
        <v>439</v>
      </c>
      <c r="C103" s="891"/>
      <c r="D103" s="892" t="s">
        <v>411</v>
      </c>
      <c r="E103" s="892"/>
      <c r="F103" s="892" t="s">
        <v>0</v>
      </c>
    </row>
    <row r="104" spans="2:6" ht="20.149999999999999" customHeight="1" x14ac:dyDescent="0.3">
      <c r="B104" s="893" t="s">
        <v>431</v>
      </c>
      <c r="D104" s="888">
        <v>33</v>
      </c>
      <c r="E104" s="889"/>
      <c r="F104" s="888">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362"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03" customWidth="1"/>
    <col min="2" max="3" width="10.26953125" style="903" customWidth="1"/>
    <col min="4" max="4" width="1.7265625" style="903" customWidth="1"/>
    <col min="5" max="5" width="3.54296875" style="903" customWidth="1"/>
    <col min="6" max="6" width="10.1796875" style="903" customWidth="1"/>
    <col min="7" max="7" width="5.453125" style="903" customWidth="1"/>
    <col min="8" max="8" width="4.1796875" style="903" customWidth="1"/>
    <col min="9" max="9" width="3.7265625" style="903" customWidth="1"/>
    <col min="10" max="10" width="10.1796875" style="903" customWidth="1"/>
    <col min="11" max="11" width="6.54296875" style="903" customWidth="1"/>
    <col min="12" max="12" width="9.54296875" style="903" customWidth="1"/>
    <col min="13" max="13" width="2.26953125" style="903" customWidth="1"/>
    <col min="14" max="14" width="10.7265625" style="903" customWidth="1"/>
    <col min="15" max="15" width="13.54296875" style="903" customWidth="1"/>
    <col min="16" max="16" width="9.453125" style="903" bestFit="1" customWidth="1"/>
    <col min="17" max="19" width="9.1796875" style="903"/>
    <col min="20" max="20" width="11.453125" style="903" customWidth="1"/>
    <col min="21" max="21" width="10.453125" style="903" bestFit="1" customWidth="1"/>
    <col min="22" max="16384" width="9.1796875" style="903"/>
  </cols>
  <sheetData>
    <row r="1" spans="1:24" ht="20.149999999999999" customHeight="1" x14ac:dyDescent="0.3">
      <c r="A1" s="1621"/>
      <c r="B1" s="1622"/>
      <c r="C1" s="1622"/>
      <c r="D1" s="1622"/>
      <c r="E1" s="1622"/>
      <c r="F1" s="1622"/>
      <c r="G1" s="1622"/>
      <c r="H1" s="1622"/>
      <c r="I1" s="1622"/>
      <c r="J1" s="901"/>
      <c r="K1" s="901"/>
      <c r="L1" s="901"/>
      <c r="M1" s="902"/>
      <c r="R1" s="904" t="s">
        <v>323</v>
      </c>
      <c r="S1" s="904">
        <f>IF(O3&gt;DATE('TW-Working'!I4,2,28),K3,'TW-Working'!I4)</f>
        <v>2014</v>
      </c>
      <c r="T1" s="903">
        <f>IF(OR(S1=2008,S1=2012,S1=2016,S1=2020),366,365)</f>
        <v>365</v>
      </c>
      <c r="U1" s="905" t="s">
        <v>218</v>
      </c>
      <c r="V1" s="905" t="s">
        <v>324</v>
      </c>
      <c r="W1" s="906" t="s">
        <v>325</v>
      </c>
    </row>
    <row r="2" spans="1:24" ht="20.149999999999999" customHeight="1" thickBot="1" x14ac:dyDescent="0.3">
      <c r="A2" s="907"/>
      <c r="B2" s="908"/>
      <c r="C2" s="908"/>
      <c r="D2" s="908"/>
      <c r="E2" s="908"/>
      <c r="F2" s="908"/>
      <c r="G2" s="908"/>
      <c r="H2" s="904"/>
      <c r="I2" s="904"/>
      <c r="J2" s="904"/>
      <c r="K2" s="904"/>
      <c r="L2" s="904"/>
      <c r="M2" s="909"/>
      <c r="O2" s="906" t="s">
        <v>202</v>
      </c>
      <c r="P2" s="906" t="s">
        <v>201</v>
      </c>
      <c r="Q2" s="906"/>
      <c r="R2" s="903" t="s">
        <v>326</v>
      </c>
      <c r="S2" s="903">
        <f>IF(OR('TW-Working'!I4=2008,'TW-Working'!I4=2012,'TW-Working'!I4=2016,'TW-Working'!I4=2020),29,28)</f>
        <v>28</v>
      </c>
      <c r="T2" s="903">
        <f>IF(OR(K3=2008,K3=2012,K3=2016,K3=2020),29,28)</f>
        <v>28</v>
      </c>
      <c r="U2" s="906">
        <f>IF(AND('TW-Working'!G4=1,'TW-Working'!H4="January"),'TW-Working'!I4,'TW-Working'!I4+1)</f>
        <v>2014</v>
      </c>
      <c r="V2" s="903" t="str">
        <f>IF('TW-Working'!G4-1=0,V4,'TW-Working'!H4)</f>
        <v>August</v>
      </c>
      <c r="W2" s="903">
        <f>IF('TW-Working'!G4-1=0,W4,'TW-Working'!G4-1)</f>
        <v>23</v>
      </c>
    </row>
    <row r="3" spans="1:24" ht="15.75" customHeight="1" thickBot="1" x14ac:dyDescent="0.3">
      <c r="A3" s="907"/>
      <c r="B3" s="908"/>
      <c r="C3" s="908"/>
      <c r="D3" s="908"/>
      <c r="E3" s="908"/>
      <c r="F3" s="908"/>
      <c r="G3" s="908"/>
      <c r="H3" s="910" t="s">
        <v>327</v>
      </c>
      <c r="I3" s="911">
        <f>W2</f>
        <v>23</v>
      </c>
      <c r="J3" s="911" t="str">
        <f>V2</f>
        <v>August</v>
      </c>
      <c r="K3" s="911">
        <f>U2</f>
        <v>2014</v>
      </c>
      <c r="L3" s="904"/>
      <c r="M3" s="909"/>
      <c r="O3" s="912">
        <f>DATE('TW-Working'!I4,P3,'TW-Working'!G4)</f>
        <v>41510</v>
      </c>
      <c r="P3" s="903">
        <f>IF('TW-Working'!H4="January",1,IF('TW-Working'!H4="February",2,IF('TW-Working'!H4="March",3,IF('TW-Working'!H4="April",4,IF('TW-Working'!H4="May",5,IF('TW-Working'!H4="June",6,IF('TW-Working'!H4="July",7,IF('TW-Working'!H4="August",8,Q3))))))))</f>
        <v>8</v>
      </c>
      <c r="Q3" s="903">
        <f>IF('TW-Working'!H4="September",9,IF('TW-Working'!H4="October",10,IF('TW-Working'!H4="November",11,12)))</f>
        <v>12</v>
      </c>
      <c r="R3" s="903" t="s">
        <v>328</v>
      </c>
      <c r="S3" s="903">
        <f>IF(AND(P3=2,'TW-Working'!G4&gt;S2),0,IF(AND(P3=4,'TW-Working'!G4&gt;30),0,IF(AND(P3=6,'TW-Working'!G4&gt;30),0,IF(AND(P3=9,'TW-Working'!G4&gt;30),0,IF(AND(P3=11,'TW-Working'!G4&gt;30),0,1)))))</f>
        <v>1</v>
      </c>
    </row>
    <row r="4" spans="1:24" ht="15.75" customHeight="1" x14ac:dyDescent="0.25">
      <c r="A4" s="907"/>
      <c r="B4" s="908"/>
      <c r="C4" s="908"/>
      <c r="D4" s="908"/>
      <c r="E4" s="908"/>
      <c r="F4" s="908"/>
      <c r="G4" s="908"/>
      <c r="H4" s="904"/>
      <c r="I4" s="913"/>
      <c r="J4" s="913"/>
      <c r="K4" s="913"/>
      <c r="L4" s="913"/>
      <c r="M4" s="914"/>
      <c r="N4" s="915"/>
      <c r="O4" s="912">
        <f>DATE(K3,P4,I3)</f>
        <v>41874</v>
      </c>
      <c r="P4" s="903">
        <f>IF(J3="January",1,IF(J3="February",2,IF(J3="March",3,IF(J3="April",4,IF(J3="May",5,IF(J3="June",6,IF(J3="July",7,IF(J3="August",8,Q4))))))))</f>
        <v>8</v>
      </c>
      <c r="Q4" s="903">
        <f>IF(J3="September",9,IF(J3="October",10,IF(J3="November",11,12)))</f>
        <v>12</v>
      </c>
      <c r="R4" s="903" t="s">
        <v>328</v>
      </c>
      <c r="S4" s="903">
        <f>IF(AND(P4=2,I3&gt;S2),0,IF(AND(P4=4,I3&gt;30),0,IF(AND(P4=6,I3&gt;30),0,IF(AND(P4=9,I3&gt;30),0,IF(AND(P4=11,I3&gt;30),0,1)))))</f>
        <v>1</v>
      </c>
      <c r="T4" s="916" t="s">
        <v>329</v>
      </c>
      <c r="U4" s="903">
        <f>IF('TW-Working'!$H$4="January",31,IF('TW-Working'!$H$4="February",S2,IF('TW-Working'!$H$4="March",31,IF('TW-Working'!$H$4="April",30,IF('TW-Working'!$H$4="May",31,IF('TW-Working'!$H$4="June",30,IF('TW-Working'!$H$4="July",31,IF('TW-Working'!$H$4="August",31,U5))))))))</f>
        <v>31</v>
      </c>
      <c r="V4" s="903" t="str">
        <f>IF('TW-Working'!$H$4="January","December",IF('TW-Working'!$H$4="February","January",IF('TW-Working'!$H$4="March","February",IF('TW-Working'!$H$4="April","March",IF('TW-Working'!$H$4="May","April",IF('TW-Working'!$H$4="June","May",IF('TW-Working'!$H$4="July","June",IF('TW-Working'!$H$4="August","July",V5))))))))</f>
        <v>July</v>
      </c>
      <c r="W4" s="903">
        <f>IF(V4="January",31,IF(V4="February",T2,IF(V4="March",31,IF(V4="April",30,IF(V4="May",31,IF(V4="June",30,IF(V4="July",31,IF(V4="August",31,W5))))))))</f>
        <v>31</v>
      </c>
    </row>
    <row r="5" spans="1:24" ht="12.75" customHeight="1" thickBot="1" x14ac:dyDescent="0.3">
      <c r="A5" s="907"/>
      <c r="B5" s="908"/>
      <c r="C5" s="908"/>
      <c r="D5" s="908"/>
      <c r="E5" s="908"/>
      <c r="F5" s="908"/>
      <c r="G5" s="908"/>
      <c r="H5" s="917"/>
      <c r="I5" s="1623" t="str">
        <f>IF('TW-Working'!H3="Short period","Period Used (only for Short Period)","")</f>
        <v/>
      </c>
      <c r="J5" s="1623"/>
      <c r="K5" s="1623"/>
      <c r="L5" s="1623"/>
      <c r="M5" s="914"/>
      <c r="N5" s="918"/>
      <c r="O5" s="912"/>
      <c r="U5" s="903">
        <f>IF('TW-Working'!$H$4="September",30,IF('TW-Working'!$H$4="October",31,IF('TW-Working'!$H$4="November",30,31)))</f>
        <v>31</v>
      </c>
      <c r="V5" s="903" t="str">
        <f>IF('TW-Working'!$H$4="September","August",IF('TW-Working'!$H$4="October","September",IF('TW-Working'!$H$4="November","October","November")))</f>
        <v>November</v>
      </c>
      <c r="W5" s="903">
        <f>IF(V4="September",30,IF(V4="October",31,IF(V4="November",30,31)))</f>
        <v>31</v>
      </c>
    </row>
    <row r="6" spans="1:24" ht="13.5" customHeight="1" thickBot="1" x14ac:dyDescent="0.3">
      <c r="A6" s="907"/>
      <c r="B6" s="908"/>
      <c r="C6" s="908"/>
      <c r="D6" s="908"/>
      <c r="E6" s="908"/>
      <c r="F6" s="908"/>
      <c r="G6" s="908"/>
      <c r="H6" s="919"/>
      <c r="I6" s="162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25"/>
      <c r="K6" s="1625"/>
      <c r="L6" s="1626"/>
      <c r="M6" s="909"/>
      <c r="O6" s="912">
        <f>DATE('TW-Working'!I5,P6,'TW-Working'!G5)</f>
        <v>41606</v>
      </c>
      <c r="P6" s="903">
        <f>IF('TW-Working'!H5="January",1,IF('TW-Working'!H5="February",2,IF('TW-Working'!H5="March",3,IF('TW-Working'!H5="April",4,IF('TW-Working'!H5="May",5,IF('TW-Working'!H5="June",6,IF('TW-Working'!H5="July",7,IF('TW-Working'!H5="August",8,Q6))))))))</f>
        <v>11</v>
      </c>
      <c r="Q6" s="903">
        <f>IF('TW-Working'!H5="September",9,IF('TW-Working'!H5="October",10,IF('TW-Working'!H5="November",11,12)))</f>
        <v>11</v>
      </c>
      <c r="R6" s="903" t="s">
        <v>328</v>
      </c>
      <c r="S6" s="903">
        <f>IF(AND(P6=2,'TW-Working'!G5&gt;S2),0,IF(AND(P6=4,'TW-Working'!G5&gt;30),0,IF(AND(P6=6,'TW-Working'!G5&gt;30),0,IF(AND(P6=9,'TW-Working'!G5&gt;30),0,IF(AND(P6=11,'TW-Working'!G5&gt;30),0,1)))))</f>
        <v>1</v>
      </c>
    </row>
    <row r="7" spans="1:24" ht="15" customHeight="1" thickBot="1" x14ac:dyDescent="0.3">
      <c r="A7" s="907"/>
      <c r="B7" s="908"/>
      <c r="C7" s="908"/>
      <c r="D7" s="908"/>
      <c r="E7" s="908"/>
      <c r="F7" s="908"/>
      <c r="G7" s="908"/>
      <c r="H7" s="919"/>
      <c r="I7" s="904"/>
      <c r="J7" s="919"/>
      <c r="K7" s="904"/>
      <c r="L7" s="904"/>
      <c r="M7" s="909"/>
      <c r="O7" s="906" t="s">
        <v>331</v>
      </c>
    </row>
    <row r="8" spans="1:24" ht="16.5" customHeight="1" thickBot="1" x14ac:dyDescent="0.3">
      <c r="A8" s="907"/>
      <c r="B8" s="908"/>
      <c r="C8" s="908"/>
      <c r="D8" s="920"/>
      <c r="E8" s="920" t="s">
        <v>332</v>
      </c>
      <c r="F8" s="904"/>
      <c r="G8" s="919"/>
      <c r="H8" s="921">
        <f>T1-P8</f>
        <v>268</v>
      </c>
      <c r="I8" s="920" t="s">
        <v>333</v>
      </c>
      <c r="J8" s="919"/>
      <c r="K8" s="904"/>
      <c r="L8" s="904"/>
      <c r="M8" s="909"/>
      <c r="O8" s="922">
        <f>((O4-O3))*S3*S4</f>
        <v>364</v>
      </c>
      <c r="P8" s="922">
        <f>(O6-O3)+1</f>
        <v>97</v>
      </c>
    </row>
    <row r="9" spans="1:24" ht="14.25" customHeight="1" thickBot="1" x14ac:dyDescent="0.3">
      <c r="A9" s="907"/>
      <c r="B9" s="908"/>
      <c r="C9" s="908"/>
      <c r="D9" s="904"/>
      <c r="E9" s="920" t="s">
        <v>352</v>
      </c>
      <c r="F9" s="919"/>
      <c r="G9" s="919"/>
      <c r="H9" s="923">
        <f>P8</f>
        <v>97</v>
      </c>
      <c r="I9" s="920"/>
      <c r="J9" s="924">
        <f>IF('TW-Working'!H3="Short Period",'Calculation (2)'!O12,'Calculation (2)'!O14)*'Calculation (2)'!S3*'Calculation (2)'!S4*'Calculation (2)'!S6*'Calculation (2)'!N11</f>
        <v>0.26575342465753427</v>
      </c>
      <c r="K9" s="904"/>
      <c r="L9" s="904"/>
      <c r="M9" s="909"/>
      <c r="N9" s="925" t="s">
        <v>328</v>
      </c>
      <c r="O9" s="903">
        <f>IF(OR(O8&lt;1,O8&gt;90),0,1)</f>
        <v>0</v>
      </c>
      <c r="V9" s="906" t="s">
        <v>200</v>
      </c>
      <c r="W9" s="903" t="s">
        <v>201</v>
      </c>
      <c r="X9" s="903" t="s">
        <v>202</v>
      </c>
    </row>
    <row r="10" spans="1:24" ht="20.149999999999999" customHeight="1" x14ac:dyDescent="0.25">
      <c r="A10" s="907"/>
      <c r="B10" s="926"/>
      <c r="C10" s="926"/>
      <c r="D10" s="908"/>
      <c r="E10" s="908"/>
      <c r="F10" s="908"/>
      <c r="G10" s="908"/>
      <c r="H10" s="908"/>
      <c r="I10" s="908"/>
      <c r="J10" s="908"/>
      <c r="K10" s="904"/>
      <c r="L10" s="904"/>
      <c r="M10" s="909"/>
      <c r="T10" s="903" t="s">
        <v>334</v>
      </c>
      <c r="U10" s="912">
        <f>O3+6</f>
        <v>41516</v>
      </c>
    </row>
    <row r="11" spans="1:24" ht="15" customHeight="1" x14ac:dyDescent="0.25">
      <c r="A11" s="907"/>
      <c r="B11" s="908"/>
      <c r="C11" s="908"/>
      <c r="D11" s="908"/>
      <c r="E11" s="908"/>
      <c r="F11" s="908"/>
      <c r="G11" s="908"/>
      <c r="H11" s="908"/>
      <c r="I11" s="908"/>
      <c r="J11" s="908"/>
      <c r="K11" s="908"/>
      <c r="L11" s="908"/>
      <c r="M11" s="908"/>
      <c r="N11" s="903">
        <f>IF(OR(S6=0,OR(O6&lt;O3,O6&gt;=O4)),0,1)</f>
        <v>1</v>
      </c>
      <c r="O11" s="927"/>
      <c r="T11" s="903" t="s">
        <v>335</v>
      </c>
      <c r="U11" s="912">
        <f>DATE(YEAR($O$3),MONTH($O$3)+1,DAY($O$3))</f>
        <v>41541</v>
      </c>
      <c r="V11" s="903">
        <v>2008</v>
      </c>
      <c r="W11" s="906">
        <f>MONTH(O3)</f>
        <v>8</v>
      </c>
      <c r="X11" s="928">
        <f>IF('TW-Working'!G4-1=0,W2,'TW-Working'!G4-1)</f>
        <v>23</v>
      </c>
    </row>
    <row r="12" spans="1:24" ht="15" customHeight="1" x14ac:dyDescent="0.25">
      <c r="A12" s="907"/>
      <c r="B12" s="908"/>
      <c r="C12" s="908"/>
      <c r="D12" s="908"/>
      <c r="E12" s="908"/>
      <c r="F12" s="908"/>
      <c r="G12" s="908"/>
      <c r="H12" s="908"/>
      <c r="I12" s="908"/>
      <c r="J12" s="908"/>
      <c r="K12" s="908"/>
      <c r="L12" s="908"/>
      <c r="M12" s="908"/>
      <c r="N12" s="1629" t="s">
        <v>336</v>
      </c>
      <c r="O12" s="1630">
        <f>IF(I6="Not Exceeding 1 week",1/8,IF(I6="Not Exceeding 1 Month",1/4,IF(I6="Not Exceeding 2 Months",3/8,IF(I6="Not Exceeding 3 Months",1/2,IF(I6="Not Exceeding 4 Months",5/8,IF(I6="Not Exceeding 6 Months",3/4,IF(I6="Not Exceeding 8 Months",7/8,1)))))))</f>
        <v>0.625</v>
      </c>
      <c r="P12" s="903" t="s">
        <v>337</v>
      </c>
      <c r="Q12" s="928">
        <v>31</v>
      </c>
      <c r="T12" s="903" t="s">
        <v>338</v>
      </c>
      <c r="U12" s="912">
        <f>DATE(YEAR($O$3),MONTH($O$3)+2,DAY($O$3))</f>
        <v>41571</v>
      </c>
    </row>
    <row r="13" spans="1:24" ht="15" customHeight="1" x14ac:dyDescent="0.25">
      <c r="A13" s="907"/>
      <c r="B13" s="908"/>
      <c r="C13" s="908"/>
      <c r="D13" s="908"/>
      <c r="E13" s="908"/>
      <c r="F13" s="908"/>
      <c r="G13" s="908"/>
      <c r="H13" s="908"/>
      <c r="I13" s="908"/>
      <c r="J13" s="908"/>
      <c r="K13" s="908"/>
      <c r="L13" s="908"/>
      <c r="M13" s="908"/>
      <c r="N13" s="1629"/>
      <c r="O13" s="1630"/>
      <c r="P13" s="903" t="s">
        <v>326</v>
      </c>
      <c r="Q13" s="928">
        <f>S2</f>
        <v>28</v>
      </c>
      <c r="T13" s="903" t="s">
        <v>339</v>
      </c>
      <c r="U13" s="912">
        <f>DATE(YEAR($O$3),MONTH($O$3)+3,DAY($O$3))</f>
        <v>41602</v>
      </c>
    </row>
    <row r="14" spans="1:24" ht="15" customHeight="1" x14ac:dyDescent="0.25">
      <c r="A14" s="907"/>
      <c r="B14" s="908"/>
      <c r="C14" s="908"/>
      <c r="D14" s="908"/>
      <c r="E14" s="908"/>
      <c r="F14" s="908"/>
      <c r="G14" s="908"/>
      <c r="H14" s="908"/>
      <c r="I14" s="908"/>
      <c r="J14" s="908"/>
      <c r="K14" s="908"/>
      <c r="L14" s="908"/>
      <c r="M14" s="908"/>
      <c r="N14" s="1629" t="s">
        <v>340</v>
      </c>
      <c r="O14" s="1631">
        <f>P8/365</f>
        <v>0.26575342465753427</v>
      </c>
      <c r="P14" s="903" t="s">
        <v>318</v>
      </c>
      <c r="Q14" s="928">
        <v>31</v>
      </c>
      <c r="T14" s="903" t="s">
        <v>341</v>
      </c>
      <c r="U14" s="912">
        <f>DATE(YEAR($O$3),MONTH($O$3)+4,DAY($O$3))</f>
        <v>41632</v>
      </c>
    </row>
    <row r="15" spans="1:24" ht="15" customHeight="1" x14ac:dyDescent="0.25">
      <c r="A15" s="907"/>
      <c r="B15" s="908"/>
      <c r="C15" s="908"/>
      <c r="D15" s="908"/>
      <c r="E15" s="908"/>
      <c r="F15" s="908"/>
      <c r="G15" s="908"/>
      <c r="H15" s="908"/>
      <c r="I15" s="908"/>
      <c r="J15" s="908"/>
      <c r="K15" s="908"/>
      <c r="L15" s="908"/>
      <c r="M15" s="908"/>
      <c r="N15" s="1629"/>
      <c r="O15" s="1631"/>
      <c r="P15" s="903" t="s">
        <v>342</v>
      </c>
      <c r="Q15" s="928">
        <v>30</v>
      </c>
      <c r="T15" s="903" t="s">
        <v>343</v>
      </c>
      <c r="U15" s="912">
        <f>DATE(YEAR($O$3),MONTH($O$3)+6,DAY($O$3))</f>
        <v>41694</v>
      </c>
    </row>
    <row r="16" spans="1:24" ht="15" customHeight="1" x14ac:dyDescent="0.25">
      <c r="A16" s="907"/>
      <c r="B16" s="908"/>
      <c r="C16" s="908"/>
      <c r="D16" s="908"/>
      <c r="E16" s="908"/>
      <c r="F16" s="908"/>
      <c r="G16" s="908"/>
      <c r="H16" s="908"/>
      <c r="I16" s="908"/>
      <c r="J16" s="908"/>
      <c r="K16" s="908"/>
      <c r="L16" s="908"/>
      <c r="M16" s="908"/>
      <c r="O16" s="927"/>
      <c r="P16" s="903" t="s">
        <v>344</v>
      </c>
      <c r="Q16" s="928">
        <v>31</v>
      </c>
      <c r="T16" s="903" t="s">
        <v>345</v>
      </c>
      <c r="U16" s="912">
        <f>DATE(YEAR($O$3),MONTH($O$3)+8,DAY($O$3))</f>
        <v>41753</v>
      </c>
    </row>
    <row r="17" spans="1:21" ht="15" customHeight="1" x14ac:dyDescent="0.25">
      <c r="A17" s="907"/>
      <c r="B17" s="908"/>
      <c r="C17" s="908"/>
      <c r="D17" s="908"/>
      <c r="E17" s="908"/>
      <c r="F17" s="908"/>
      <c r="G17" s="908"/>
      <c r="H17" s="908"/>
      <c r="I17" s="908"/>
      <c r="J17" s="908"/>
      <c r="K17" s="908"/>
      <c r="L17" s="908"/>
      <c r="M17" s="908"/>
      <c r="O17" s="927"/>
      <c r="P17" s="903" t="s">
        <v>346</v>
      </c>
      <c r="Q17" s="928">
        <v>30</v>
      </c>
    </row>
    <row r="18" spans="1:21" ht="15" customHeight="1" x14ac:dyDescent="0.25">
      <c r="A18" s="907"/>
      <c r="B18" s="908"/>
      <c r="C18" s="908"/>
      <c r="D18" s="908"/>
      <c r="E18" s="908"/>
      <c r="F18" s="908"/>
      <c r="G18" s="908"/>
      <c r="H18" s="908"/>
      <c r="I18" s="908"/>
      <c r="J18" s="908"/>
      <c r="K18" s="908"/>
      <c r="L18" s="908"/>
      <c r="M18" s="908"/>
      <c r="N18" s="925"/>
      <c r="O18" s="927"/>
      <c r="P18" s="903" t="s">
        <v>330</v>
      </c>
      <c r="Q18" s="928">
        <v>31</v>
      </c>
      <c r="U18" s="903" t="str">
        <f>IF(AND(O6&gt;U16,O6&lt;=O4),"Exceeding 8 Months","Out of Period")</f>
        <v>Out of Period</v>
      </c>
    </row>
    <row r="19" spans="1:21" ht="15" customHeight="1" x14ac:dyDescent="0.25">
      <c r="A19" s="907"/>
      <c r="B19" s="908"/>
      <c r="C19" s="908"/>
      <c r="D19" s="908"/>
      <c r="E19" s="908"/>
      <c r="F19" s="908"/>
      <c r="G19" s="908"/>
      <c r="H19" s="908"/>
      <c r="I19" s="908"/>
      <c r="J19" s="908"/>
      <c r="K19" s="904"/>
      <c r="L19" s="904">
        <f>100-L18</f>
        <v>100</v>
      </c>
      <c r="M19" s="909"/>
      <c r="N19" s="925"/>
      <c r="O19" s="927"/>
      <c r="P19" s="903" t="s">
        <v>347</v>
      </c>
      <c r="Q19" s="928">
        <v>31</v>
      </c>
    </row>
    <row r="20" spans="1:21" ht="15" customHeight="1" x14ac:dyDescent="0.25">
      <c r="A20" s="907"/>
      <c r="B20" s="908"/>
      <c r="C20" s="908"/>
      <c r="D20" s="908"/>
      <c r="E20" s="908"/>
      <c r="F20" s="908"/>
      <c r="G20" s="908"/>
      <c r="H20" s="908"/>
      <c r="I20" s="908"/>
      <c r="J20" s="908"/>
      <c r="K20" s="904"/>
      <c r="L20" s="904"/>
      <c r="M20" s="909"/>
      <c r="O20" s="927"/>
      <c r="P20" s="903" t="s">
        <v>348</v>
      </c>
      <c r="Q20" s="928">
        <v>30</v>
      </c>
    </row>
    <row r="21" spans="1:21" ht="15" customHeight="1" x14ac:dyDescent="0.25">
      <c r="A21" s="907"/>
      <c r="B21" s="908"/>
      <c r="C21" s="908"/>
      <c r="D21" s="908"/>
      <c r="E21" s="908"/>
      <c r="F21" s="908"/>
      <c r="G21" s="908"/>
      <c r="H21" s="908"/>
      <c r="I21" s="908"/>
      <c r="J21" s="908"/>
      <c r="K21" s="904"/>
      <c r="L21" s="904"/>
      <c r="M21" s="909"/>
      <c r="O21" s="927"/>
      <c r="P21" s="903" t="s">
        <v>349</v>
      </c>
      <c r="Q21" s="928">
        <v>31</v>
      </c>
    </row>
    <row r="22" spans="1:21" ht="15" customHeight="1" x14ac:dyDescent="0.25">
      <c r="A22" s="907"/>
      <c r="B22" s="908"/>
      <c r="C22" s="908"/>
      <c r="D22" s="908"/>
      <c r="E22" s="908"/>
      <c r="F22" s="908"/>
      <c r="G22" s="908"/>
      <c r="H22" s="908"/>
      <c r="I22" s="908"/>
      <c r="J22" s="908"/>
      <c r="K22" s="904"/>
      <c r="L22" s="904"/>
      <c r="M22" s="909"/>
      <c r="P22" s="903" t="s">
        <v>350</v>
      </c>
      <c r="Q22" s="928">
        <v>30</v>
      </c>
    </row>
    <row r="23" spans="1:21" ht="15" customHeight="1" x14ac:dyDescent="0.25">
      <c r="A23" s="907"/>
      <c r="B23" s="908"/>
      <c r="C23" s="908"/>
      <c r="D23" s="908"/>
      <c r="E23" s="908"/>
      <c r="F23" s="908"/>
      <c r="G23" s="908"/>
      <c r="H23" s="908"/>
      <c r="I23" s="908"/>
      <c r="J23" s="908"/>
      <c r="K23" s="904"/>
      <c r="L23" s="904"/>
      <c r="M23" s="909"/>
      <c r="P23" s="903" t="s">
        <v>351</v>
      </c>
      <c r="Q23" s="928">
        <v>31</v>
      </c>
    </row>
    <row r="24" spans="1:21" ht="15" customHeight="1" x14ac:dyDescent="0.25">
      <c r="A24" s="907"/>
      <c r="B24" s="908"/>
      <c r="C24" s="908"/>
      <c r="D24" s="908"/>
      <c r="E24" s="908"/>
      <c r="F24" s="908"/>
      <c r="G24" s="908"/>
      <c r="H24" s="908"/>
      <c r="I24" s="908"/>
      <c r="J24" s="908"/>
      <c r="K24" s="917"/>
      <c r="L24" s="904"/>
      <c r="M24" s="909"/>
    </row>
    <row r="25" spans="1:21" ht="15" customHeight="1" x14ac:dyDescent="0.25">
      <c r="A25" s="907"/>
      <c r="B25" s="908"/>
      <c r="C25" s="908"/>
      <c r="D25" s="908"/>
      <c r="E25" s="908"/>
      <c r="F25" s="908"/>
      <c r="G25" s="908"/>
      <c r="H25" s="908"/>
      <c r="I25" s="908"/>
      <c r="J25" s="908"/>
      <c r="K25" s="917"/>
      <c r="L25" s="904"/>
      <c r="M25" s="909"/>
    </row>
    <row r="26" spans="1:21" ht="15" customHeight="1" x14ac:dyDescent="0.25">
      <c r="A26" s="907"/>
      <c r="B26" s="908"/>
      <c r="C26" s="908"/>
      <c r="D26" s="908"/>
      <c r="E26" s="908"/>
      <c r="F26" s="908"/>
      <c r="G26" s="908"/>
      <c r="H26" s="908"/>
      <c r="I26" s="908"/>
      <c r="J26" s="908"/>
      <c r="K26" s="904"/>
      <c r="L26" s="904"/>
      <c r="M26" s="909"/>
    </row>
    <row r="27" spans="1:21" ht="15" customHeight="1" x14ac:dyDescent="0.25">
      <c r="A27" s="907"/>
      <c r="B27" s="908"/>
      <c r="C27" s="908"/>
      <c r="D27" s="908"/>
      <c r="E27" s="908"/>
      <c r="F27" s="908"/>
      <c r="G27" s="908"/>
      <c r="H27" s="908"/>
      <c r="I27" s="908"/>
      <c r="J27" s="908"/>
      <c r="K27" s="904"/>
      <c r="L27" s="904"/>
      <c r="M27" s="909"/>
    </row>
    <row r="28" spans="1:21" ht="15" customHeight="1" x14ac:dyDescent="0.25">
      <c r="A28" s="907"/>
      <c r="B28" s="908"/>
      <c r="C28" s="908"/>
      <c r="D28" s="908"/>
      <c r="E28" s="908"/>
      <c r="F28" s="908"/>
      <c r="G28" s="908"/>
      <c r="H28" s="908"/>
      <c r="I28" s="908"/>
      <c r="J28" s="908"/>
      <c r="K28" s="904"/>
      <c r="L28" s="904"/>
      <c r="M28" s="909"/>
    </row>
    <row r="29" spans="1:21" ht="15" customHeight="1" x14ac:dyDescent="0.25">
      <c r="A29" s="907"/>
      <c r="B29" s="908"/>
      <c r="C29" s="908"/>
      <c r="D29" s="908"/>
      <c r="E29" s="908"/>
      <c r="F29" s="908"/>
      <c r="G29" s="908"/>
      <c r="H29" s="908"/>
      <c r="I29" s="908"/>
      <c r="J29" s="908"/>
      <c r="K29" s="904"/>
      <c r="L29" s="904"/>
      <c r="M29" s="909"/>
    </row>
    <row r="30" spans="1:21" ht="15" customHeight="1" x14ac:dyDescent="0.25">
      <c r="A30" s="907"/>
      <c r="B30" s="908"/>
      <c r="C30" s="908"/>
      <c r="D30" s="908"/>
      <c r="E30" s="908"/>
      <c r="F30" s="908"/>
      <c r="G30" s="908"/>
      <c r="H30" s="908"/>
      <c r="I30" s="908"/>
      <c r="J30" s="908"/>
      <c r="K30" s="904"/>
      <c r="L30" s="904"/>
      <c r="M30" s="909"/>
    </row>
    <row r="31" spans="1:21" ht="15" customHeight="1" x14ac:dyDescent="0.25">
      <c r="A31" s="907"/>
      <c r="B31" s="908"/>
      <c r="C31" s="908"/>
      <c r="D31" s="908"/>
      <c r="E31" s="908"/>
      <c r="F31" s="908"/>
      <c r="G31" s="908"/>
      <c r="H31" s="908"/>
      <c r="I31" s="908"/>
      <c r="J31" s="908"/>
      <c r="K31" s="904"/>
      <c r="L31" s="904"/>
      <c r="M31" s="909"/>
    </row>
    <row r="32" spans="1:21" ht="15" customHeight="1" x14ac:dyDescent="0.25">
      <c r="A32" s="907"/>
      <c r="B32" s="908"/>
      <c r="C32" s="908"/>
      <c r="D32" s="908"/>
      <c r="E32" s="908"/>
      <c r="F32" s="908"/>
      <c r="G32" s="908"/>
      <c r="H32" s="908"/>
      <c r="I32" s="908"/>
      <c r="J32" s="908"/>
      <c r="K32" s="904"/>
      <c r="L32" s="904"/>
      <c r="M32" s="909"/>
    </row>
    <row r="33" spans="1:13" ht="15" customHeight="1" x14ac:dyDescent="0.25">
      <c r="A33" s="907"/>
      <c r="B33" s="908"/>
      <c r="C33" s="908"/>
      <c r="D33" s="908"/>
      <c r="E33" s="908"/>
      <c r="F33" s="908"/>
      <c r="G33" s="908"/>
      <c r="H33" s="908"/>
      <c r="I33" s="908"/>
      <c r="J33" s="908"/>
      <c r="K33" s="904"/>
      <c r="L33" s="904"/>
      <c r="M33" s="909"/>
    </row>
    <row r="34" spans="1:13" ht="15" customHeight="1" x14ac:dyDescent="0.25">
      <c r="A34" s="907"/>
      <c r="B34" s="908"/>
      <c r="C34" s="908"/>
      <c r="D34" s="908"/>
      <c r="E34" s="908"/>
      <c r="F34" s="908"/>
      <c r="G34" s="908"/>
      <c r="H34" s="908"/>
      <c r="I34" s="908"/>
      <c r="J34" s="908"/>
      <c r="K34" s="904"/>
      <c r="L34" s="904"/>
      <c r="M34" s="909"/>
    </row>
    <row r="35" spans="1:13" ht="15" customHeight="1" x14ac:dyDescent="0.25">
      <c r="A35" s="907"/>
      <c r="B35" s="908"/>
      <c r="C35" s="908"/>
      <c r="D35" s="908"/>
      <c r="E35" s="908"/>
      <c r="F35" s="908"/>
      <c r="G35" s="908"/>
      <c r="H35" s="908"/>
      <c r="I35" s="908"/>
      <c r="J35" s="908"/>
      <c r="K35" s="904"/>
      <c r="L35" s="904"/>
      <c r="M35" s="909"/>
    </row>
    <row r="36" spans="1:13" ht="15" customHeight="1" x14ac:dyDescent="0.25">
      <c r="A36" s="907"/>
      <c r="B36" s="908"/>
      <c r="C36" s="908"/>
      <c r="D36" s="908"/>
      <c r="E36" s="908"/>
      <c r="F36" s="908"/>
      <c r="G36" s="908"/>
      <c r="H36" s="908"/>
      <c r="I36" s="908"/>
      <c r="J36" s="908"/>
      <c r="K36" s="904"/>
      <c r="L36" s="904"/>
      <c r="M36" s="909"/>
    </row>
    <row r="37" spans="1:13" ht="15" customHeight="1" x14ac:dyDescent="0.25">
      <c r="A37" s="907"/>
      <c r="B37" s="908"/>
      <c r="C37" s="908"/>
      <c r="D37" s="908"/>
      <c r="E37" s="908"/>
      <c r="F37" s="908"/>
      <c r="G37" s="908"/>
      <c r="H37" s="908"/>
      <c r="I37" s="908"/>
      <c r="J37" s="908"/>
      <c r="K37" s="904"/>
      <c r="L37" s="904"/>
      <c r="M37" s="909"/>
    </row>
    <row r="38" spans="1:13" ht="15" customHeight="1" x14ac:dyDescent="0.25">
      <c r="A38" s="907"/>
      <c r="B38" s="908"/>
      <c r="C38" s="908"/>
      <c r="D38" s="908"/>
      <c r="E38" s="908"/>
      <c r="F38" s="908"/>
      <c r="G38" s="908"/>
      <c r="H38" s="908"/>
      <c r="I38" s="908"/>
      <c r="J38" s="908"/>
      <c r="K38" s="904"/>
      <c r="L38" s="904"/>
      <c r="M38" s="909"/>
    </row>
    <row r="39" spans="1:13" ht="15" customHeight="1" x14ac:dyDescent="0.25">
      <c r="A39" s="907"/>
      <c r="B39" s="908"/>
      <c r="C39" s="908"/>
      <c r="D39" s="908"/>
      <c r="E39" s="908"/>
      <c r="F39" s="908"/>
      <c r="G39" s="908"/>
      <c r="H39" s="908"/>
      <c r="I39" s="908"/>
      <c r="J39" s="908"/>
      <c r="K39" s="920"/>
      <c r="L39" s="1632"/>
      <c r="M39" s="1633"/>
    </row>
    <row r="40" spans="1:13" ht="20.25" customHeight="1" x14ac:dyDescent="0.25">
      <c r="A40" s="907"/>
      <c r="B40" s="908"/>
      <c r="C40" s="908"/>
      <c r="D40" s="908"/>
      <c r="E40" s="908"/>
      <c r="F40" s="908"/>
      <c r="G40" s="908"/>
      <c r="H40" s="908"/>
      <c r="I40" s="908"/>
      <c r="J40" s="908"/>
      <c r="K40" s="1627"/>
      <c r="L40" s="1627"/>
      <c r="M40" s="1628"/>
    </row>
    <row r="41" spans="1:13" ht="15" customHeight="1" x14ac:dyDescent="0.25">
      <c r="A41" s="907"/>
      <c r="B41" s="908"/>
      <c r="C41" s="908"/>
      <c r="D41" s="908"/>
      <c r="E41" s="908"/>
      <c r="F41" s="908"/>
      <c r="G41" s="908"/>
      <c r="H41" s="908"/>
      <c r="I41" s="908"/>
      <c r="J41" s="908"/>
      <c r="K41" s="1614"/>
      <c r="L41" s="1614"/>
      <c r="M41" s="1615"/>
    </row>
    <row r="42" spans="1:13" ht="15" customHeight="1" x14ac:dyDescent="0.25">
      <c r="A42" s="907"/>
      <c r="B42" s="908"/>
      <c r="C42" s="908"/>
      <c r="D42" s="908"/>
      <c r="E42" s="908"/>
      <c r="F42" s="908"/>
      <c r="G42" s="908"/>
      <c r="H42" s="908"/>
      <c r="I42" s="908"/>
      <c r="J42" s="908"/>
      <c r="K42" s="1616"/>
      <c r="L42" s="1616"/>
      <c r="M42" s="1617"/>
    </row>
    <row r="43" spans="1:13" ht="20.149999999999999" customHeight="1" x14ac:dyDescent="0.25">
      <c r="A43" s="929"/>
      <c r="B43" s="930"/>
      <c r="C43" s="930"/>
      <c r="D43" s="930"/>
      <c r="E43" s="930"/>
      <c r="F43" s="930"/>
      <c r="G43" s="930"/>
      <c r="H43" s="930"/>
      <c r="I43" s="930"/>
      <c r="J43" s="930"/>
      <c r="K43" s="1618"/>
      <c r="L43" s="1619"/>
      <c r="M43" s="1620"/>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361" priority="1" stopIfTrue="1" operator="greaterThan">
      <formula>T1</formula>
    </cfRule>
    <cfRule type="cellIs" dxfId="360" priority="2" stopIfTrue="1" operator="lessThan">
      <formula>0</formula>
    </cfRule>
  </conditionalFormatting>
  <conditionalFormatting sqref="H9">
    <cfRule type="cellIs" dxfId="359" priority="3" stopIfTrue="1" operator="greaterThan">
      <formula>T1</formula>
    </cfRule>
    <cfRule type="cellIs" dxfId="358" priority="4" stopIfTrue="1" operator="lessThan">
      <formula>0</formula>
    </cfRule>
  </conditionalFormatting>
  <conditionalFormatting sqref="I6:L6">
    <cfRule type="expression" dxfId="35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5"/>
  <sheetViews>
    <sheetView showGridLines="0" tabSelected="1" topLeftCell="C1" zoomScale="75" zoomScaleNormal="82" workbookViewId="0">
      <selection activeCell="M52" sqref="M52"/>
    </sheetView>
  </sheetViews>
  <sheetFormatPr defaultColWidth="0" defaultRowHeight="14.25" customHeight="1" zeroHeight="1" x14ac:dyDescent="0.3"/>
  <cols>
    <col min="1" max="1" width="0.81640625" style="1403" customWidth="1"/>
    <col min="2" max="2" width="0.54296875" style="1403" customWidth="1"/>
    <col min="3" max="3" width="5.26953125" style="1403" customWidth="1"/>
    <col min="4" max="4" width="3.26953125" style="1403" customWidth="1"/>
    <col min="5" max="5" width="4.26953125" style="1403" customWidth="1"/>
    <col min="6" max="6" width="33.26953125" style="1403" customWidth="1"/>
    <col min="7" max="7" width="9.453125" style="1403" customWidth="1"/>
    <col min="8" max="8" width="18.54296875" style="1403" customWidth="1"/>
    <col min="9" max="9" width="16.453125" style="1403" customWidth="1"/>
    <col min="10" max="10" width="3.81640625" style="1403" customWidth="1"/>
    <col min="11" max="11" width="14.54296875" style="1403" customWidth="1"/>
    <col min="12" max="12" width="4" style="1403" customWidth="1"/>
    <col min="13" max="13" width="25.26953125" style="1403" customWidth="1"/>
    <col min="14" max="14" width="11.453125" style="1403" customWidth="1"/>
    <col min="15" max="15" width="9.81640625" style="1403" customWidth="1"/>
    <col min="16" max="16" width="13.54296875" style="1403" customWidth="1"/>
    <col min="17" max="17" width="5.453125" style="1404" customWidth="1"/>
    <col min="18" max="18" width="6.26953125" style="1403" hidden="1" customWidth="1"/>
    <col min="19" max="19" width="5" style="1403" hidden="1" customWidth="1"/>
    <col min="20" max="20" width="9.54296875" style="1403" hidden="1" customWidth="1"/>
    <col min="21" max="21" width="5.26953125" style="1403" hidden="1" customWidth="1"/>
    <col min="22" max="22" width="4.54296875" style="1403" hidden="1" customWidth="1"/>
    <col min="23" max="23" width="2.81640625" style="1403" hidden="1" customWidth="1"/>
    <col min="24" max="24" width="0" style="1403" hidden="1" customWidth="1"/>
    <col min="25" max="25" width="5.81640625" style="1403" hidden="1" customWidth="1"/>
    <col min="26" max="26" width="7.1796875" style="1403" hidden="1" customWidth="1"/>
    <col min="27" max="27" width="26.54296875" style="1403" hidden="1" customWidth="1"/>
    <col min="28" max="29" width="0" style="1403" hidden="1" customWidth="1"/>
    <col min="30" max="30" width="27.1796875" style="1403" hidden="1" customWidth="1"/>
    <col min="31" max="35" width="0" style="1403" hidden="1" customWidth="1"/>
    <col min="36" max="36" width="0" style="1405" hidden="1" customWidth="1"/>
    <col min="37" max="38" width="0" style="1403" hidden="1" customWidth="1"/>
    <col min="39" max="39" width="0" style="1404" hidden="1" customWidth="1"/>
    <col min="40" max="46" width="0" style="1403" hidden="1" customWidth="1"/>
    <col min="47" max="47" width="0" style="1405" hidden="1" customWidth="1"/>
    <col min="48" max="49" width="0" style="1403" hidden="1" customWidth="1"/>
    <col min="50" max="50" width="47.453125" style="1406" hidden="1" customWidth="1"/>
    <col min="51" max="16384" width="0" style="1403" hidden="1"/>
  </cols>
  <sheetData>
    <row r="1" spans="2:47" s="934" customFormat="1" ht="45" customHeight="1" thickTop="1" thickBot="1" x14ac:dyDescent="0.35">
      <c r="B1" s="1101"/>
      <c r="C1" s="1102">
        <f ca="1">IF(OR(C71=0,R15=0),0,1)</f>
        <v>1</v>
      </c>
      <c r="D1" s="1103"/>
      <c r="E1" s="1104"/>
      <c r="F1" s="1104"/>
      <c r="G1" s="1104"/>
      <c r="H1" s="1104"/>
      <c r="I1" s="1104"/>
      <c r="J1" s="1104"/>
      <c r="K1" s="1104"/>
      <c r="L1" s="1104"/>
      <c r="M1" s="1105"/>
      <c r="N1" s="1707"/>
      <c r="O1" s="1708"/>
      <c r="P1" s="935"/>
      <c r="Q1" s="935"/>
      <c r="R1" s="935"/>
      <c r="S1" s="935"/>
      <c r="T1" s="935"/>
      <c r="U1" s="934">
        <f ca="1">IF(G36="Yes",H23+H36,H23)</f>
        <v>64.45782657517411</v>
      </c>
      <c r="V1" s="935"/>
      <c r="W1" s="935"/>
      <c r="X1" s="935"/>
      <c r="Y1" s="935"/>
      <c r="Z1" s="935"/>
      <c r="AA1" s="1106" t="s">
        <v>401</v>
      </c>
      <c r="AB1" s="935"/>
      <c r="AM1" s="1107"/>
    </row>
    <row r="2" spans="2:47" s="934" customFormat="1" ht="18.5" thickBot="1" x14ac:dyDescent="0.45">
      <c r="B2" s="1108"/>
      <c r="C2" s="1109" t="s">
        <v>111</v>
      </c>
      <c r="D2" s="1110"/>
      <c r="E2" s="1111" t="s">
        <v>170</v>
      </c>
      <c r="F2" s="1112"/>
      <c r="G2" s="1113" t="s">
        <v>278</v>
      </c>
      <c r="H2" s="1709" t="s">
        <v>538</v>
      </c>
      <c r="I2" s="1710"/>
      <c r="J2" s="1114"/>
      <c r="K2" s="1711" t="s">
        <v>412</v>
      </c>
      <c r="L2" s="1711"/>
      <c r="M2" s="1712"/>
      <c r="N2" s="1116">
        <f>IF(N1="takafulshariahamana",1,0)</f>
        <v>0</v>
      </c>
      <c r="O2" s="934">
        <f>IF(AND(M8='Administration (2)'!C10,H9='Administration (2)'!C23),0,1)</f>
        <v>1</v>
      </c>
      <c r="Q2" s="934">
        <f>IF(M8='Administration (2)'!C10,0,1)</f>
        <v>1</v>
      </c>
      <c r="R2" s="934">
        <f>IF(H9='Administration (2)'!C23,1,0)</f>
        <v>0</v>
      </c>
      <c r="S2" s="934">
        <f>IF(AND('Rates (2)'!D63="Yes",H11="Chinese"),1,IF(AND('TW-Working'!H11="Chinese",'TW-Working'!H8&lt;&gt;'Administration (2)'!C14),0,1))</f>
        <v>1</v>
      </c>
      <c r="T2" s="934">
        <f>O2+Q2+R2</f>
        <v>2</v>
      </c>
      <c r="U2" s="1117">
        <f>IF(OR(Z15=0,T2=3,Z2=0),0,1)*Q15*V2*S2</f>
        <v>1</v>
      </c>
      <c r="V2" s="1117">
        <f>IF(H13="",0,1)</f>
        <v>1</v>
      </c>
      <c r="W2" s="934">
        <f>IF(M8="Trade Plate",X2,1)</f>
        <v>1</v>
      </c>
      <c r="X2" s="934">
        <f>IF(H9='Administration (2)'!C20,1,0)</f>
        <v>0</v>
      </c>
      <c r="Y2" s="934">
        <f>IF(M8="Trade Plate",0,1)</f>
        <v>1</v>
      </c>
      <c r="Z2" s="1118">
        <f>IF('Rates (2)'!D50="Yes",1,IF(AND(H9='Administration (2)'!C22,OR(M8='Administration (2)'!C13,M8='Administration (2)'!C14)),0,1))</f>
        <v>1</v>
      </c>
      <c r="AA2" s="934">
        <f>IF(OR(H9='Administration (2)'!C22,H9='Administration (2)'!C23),0,1)</f>
        <v>1</v>
      </c>
    </row>
    <row r="3" spans="2:47" s="934" customFormat="1" ht="18" customHeight="1" thickBot="1" x14ac:dyDescent="0.45">
      <c r="B3" s="1108"/>
      <c r="C3" s="1119"/>
      <c r="D3" s="1120">
        <f>IF(H3="One Year",1,0)</f>
        <v>1</v>
      </c>
      <c r="E3" s="1111" t="s">
        <v>297</v>
      </c>
      <c r="F3" s="1112"/>
      <c r="G3" s="1113" t="s">
        <v>278</v>
      </c>
      <c r="H3" s="1121" t="s">
        <v>299</v>
      </c>
      <c r="I3" s="1122" t="str">
        <f>IF('Calculation (2)'!S6=0,CONCATENATE("     ",'Calculation (2)'!H9," Days"),IF(OR('Calculation (2)'!O6&lt;'Calculation (2)'!O3,'Calculation (2)'!O6&gt;='Calculation (2)'!O4),"Invalid Cover  Period",CONCATENATE("     ",'Calculation (2)'!H9," Days")))</f>
        <v xml:space="preserve">     97 Days</v>
      </c>
      <c r="J3" s="1122"/>
      <c r="K3" s="946"/>
      <c r="L3" s="1713" t="str">
        <f>IF(D3=0,"Charge SRCC/TC Full?","")</f>
        <v/>
      </c>
      <c r="M3" s="1714"/>
      <c r="N3" s="1123">
        <f>IF(H3="One Year",1,IF('TW-Working'!H3="Short Period",'Calculation (2)'!O12,'Calculation (2)'!O14)*'Calculation (2)'!S3*'Calculation (2)'!S4*'Calculation (2)'!S6*'Calculation (2)'!N11)</f>
        <v>1</v>
      </c>
      <c r="O3" s="1124" t="e">
        <f>IF(#REF!='Rates (2)'!J86,'Rates (2)'!K86,IF(#REF!='Rates (2)'!J87,'Rates (2)'!K87,IF(#REF!='Rates (2)'!J88,'Rates (2)'!K88,IF(#REF!='Rates (2)'!J89,'Rates (2)'!K89,IF(#REF!='Rates (2)'!J90,'Rates (2)'!K90,0)))))</f>
        <v>#REF!</v>
      </c>
      <c r="P3" s="1124"/>
      <c r="Q3" s="1124"/>
      <c r="R3" s="1124"/>
      <c r="S3" s="1025"/>
      <c r="U3" s="1117"/>
      <c r="V3" s="1117"/>
      <c r="Z3" s="1118"/>
    </row>
    <row r="4" spans="2:47" s="934" customFormat="1" ht="0.75" hidden="1" customHeight="1" thickBot="1" x14ac:dyDescent="0.35">
      <c r="B4" s="1108"/>
      <c r="C4" s="1119"/>
      <c r="D4" s="1110"/>
      <c r="E4" s="1001"/>
      <c r="F4" s="1125" t="str">
        <f>IF(D3=0,"PERIOD                                       FROM","")</f>
        <v/>
      </c>
      <c r="G4" s="1126">
        <v>24</v>
      </c>
      <c r="H4" s="1127" t="s">
        <v>347</v>
      </c>
      <c r="I4" s="1127">
        <v>2013</v>
      </c>
      <c r="J4" s="1128"/>
      <c r="K4" s="1122" t="str">
        <f>IF('Calculation (2)'!S3=0,"Date Error","")</f>
        <v/>
      </c>
      <c r="L4" s="1713"/>
      <c r="M4" s="1714"/>
      <c r="N4" s="1129">
        <f>IF(M5="No",N3,1)</f>
        <v>1</v>
      </c>
      <c r="O4" s="1124" t="s">
        <v>407</v>
      </c>
      <c r="P4" s="1124" t="s">
        <v>408</v>
      </c>
      <c r="Q4" s="1124"/>
      <c r="R4" s="1124"/>
      <c r="S4" s="1025"/>
      <c r="T4" s="1025"/>
      <c r="U4" s="1130"/>
      <c r="V4" s="1130"/>
      <c r="Z4" s="1118"/>
    </row>
    <row r="5" spans="2:47" s="934" customFormat="1" ht="24" hidden="1" customHeight="1" thickBot="1" x14ac:dyDescent="0.4">
      <c r="B5" s="1108"/>
      <c r="C5" s="1119"/>
      <c r="D5" s="1110"/>
      <c r="E5" s="1131"/>
      <c r="F5" s="1132" t="str">
        <f>IF(D3=0,"To","")</f>
        <v/>
      </c>
      <c r="G5" s="1126">
        <v>28</v>
      </c>
      <c r="H5" s="1127" t="s">
        <v>350</v>
      </c>
      <c r="I5" s="1133">
        <v>2013</v>
      </c>
      <c r="J5" s="1128"/>
      <c r="K5" s="1122" t="str">
        <f>IF('Calculation (2)'!S6=0,"Date Error","")</f>
        <v/>
      </c>
      <c r="L5" s="1081"/>
      <c r="M5" s="1134" t="s">
        <v>76</v>
      </c>
      <c r="N5" s="1129" t="str">
        <f>'Rates (2)'!D81</f>
        <v>No</v>
      </c>
      <c r="O5" s="1135">
        <f>H15*N7%</f>
        <v>8750</v>
      </c>
      <c r="P5" s="1135">
        <f>(O5-M40-M42)/P6*100</f>
        <v>5133.9285714285716</v>
      </c>
      <c r="Q5" s="1124"/>
      <c r="R5" s="1124"/>
      <c r="S5" s="1025"/>
      <c r="T5" s="1025"/>
      <c r="U5" s="1130"/>
      <c r="V5" s="1130"/>
      <c r="Z5" s="1118"/>
    </row>
    <row r="6" spans="2:47" s="934" customFormat="1" ht="21.75" customHeight="1" thickTop="1" thickBot="1" x14ac:dyDescent="0.45">
      <c r="B6" s="1108"/>
      <c r="C6" s="1136"/>
      <c r="D6" s="1110"/>
      <c r="E6" s="1137" t="s">
        <v>371</v>
      </c>
      <c r="F6" s="1138"/>
      <c r="G6" s="1113" t="s">
        <v>395</v>
      </c>
      <c r="H6" s="1139" t="s">
        <v>443</v>
      </c>
      <c r="I6" s="1715"/>
      <c r="J6" s="1716"/>
      <c r="K6" s="1717"/>
      <c r="L6" s="1718" t="str">
        <f>TW!C8</f>
        <v>to be advised</v>
      </c>
      <c r="M6" s="1719"/>
      <c r="N6" s="1140" t="s">
        <v>47</v>
      </c>
      <c r="O6" s="934">
        <f>IF(AND('Rates (2)'!D79="Yes",(O57+Q57=1)),0,1)</f>
        <v>1</v>
      </c>
      <c r="P6" s="1141">
        <f>IF(H9="Hiring",140,110)</f>
        <v>140</v>
      </c>
      <c r="Q6" s="1142">
        <f>IF(AND(M8='Administration (2)'!C7,H9='Administration (2)'!C20),'Rates (2)'!D6,R6)</f>
        <v>0.8</v>
      </c>
      <c r="R6" s="934">
        <f>IF(AND(M8='Administration (2)'!C12,H9='Administration (2)'!C20),'Rates (2)'!D12,T6)</f>
        <v>0.8</v>
      </c>
      <c r="T6" s="934">
        <f>IF(AND(M8='Administration (2)'!C8,H9='Administration (2)'!C20),'Rates (2)'!D8,U6)</f>
        <v>0.8</v>
      </c>
      <c r="U6" s="1143">
        <f>IF(M8='Administration (2)'!C9,'Rates (2)'!D5,W6)</f>
        <v>0.8</v>
      </c>
      <c r="V6" s="1143"/>
      <c r="W6" s="1143">
        <f>IF(M8='Administration (2)'!C10,'Rates (2)'!D11,X6)</f>
        <v>0.8</v>
      </c>
      <c r="X6" s="1143">
        <f>IF(M8='Administration (2)'!C11,'Rates (2)'!D10,Y6)</f>
        <v>0.8</v>
      </c>
      <c r="Y6" s="934">
        <f>IF(AND(M8='Administration (2)'!C12,H9='Administration (2)'!C21),'Rates (2)'!D13,Z6)</f>
        <v>0.8</v>
      </c>
      <c r="Z6" s="1143">
        <f>IF(M8='Administration (2)'!C13,'Rates (2)'!D3,AA6)</f>
        <v>0</v>
      </c>
      <c r="AA6" s="1143">
        <f>IF(M8='Administration (2)'!C14,'Rates (2)'!D4,AB6)</f>
        <v>0</v>
      </c>
      <c r="AB6" s="934">
        <f>IF(AND(M8='Administration (2)'!C7,H9='Administration (2)'!C21),'Rates (2)'!D7,AC6)</f>
        <v>0</v>
      </c>
      <c r="AC6" s="934">
        <f>IF(AND(M8='Administration (2)'!C7,H9='Administration (2)'!C22),'Rates (2)'!D7,AD6)</f>
        <v>0</v>
      </c>
      <c r="AD6" s="934">
        <f>IF(AND(M8='Administration (2)'!C8,H9='Administration (2)'!C21),'Rates (2)'!D9,AE6)</f>
        <v>0</v>
      </c>
      <c r="AE6" s="934">
        <f>IF(AND(M8='Administration (2)'!C8,H9='Administration (2)'!C22),'Rates (2)'!D7,AF6)</f>
        <v>0</v>
      </c>
      <c r="AF6" s="934">
        <f>IF(AND(M8='Administration (2)'!C12,H9='Administration (2)'!C22),'Rates (2)'!D13,AG6)</f>
        <v>0</v>
      </c>
      <c r="AG6" s="934">
        <f>IF(M8='Administration (2)'!C15,'Rates (2)'!D14,AH6)</f>
        <v>0</v>
      </c>
      <c r="AH6" s="934">
        <f>IF(M8='Administration (2)'!C17,'Rates (2)'!D16,AI6)</f>
        <v>0</v>
      </c>
      <c r="AI6" s="934">
        <f>IF(M8='Administration (2)'!C16,'Rates (2)'!D16,0)</f>
        <v>0</v>
      </c>
      <c r="AM6" s="934" t="str">
        <f>'Administration (2)'!G7</f>
        <v>Motor Car</v>
      </c>
      <c r="AP6" s="934" t="str">
        <f>'Administration (2)'!I20</f>
        <v>Private Use Only</v>
      </c>
    </row>
    <row r="7" spans="2:47" s="934" customFormat="1" ht="21" thickBot="1" x14ac:dyDescent="0.5">
      <c r="B7" s="1108"/>
      <c r="C7" s="1136"/>
      <c r="D7" s="1110"/>
      <c r="E7" s="1137" t="s">
        <v>276</v>
      </c>
      <c r="F7" s="1138"/>
      <c r="G7" s="1113" t="s">
        <v>396</v>
      </c>
      <c r="H7" s="1682" t="str">
        <f>TW!C11</f>
        <v>to be advised</v>
      </c>
      <c r="I7" s="1683"/>
      <c r="J7" s="1683"/>
      <c r="K7" s="1684"/>
      <c r="L7" s="1685" t="str">
        <f>IF(AND(H15&gt;0,L6=""),"Enter Name","")</f>
        <v/>
      </c>
      <c r="M7" s="1686"/>
      <c r="N7" s="1144">
        <v>1.75</v>
      </c>
      <c r="P7" s="1145"/>
      <c r="Q7" s="934">
        <f>Q6*U2</f>
        <v>0.8</v>
      </c>
      <c r="T7" s="934" t="str">
        <f>'Administration (2)'!C20</f>
        <v>Private Use Only</v>
      </c>
      <c r="U7" s="1117" t="str">
        <f>'Administration (2)'!C21</f>
        <v>Hiring</v>
      </c>
      <c r="V7" s="1117"/>
      <c r="W7" s="934" t="str">
        <f>'Administration (2)'!C22</f>
        <v>Rent A Vehicle</v>
      </c>
      <c r="X7" s="934">
        <f>IF(M8='Administration (2)'!C10,'Administration (2)'!C23,0)</f>
        <v>0</v>
      </c>
      <c r="Z7" s="1146"/>
      <c r="AM7" s="934" t="str">
        <f>'Administration (2)'!G8</f>
        <v>Jeep</v>
      </c>
      <c r="AP7" s="934" t="str">
        <f>'Administration (2)'!I21</f>
        <v>Hiring</v>
      </c>
    </row>
    <row r="8" spans="2:47" s="934" customFormat="1" ht="21.75" customHeight="1" thickBot="1" x14ac:dyDescent="0.45">
      <c r="B8" s="1108"/>
      <c r="C8" s="1147"/>
      <c r="D8" s="1110"/>
      <c r="E8" s="1137" t="s">
        <v>372</v>
      </c>
      <c r="F8" s="1148"/>
      <c r="G8" s="1113" t="s">
        <v>395</v>
      </c>
      <c r="H8" s="1687" t="s">
        <v>208</v>
      </c>
      <c r="I8" s="1688"/>
      <c r="J8" s="1149"/>
      <c r="K8" s="1150">
        <v>1.2500000000000001E-2</v>
      </c>
      <c r="L8" s="1061" t="str">
        <f>'Administration (2)'!C11</f>
        <v>Motor Lorry</v>
      </c>
      <c r="M8" s="1151" t="str">
        <f>IF(AND(H8='Administration (2)'!C14,'TW-Working'!H11="Chinese"),'Administration (2)'!C13,IF(AND(H8='Administration (2)'!C11,'TW-Working'!H11="Chinese"),'Administration (2)'!C16,'TW-Working'!H8))</f>
        <v>Three Wheeler</v>
      </c>
      <c r="N8" s="1152">
        <f>IF(AND(H12="hybrid",H14="No",'Rates (2)'!D75="Yes",B12="individual"),'Rates (2)'!F75,0)</f>
        <v>0</v>
      </c>
      <c r="O8" s="1098">
        <f>IF(H9="",0,1)</f>
        <v>1</v>
      </c>
      <c r="P8" s="1098"/>
      <c r="Q8" s="1098"/>
      <c r="R8" s="1098"/>
      <c r="S8" s="1098"/>
      <c r="T8" s="1098"/>
      <c r="U8" s="1153"/>
      <c r="V8" s="1153"/>
      <c r="W8" s="934">
        <f>IF(O11=1,U11,U8)</f>
        <v>0</v>
      </c>
      <c r="Z8" s="1146"/>
      <c r="AM8" s="934" t="str">
        <f>'Administration (2)'!G9</f>
        <v>Dual Purpose</v>
      </c>
      <c r="AP8" s="934" t="str">
        <f>'Administration (2)'!I22</f>
        <v>Rent A Vehicle</v>
      </c>
      <c r="AU8" s="934">
        <v>1970</v>
      </c>
    </row>
    <row r="9" spans="2:47" s="934" customFormat="1" ht="16.5" customHeight="1" thickBot="1" x14ac:dyDescent="0.45">
      <c r="B9" s="1108"/>
      <c r="C9" s="1147"/>
      <c r="D9" s="1110"/>
      <c r="E9" s="1137" t="s">
        <v>33</v>
      </c>
      <c r="F9" s="1148"/>
      <c r="G9" s="1113" t="s">
        <v>395</v>
      </c>
      <c r="H9" s="1689" t="s">
        <v>39</v>
      </c>
      <c r="I9" s="1690"/>
      <c r="J9" s="1154"/>
      <c r="K9" s="1691" t="str">
        <f>IF(OR(T2=3,W2=0),"ERROR",IF(O8=0,"&lt;= Select Usage of Vehicle",IF(Z2=0,"NOT ALLOWED","")))</f>
        <v/>
      </c>
      <c r="L9" s="1691"/>
      <c r="M9" s="1692"/>
      <c r="N9" s="1152"/>
      <c r="O9" s="1098"/>
      <c r="P9" s="1098"/>
      <c r="Q9" s="1098"/>
      <c r="R9" s="1098"/>
      <c r="S9" s="1098"/>
      <c r="T9" s="1098"/>
      <c r="U9" s="1153"/>
      <c r="V9" s="1153"/>
      <c r="Z9" s="1146"/>
      <c r="AM9" s="934" t="str">
        <f>'Administration (2)'!G10</f>
        <v>Motor Coach</v>
      </c>
      <c r="AP9" s="934" t="str">
        <f>'Administration (2)'!I23</f>
        <v xml:space="preserve">SLTB Route </v>
      </c>
      <c r="AU9" s="934">
        <f t="shared" ref="AU9:AU42" si="0">AU8+1</f>
        <v>1971</v>
      </c>
    </row>
    <row r="10" spans="2:47" s="934" customFormat="1" ht="18.5" thickBot="1" x14ac:dyDescent="0.45">
      <c r="B10" s="1108"/>
      <c r="C10" s="1147"/>
      <c r="D10" s="1110"/>
      <c r="E10" s="1702" t="s">
        <v>106</v>
      </c>
      <c r="F10" s="1702"/>
      <c r="G10" s="1113" t="s">
        <v>396</v>
      </c>
      <c r="H10" s="1703" t="str">
        <f>TW!P8</f>
        <v>to be advised</v>
      </c>
      <c r="I10" s="1704"/>
      <c r="J10" s="1154"/>
      <c r="K10" s="1156" t="s">
        <v>376</v>
      </c>
      <c r="L10" s="1705" t="str">
        <f>TW!P11</f>
        <v>TO BE ADVISED</v>
      </c>
      <c r="M10" s="1706"/>
      <c r="N10" s="1102"/>
      <c r="O10" s="1098"/>
      <c r="P10" s="1098"/>
      <c r="Q10" s="1098"/>
      <c r="R10" s="1098"/>
      <c r="S10" s="1098"/>
      <c r="T10" s="1098"/>
      <c r="U10" s="1157"/>
      <c r="V10" s="1157"/>
      <c r="Z10" s="1146"/>
      <c r="AM10" s="934" t="str">
        <f>'Administration (2)'!G11</f>
        <v>Motor Lorry</v>
      </c>
      <c r="AP10" s="934" t="str">
        <f>'Administration (2)'!I24</f>
        <v/>
      </c>
      <c r="AU10" s="934">
        <f t="shared" si="0"/>
        <v>1972</v>
      </c>
    </row>
    <row r="11" spans="2:47" s="934" customFormat="1" ht="20.25" customHeight="1" thickBot="1" x14ac:dyDescent="0.45">
      <c r="B11" s="1108"/>
      <c r="C11" s="1147"/>
      <c r="D11" s="1110"/>
      <c r="E11" s="1155" t="s">
        <v>373</v>
      </c>
      <c r="F11" s="1158"/>
      <c r="G11" s="1113" t="s">
        <v>395</v>
      </c>
      <c r="H11" s="1693" t="str">
        <f>TW!P9</f>
        <v>INDIA</v>
      </c>
      <c r="I11" s="1694"/>
      <c r="J11" s="1695" t="s">
        <v>447</v>
      </c>
      <c r="K11" s="1696"/>
      <c r="L11" s="1697"/>
      <c r="M11" s="1159" t="str">
        <f>IF(J11="","&lt;= Enter Field","")</f>
        <v/>
      </c>
      <c r="N11" s="1160"/>
      <c r="O11" s="1098">
        <f>IF(OR(L10="",L6="",H11="",H12="",H13="",H14="",K14="",L13="",J11="",K14=0,AND(O6=0,N16=0)),0,1)</f>
        <v>1</v>
      </c>
      <c r="P11" s="1098"/>
      <c r="Q11" s="1098"/>
      <c r="R11" s="1098"/>
      <c r="S11" s="1098"/>
      <c r="T11" s="1098"/>
      <c r="U11" s="1161"/>
      <c r="V11" s="1161"/>
      <c r="Z11" s="1146"/>
      <c r="AM11" s="934" t="str">
        <f>'Administration (2)'!G12</f>
        <v>Three Wheeler</v>
      </c>
      <c r="AU11" s="934">
        <f t="shared" si="0"/>
        <v>1973</v>
      </c>
    </row>
    <row r="12" spans="2:47" s="934" customFormat="1" ht="18.5" thickBot="1" x14ac:dyDescent="0.45">
      <c r="B12" s="1108"/>
      <c r="C12" s="1147" t="str">
        <f>IF(H12="Petrol (non hybrid)","Petrol",IF(H12="Diesel (non hybrid)","Diesel",IF(H12="Hybrid","Hybrid","Electric")))</f>
        <v>Petrol</v>
      </c>
      <c r="D12" s="1110"/>
      <c r="E12" s="1155" t="s">
        <v>353</v>
      </c>
      <c r="F12" s="1158"/>
      <c r="G12" s="1113" t="s">
        <v>395</v>
      </c>
      <c r="H12" s="1698" t="s">
        <v>448</v>
      </c>
      <c r="I12" s="1699"/>
      <c r="J12" s="1700" t="str">
        <f>IF(H8="Motor Cycle","Important --&gt;","")</f>
        <v/>
      </c>
      <c r="K12" s="1701"/>
      <c r="L12" s="1701"/>
      <c r="M12" s="1162" t="str">
        <f>TW!X10</f>
        <v>Below 250cc</v>
      </c>
      <c r="N12" s="1152"/>
      <c r="O12" s="1098"/>
      <c r="P12" s="1098"/>
      <c r="Q12" s="934">
        <f>IF(M8='Administration (2)'!C7,'Rates (2)'!F6,IF(M8='Administration (2)'!C8,'Rates (2)'!F8,IF(M8='Administration (2)'!C9,'Rates (2)'!F5,IF(M8='Administration (2)'!C10,'Rates (2)'!F11,IF(M8='Administration (2)'!C13,'Rates (2)'!F3,IF(M8='Administration (2)'!C14,'Rates (2)'!F4,IF(M8='Administration (2)'!C11,'Rates (2)'!F10,IF(M8='Administration (2)'!C12,'Rates (2)'!F12,R12))))))))</f>
        <v>4</v>
      </c>
      <c r="R12" s="934">
        <f>IF(M8='Administration (2)'!C15,'Rates (2)'!F14,IF(M8='Administration (2)'!C17,'Rates (2)'!F17,IF(M8='Administration (2)'!C19,'Rates (2)'!F15,IF(M8='Administration (2)'!C16,'Rates (2)'!F16,0))))</f>
        <v>0</v>
      </c>
      <c r="T12" s="934">
        <f>IF(L13&gt;Q12,Q12,L13)</f>
        <v>4</v>
      </c>
      <c r="U12" s="1163"/>
      <c r="V12" s="1163"/>
      <c r="Z12" s="1146"/>
      <c r="AM12" s="934" t="str">
        <f>'Administration (2)'!G14</f>
        <v>Motor Cycle</v>
      </c>
      <c r="AU12" s="934">
        <f>AU11+1</f>
        <v>1974</v>
      </c>
    </row>
    <row r="13" spans="2:47" s="934" customFormat="1" ht="18.5" thickBot="1" x14ac:dyDescent="0.45">
      <c r="B13" s="1108"/>
      <c r="C13" s="1147"/>
      <c r="D13" s="1110"/>
      <c r="E13" s="1137" t="s">
        <v>277</v>
      </c>
      <c r="F13" s="969"/>
      <c r="G13" s="1113" t="s">
        <v>395</v>
      </c>
      <c r="H13" s="1164">
        <f>TW!P13</f>
        <v>2021</v>
      </c>
      <c r="I13" s="1664" t="str">
        <f>IF(H13="","     Enter Year of Make",IF(Z15=0,CONCATENATE("     Vehicles Above ", 'Administration (2)'!F29," Yrs Not Covered"),""))</f>
        <v/>
      </c>
      <c r="J13" s="1648"/>
      <c r="K13" s="1648"/>
      <c r="L13" s="1165">
        <v>4</v>
      </c>
      <c r="M13" s="1166" t="str">
        <f>IF(OR(L13="",L13=0),"Enter No. of Seats",IF(L13&gt;Q12,CONCATENATE("Max.",Q12," Seats Allowed"),"No.of Seats"))</f>
        <v>No.of Seats</v>
      </c>
      <c r="N13" s="1152"/>
      <c r="O13" s="1098"/>
      <c r="P13" s="1098"/>
      <c r="U13" s="1163"/>
      <c r="V13" s="1163"/>
      <c r="Z13" s="1146"/>
      <c r="AM13" s="934" t="str">
        <f>'Administration (2)'!G15</f>
        <v>Tractor</v>
      </c>
      <c r="AU13" s="934">
        <f t="shared" si="0"/>
        <v>1975</v>
      </c>
    </row>
    <row r="14" spans="2:47" s="934" customFormat="1" ht="18.5" thickBot="1" x14ac:dyDescent="0.45">
      <c r="B14" s="1108"/>
      <c r="C14" s="1147"/>
      <c r="D14" s="1110"/>
      <c r="E14" s="1137" t="s">
        <v>370</v>
      </c>
      <c r="F14" s="1158"/>
      <c r="G14" s="1113" t="s">
        <v>395</v>
      </c>
      <c r="H14" s="1167" t="str">
        <f>IF(TW!C13="Not Applicable","No","Yes")</f>
        <v>Yes</v>
      </c>
      <c r="I14" s="1678" t="str">
        <f>IF(H14="Yes","NAME OF CO.","")</f>
        <v>NAME OF CO.</v>
      </c>
      <c r="J14" s="1679"/>
      <c r="K14" s="1680" t="str">
        <f>TW!C13</f>
        <v>RICHARD PIERIS FINANCE</v>
      </c>
      <c r="L14" s="1680"/>
      <c r="M14" s="1681"/>
      <c r="N14" s="1152"/>
      <c r="O14" s="1098"/>
      <c r="P14" s="1098"/>
      <c r="T14" s="1168"/>
      <c r="X14" s="1169" t="s">
        <v>218</v>
      </c>
      <c r="Z14" s="1146"/>
      <c r="AM14" s="934" t="str">
        <f>'Administration (2)'!G13</f>
        <v>Motor Cycle (Chinese)</v>
      </c>
      <c r="AU14" s="934">
        <f t="shared" si="0"/>
        <v>1976</v>
      </c>
    </row>
    <row r="15" spans="2:47" s="934" customFormat="1" ht="23.25" customHeight="1" thickBot="1" x14ac:dyDescent="0.45">
      <c r="B15" s="1108"/>
      <c r="C15" s="1147"/>
      <c r="D15" s="1110"/>
      <c r="E15" s="1665" t="str">
        <f>IF(H15&gt;'Rates (2)'!B27,"SUM COVERED - Above Retention","SUM COVERED"                                    )</f>
        <v>SUM COVERED</v>
      </c>
      <c r="F15" s="1665"/>
      <c r="G15" s="1113" t="s">
        <v>395</v>
      </c>
      <c r="H15" s="1666">
        <f>TW!Q16</f>
        <v>500000</v>
      </c>
      <c r="I15" s="1667"/>
      <c r="J15" s="1170"/>
      <c r="K15" s="1171" t="str">
        <f>IF(AND('Rates (2)'!D63="Yes",H11="Chinese"),"N.B.- Chinese Vehicle",IF(AND(H11="Chinese",H8&lt;&gt;'Administration (2)'!C14),"Chinese Vehicles NOT covered",IF(Q15=0,"EXCEED AUTHORIZED LIMIT","")))</f>
        <v/>
      </c>
      <c r="L15" s="1172"/>
      <c r="M15" s="1173" t="str">
        <f>IF(TW!B13=1,TW!T13,"")</f>
        <v/>
      </c>
      <c r="N15" s="1174"/>
      <c r="O15" s="1175">
        <f>IF(T47=0,'Rates (2)'!B25,'Rates (2)'!B24)</f>
        <v>28000000</v>
      </c>
      <c r="P15" s="1175"/>
      <c r="Q15" s="934">
        <f>IF(H15&gt;O15,0,1)</f>
        <v>1</v>
      </c>
      <c r="R15" s="934">
        <f>IF(AND(H15&gt;0,O11&gt;0,O8=1),1,0)</f>
        <v>1</v>
      </c>
      <c r="T15" s="1168"/>
      <c r="X15" s="1169">
        <f ca="1">YEAR(F71)</f>
        <v>2024</v>
      </c>
      <c r="Y15" s="934">
        <f ca="1">X15-H13</f>
        <v>3</v>
      </c>
      <c r="Z15" s="1176">
        <f>IF('Rates (2)'!D52="Yes",1,IF(Y15&gt;'Administration (2)'!F29,0,1))</f>
        <v>1</v>
      </c>
      <c r="AM15" s="934" t="str">
        <f>'Administration (2)'!G16</f>
        <v>Motor Lorry (Chinese)</v>
      </c>
      <c r="AU15" s="934">
        <f t="shared" si="0"/>
        <v>1977</v>
      </c>
    </row>
    <row r="16" spans="2:47" s="934" customFormat="1" ht="16.5" customHeight="1" thickTop="1" thickBot="1" x14ac:dyDescent="0.35">
      <c r="B16" s="1108"/>
      <c r="C16" s="1147"/>
      <c r="D16" s="1177"/>
      <c r="E16" s="1668" t="str">
        <f ca="1">IF('TW-Working'!$C$71=0,"This Quotation system is not valid anymore",IF(C68-F71&lt;14,CONCATENATE("This quotation shall expire within ",C68-F71," days"),IF(AND('Rates (2)'!D79="No",O16=1,H14="No",(O57+Q57=1)),"Should Obtain 3 Tier Quotation","")))</f>
        <v/>
      </c>
      <c r="F16" s="1668"/>
      <c r="G16" s="1668"/>
      <c r="H16" s="1668"/>
      <c r="I16" s="1670" t="str">
        <f>IF(N16=0,"Please Get 3 Tier Quotation",IF(H8="","Enter Vehicle Type",IF(H9="","Enter Vehicle Usage",IF(H11="","Enter Vehicle Country of Make",IF(H12="","Enter Fuel Type",IF(H13="","Enter Year of Make",IF(H14="","Enter Lease Status",IF(L6="","Enter Proposer 2nd Name",""))))))))</f>
        <v/>
      </c>
      <c r="J16" s="1670"/>
      <c r="K16" s="1670"/>
      <c r="L16" s="1670"/>
      <c r="M16" s="1671"/>
      <c r="N16" s="1178">
        <f>IF(AND(O6=0,O16=1,H14="No"),0,1)</f>
        <v>1</v>
      </c>
      <c r="O16" s="1098">
        <f>IF(H11="Chinese",0,1)</f>
        <v>1</v>
      </c>
      <c r="P16" s="1098"/>
      <c r="R16" s="1163"/>
      <c r="S16" s="1163"/>
      <c r="T16" s="1168"/>
      <c r="Z16" s="1146"/>
      <c r="AA16" s="935"/>
      <c r="AB16" s="935"/>
      <c r="AC16" s="935"/>
      <c r="AD16" s="935"/>
      <c r="AM16" s="934" t="str">
        <f>'Administration (2)'!G17</f>
        <v>Others</v>
      </c>
      <c r="AU16" s="934">
        <f t="shared" si="0"/>
        <v>1978</v>
      </c>
    </row>
    <row r="17" spans="2:50" s="934" customFormat="1" ht="15" customHeight="1" thickTop="1" thickBot="1" x14ac:dyDescent="0.35">
      <c r="B17" s="1108"/>
      <c r="C17" s="1147"/>
      <c r="D17" s="1110"/>
      <c r="E17" s="1669"/>
      <c r="F17" s="1669"/>
      <c r="G17" s="1669"/>
      <c r="H17" s="1669"/>
      <c r="I17" s="1672"/>
      <c r="J17" s="1672"/>
      <c r="K17" s="1672"/>
      <c r="L17" s="1672"/>
      <c r="M17" s="1673"/>
      <c r="N17" s="1674"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61"/>
      <c r="P17" s="1098"/>
      <c r="R17" s="1163"/>
      <c r="S17" s="1163"/>
      <c r="T17" s="1168"/>
      <c r="Z17" s="1146"/>
      <c r="AM17" s="934">
        <f>'Administration (2)'!G19</f>
        <v>0</v>
      </c>
      <c r="AU17" s="934">
        <f t="shared" si="0"/>
        <v>1979</v>
      </c>
    </row>
    <row r="18" spans="2:50" s="934" customFormat="1" ht="15" customHeight="1" thickBot="1" x14ac:dyDescent="0.35">
      <c r="B18" s="1108"/>
      <c r="C18" s="1147"/>
      <c r="D18" s="1110"/>
      <c r="E18" s="1179" t="s">
        <v>263</v>
      </c>
      <c r="F18" s="945"/>
      <c r="G18" s="945"/>
      <c r="H18" s="1180"/>
      <c r="I18" s="1181">
        <f>IF(K14=F114,1000,0)</f>
        <v>0</v>
      </c>
      <c r="J18" s="1180"/>
      <c r="K18" s="945"/>
      <c r="L18" s="945"/>
      <c r="M18" s="1182"/>
      <c r="N18" s="1675"/>
      <c r="O18" s="1663"/>
      <c r="P18" s="1098"/>
      <c r="R18" s="1163"/>
      <c r="S18" s="1163"/>
      <c r="T18" s="1168"/>
      <c r="Z18" s="1146"/>
      <c r="AU18" s="934">
        <f t="shared" si="0"/>
        <v>1980</v>
      </c>
    </row>
    <row r="19" spans="2:50" s="934" customFormat="1" ht="15.5" thickBot="1" x14ac:dyDescent="0.35">
      <c r="B19" s="1108"/>
      <c r="C19" s="1147"/>
      <c r="D19" s="1110"/>
      <c r="E19" s="1183" t="s">
        <v>374</v>
      </c>
      <c r="F19" s="1184"/>
      <c r="G19" s="1184"/>
      <c r="H19" s="1185"/>
      <c r="I19" s="1186"/>
      <c r="J19" s="1186"/>
      <c r="K19" s="945"/>
      <c r="L19" s="1187">
        <v>0</v>
      </c>
      <c r="M19" s="1188">
        <f ca="1">IF(AND($C$2="Yes",L19=1),N19*C71,(H15*N7%*R15*C71))*N3</f>
        <v>8750</v>
      </c>
      <c r="N19" s="1189">
        <v>0</v>
      </c>
      <c r="O19" s="1098"/>
      <c r="P19" s="1098"/>
      <c r="Q19" s="1190">
        <v>0.01</v>
      </c>
      <c r="R19" s="1163"/>
      <c r="S19" s="1191"/>
      <c r="T19" s="1192"/>
      <c r="U19" s="1191"/>
      <c r="V19" s="1191"/>
      <c r="W19" s="937"/>
      <c r="X19" s="937"/>
      <c r="Y19" s="937"/>
      <c r="Z19" s="1193"/>
      <c r="AA19" s="937"/>
      <c r="AU19" s="934">
        <f t="shared" si="0"/>
        <v>1981</v>
      </c>
    </row>
    <row r="20" spans="2:50" s="934" customFormat="1" ht="16" customHeight="1" thickBot="1" x14ac:dyDescent="0.35">
      <c r="B20" s="1108"/>
      <c r="C20" s="1147"/>
      <c r="D20" s="1194" t="s">
        <v>280</v>
      </c>
      <c r="E20" s="1195" t="s">
        <v>10</v>
      </c>
      <c r="F20" s="1064" t="s">
        <v>163</v>
      </c>
      <c r="G20" s="1064"/>
      <c r="H20" s="1196"/>
      <c r="I20" s="1186"/>
      <c r="J20" s="1186"/>
      <c r="K20" s="945"/>
      <c r="L20" s="1187">
        <v>0</v>
      </c>
      <c r="M20" s="1197">
        <f ca="1">IF(AND($C$2="Yes",L20=1),N20,(M19*H20%))</f>
        <v>0</v>
      </c>
      <c r="N20" s="1189">
        <v>0</v>
      </c>
      <c r="O20" s="1098"/>
      <c r="P20" s="1098"/>
      <c r="Q20" s="1190"/>
      <c r="R20" s="1163"/>
      <c r="S20" s="1191"/>
      <c r="T20" s="1192"/>
      <c r="U20" s="1191"/>
      <c r="V20" s="1191"/>
      <c r="W20" s="937"/>
      <c r="X20" s="937"/>
      <c r="Y20" s="937"/>
      <c r="Z20" s="1193"/>
      <c r="AA20" s="937"/>
      <c r="AM20" s="1107"/>
      <c r="AU20" s="934">
        <f t="shared" si="0"/>
        <v>1982</v>
      </c>
    </row>
    <row r="21" spans="2:50" s="934" customFormat="1" ht="16" customHeight="1" thickBot="1" x14ac:dyDescent="0.45">
      <c r="B21" s="1198" t="str">
        <f>IF(C21=0,"No",IF(C21=1,"Yes","Free"))</f>
        <v>Free</v>
      </c>
      <c r="C21" s="1199">
        <f>IF(H14="Yes",2,0)</f>
        <v>2</v>
      </c>
      <c r="D21" s="1194" t="s">
        <v>280</v>
      </c>
      <c r="E21" s="1195" t="s">
        <v>10</v>
      </c>
      <c r="F21" s="1064" t="s">
        <v>12</v>
      </c>
      <c r="G21" s="1064"/>
      <c r="H21" s="1200" t="str">
        <f>IF(B21="Free","Free",IF(B21="Yes","Charged",""))</f>
        <v>Free</v>
      </c>
      <c r="I21" s="1186"/>
      <c r="J21" s="1186"/>
      <c r="K21" s="945"/>
      <c r="L21" s="1201"/>
      <c r="M21" s="1202">
        <f ca="1">M19*'Rates (2)'!K13%*Q21</f>
        <v>0</v>
      </c>
      <c r="N21" s="1189"/>
      <c r="Q21" s="934">
        <f>IF(B21="Yes",1,0)</f>
        <v>0</v>
      </c>
      <c r="R21" s="1203"/>
      <c r="S21" s="1204"/>
      <c r="T21" s="1191"/>
      <c r="U21" s="1191"/>
      <c r="V21" s="1191"/>
      <c r="W21" s="937"/>
      <c r="X21" s="937"/>
      <c r="Y21" s="937"/>
      <c r="Z21" s="937"/>
      <c r="AA21" s="937"/>
      <c r="AM21" s="1107"/>
      <c r="AU21" s="934">
        <f t="shared" si="0"/>
        <v>1983</v>
      </c>
    </row>
    <row r="22" spans="2:50" s="934" customFormat="1" ht="16" customHeight="1" thickBot="1" x14ac:dyDescent="0.35">
      <c r="B22" s="1205"/>
      <c r="C22" s="1102"/>
      <c r="D22" s="1194" t="s">
        <v>280</v>
      </c>
      <c r="E22" s="1195" t="s">
        <v>10</v>
      </c>
      <c r="F22" s="1064" t="s">
        <v>2</v>
      </c>
      <c r="G22" s="1064"/>
      <c r="H22" s="1206">
        <v>0</v>
      </c>
      <c r="I22" s="1207">
        <f>IF(AND($C$2="Yes",L22=1),K22,H22)</f>
        <v>0</v>
      </c>
      <c r="J22" s="1208"/>
      <c r="K22" s="1209">
        <v>10000</v>
      </c>
      <c r="L22" s="1187">
        <v>0</v>
      </c>
      <c r="M22" s="1210">
        <f>IF(AND($C$2="Yes",L22=1),N22,-IF(I22=2000,MIN('Rates (2)'!K38/100*M19,'Rates (2)'!J38),IF(I22=5000,MIN('Rates (2)'!J39,'Rates (2)'!K39/100*M19),IF(I22=10000,MIN('Rates (2)'!K40/100*M19,'Rates (2)'!J40)))))</f>
        <v>0</v>
      </c>
      <c r="N22" s="1189">
        <v>0</v>
      </c>
      <c r="O22" s="1211">
        <f>IF(I22&gt;0,1,0)</f>
        <v>0</v>
      </c>
      <c r="P22" s="1211"/>
      <c r="Q22" s="1212"/>
      <c r="R22" s="1163"/>
      <c r="S22" s="1191"/>
      <c r="T22" s="1191"/>
      <c r="U22" s="1191"/>
      <c r="V22" s="1191"/>
      <c r="W22" s="1213"/>
      <c r="X22" s="937"/>
      <c r="Y22" s="937"/>
      <c r="Z22" s="1214">
        <f ca="1">M35+M36</f>
        <v>3979.9401746722651</v>
      </c>
      <c r="AA22" s="937"/>
      <c r="AM22" s="1107"/>
      <c r="AU22" s="934">
        <f t="shared" si="0"/>
        <v>1984</v>
      </c>
    </row>
    <row r="23" spans="2:50" s="934" customFormat="1" ht="16" customHeight="1" thickBot="1" x14ac:dyDescent="0.35">
      <c r="B23" s="1205"/>
      <c r="C23" s="1102"/>
      <c r="D23" s="1194" t="s">
        <v>280</v>
      </c>
      <c r="E23" s="1195" t="s">
        <v>10</v>
      </c>
      <c r="F23" s="1064" t="s">
        <v>3</v>
      </c>
      <c r="G23" s="1468">
        <f ca="1">1999.99/M19*100</f>
        <v>22.857028571428572</v>
      </c>
      <c r="H23" s="1467">
        <f ca="1">-M23/M19*100</f>
        <v>64.45782657517411</v>
      </c>
      <c r="I23" s="1676" t="str">
        <f ca="1">IF(AND(U23=0,M23&lt;0),"   (Special Rebate Allowed)",IF(U23=0,"   (Rebate Not Allowed)",IF(AND(H12="Hybrid",M23&lt;0),"N.B:- Hybrid Vehicle",IF(AND(H11="Korean",M23&lt;0),"N.B:- Korean Vehicle",""))))</f>
        <v/>
      </c>
      <c r="J23" s="1677"/>
      <c r="K23" s="1677"/>
      <c r="L23" s="1677"/>
      <c r="M23" s="1215">
        <f ca="1">M24-M19</f>
        <v>-5640.0598253277349</v>
      </c>
      <c r="N23" s="1189">
        <v>0</v>
      </c>
      <c r="O23" s="1216">
        <v>0</v>
      </c>
      <c r="P23" s="1217">
        <f ca="1">IF(M23&lt;0,1,0)</f>
        <v>1</v>
      </c>
      <c r="Q23" s="1218">
        <f>'Rates (2)'!C29</f>
        <v>75</v>
      </c>
      <c r="R23" s="1219">
        <f>IF(AND(T47=0,'Rates (2)'!C28="No"),1,0)</f>
        <v>0</v>
      </c>
      <c r="S23" s="1220"/>
      <c r="T23" s="1220">
        <f>IF(R23=1,0,IF(AND(H11="Chinese",'Rates (2)'!D64="No"),0,IF(AND(H12="Hybrid",'Rates (2)'!D76="No"),0,IF(AND(H11="Korean",'Rates (2)'!D58="Yes"),1,IF(AND(H11="Korean",H14="No",'Rates (2)'!D58="No"),0,IF(AND(H11="Korean",H14="Yes",'Rates (2)'!D58="No",OR(J11="Reconditioned",J11="Registered")),0,Q23))))))</f>
        <v>75</v>
      </c>
      <c r="U23" s="1220">
        <f>IF(T23=0,0,1)</f>
        <v>1</v>
      </c>
      <c r="V23" s="1220"/>
      <c r="W23" s="1221"/>
      <c r="X23" s="1221"/>
      <c r="Y23" s="1221">
        <v>0</v>
      </c>
      <c r="Z23" s="1221">
        <f ca="1">Z22*-H37%</f>
        <v>-994.98504366806628</v>
      </c>
      <c r="AA23" s="1221"/>
      <c r="AB23" s="1124"/>
      <c r="AC23" s="1124"/>
      <c r="AD23" s="1124"/>
      <c r="AE23" s="1124"/>
      <c r="AM23" s="1107"/>
      <c r="AU23" s="934">
        <f t="shared" si="0"/>
        <v>1985</v>
      </c>
    </row>
    <row r="24" spans="2:50" s="934" customFormat="1" ht="16" thickBot="1" x14ac:dyDescent="0.4">
      <c r="B24" s="1205"/>
      <c r="C24" s="1102">
        <f>IF(H24=D24,1,0)</f>
        <v>0</v>
      </c>
      <c r="D24" s="1222" t="s">
        <v>400</v>
      </c>
      <c r="E24" s="1223"/>
      <c r="F24" s="946"/>
      <c r="G24" s="1224" t="str">
        <f>IF(U23=0,"Enter Password for Special Rebate =&gt;","")</f>
        <v/>
      </c>
      <c r="H24" s="1225"/>
      <c r="I24" s="1226">
        <v>15</v>
      </c>
      <c r="J24" s="1226"/>
      <c r="K24" s="1227"/>
      <c r="L24" s="1227" t="s">
        <v>281</v>
      </c>
      <c r="M24" s="1228">
        <f ca="1">M35-M29</f>
        <v>3109.9401746722651</v>
      </c>
      <c r="N24" s="1229"/>
      <c r="O24" s="1211">
        <f ca="1">O23+M24</f>
        <v>3109.9401746722651</v>
      </c>
      <c r="P24" s="1211"/>
      <c r="Q24" s="1230"/>
      <c r="R24" s="1230"/>
      <c r="S24" s="1231"/>
      <c r="T24" s="1231"/>
      <c r="U24" s="1231"/>
      <c r="V24" s="1231"/>
      <c r="W24" s="937"/>
      <c r="X24" s="937"/>
      <c r="Y24" s="937"/>
      <c r="Z24" s="1232" t="s">
        <v>155</v>
      </c>
      <c r="AA24" s="937"/>
      <c r="AD24" s="1233" t="s">
        <v>154</v>
      </c>
      <c r="AJ24" s="934">
        <v>0</v>
      </c>
      <c r="AM24" s="1107"/>
      <c r="AU24" s="934">
        <f t="shared" si="0"/>
        <v>1986</v>
      </c>
    </row>
    <row r="25" spans="2:50" s="934" customFormat="1" ht="18" customHeight="1" thickBot="1" x14ac:dyDescent="0.4">
      <c r="B25" s="1205"/>
      <c r="C25" s="1102"/>
      <c r="D25" s="1194" t="s">
        <v>280</v>
      </c>
      <c r="E25" s="1195" t="s">
        <v>10</v>
      </c>
      <c r="F25" s="1064" t="s">
        <v>322</v>
      </c>
      <c r="G25" s="1053" t="s">
        <v>24</v>
      </c>
      <c r="H25" s="1234">
        <v>1000000</v>
      </c>
      <c r="I25" s="1653" t="s">
        <v>444</v>
      </c>
      <c r="J25" s="1654"/>
      <c r="K25" s="1655"/>
      <c r="L25" s="1235">
        <f>IF(H15&gt;0,AD25,0)</f>
        <v>1</v>
      </c>
      <c r="M25" s="1236"/>
      <c r="N25" s="1189">
        <v>0</v>
      </c>
      <c r="O25" s="1119">
        <v>0</v>
      </c>
      <c r="P25" s="1098">
        <f>IF(H25&gt;0,1,0)</f>
        <v>1</v>
      </c>
      <c r="Q25" s="1098">
        <f>IF(L27&gt;0,1,0)</f>
        <v>1</v>
      </c>
      <c r="R25" s="1119">
        <f>P25+Q25</f>
        <v>2</v>
      </c>
      <c r="S25" s="1237"/>
      <c r="T25" s="1237"/>
      <c r="U25" s="1237">
        <f>IF(T47=0,'Rates (2)'!K10,IF(U57=1,'Rates (2)'!K8,'Rates (2)'!K9))</f>
        <v>25</v>
      </c>
      <c r="V25" s="1237"/>
      <c r="W25" s="937">
        <f>IF(OR(U62=1,'Rates (2)'!D41="Yes"),MIN(H25/25000*MIN(L25,AC25)*U25,X25),0)</f>
        <v>0</v>
      </c>
      <c r="X25" s="937">
        <f>MIN(H25/25000*MIN(L25,AC25)*U25*Y25,'Rates (2)'!C40/25000*MIN(L25,AC25)*U25*Y25)</f>
        <v>0</v>
      </c>
      <c r="Y25" s="937">
        <f>IF('Rates (2)'!D39="Yes",1,0)</f>
        <v>1</v>
      </c>
      <c r="Z25" s="1238">
        <f>IF(AND(AA25=1,R25=2),MAX(H25,'Rates (2)'!C40),IF(AND(AA25=1,R25&lt;2),'Rates (2)'!C40,IF(AND(AA25=0,R25=2),H25,0)))</f>
        <v>1000000</v>
      </c>
      <c r="AA25" s="937">
        <f>IF(OR(AND(U62=1,'Rates (2)'!D39="Yes",'Rates (2)'!C40&gt;0),AND(U62=0,'Rates (2)'!D39="Yes",'Rates (2)'!C40&gt;0,'Rates (2)'!D41="Yes")),1,0)</f>
        <v>0</v>
      </c>
      <c r="AB25" s="934">
        <f>IF(AND(AA25=1,H25&lt;'Rates (2)'!C40),AC25,L27)</f>
        <v>1</v>
      </c>
      <c r="AC25" s="934">
        <f>IF(OR(O57+Q57=1,W57=1),MIN(L13,Q12,'Rates (2)'!D42),0)</f>
        <v>0</v>
      </c>
      <c r="AD25" s="934">
        <f>IF(AND(AA25=1,L27&lt;=AC25,H25&lt;='Rates (2)'!C40),AC25,IF(AND(AA25=1,L27=0,H25&gt;'Rates (2)'!C40),AC25,AE25))</f>
        <v>1</v>
      </c>
      <c r="AE25" s="934">
        <f>IF(AND(L27&gt;Q12,Q12&gt;L13),L13,IF(AND(L27&gt;Q12,Q12&lt;=L13),Q12,IF(AND(L27&lt;Q12,L27&gt;L13),L13,L27)))</f>
        <v>1</v>
      </c>
      <c r="AJ25" s="934">
        <f>IF(AND(H9='Administration (2)'!C20,OR(M8='Administration (2)'!C7,M8='Administration (2)'!C8,M8='Administration (2)'!C9)),50000,25000)</f>
        <v>25000</v>
      </c>
      <c r="AM25" s="1107"/>
      <c r="AU25" s="934">
        <f t="shared" si="0"/>
        <v>1987</v>
      </c>
    </row>
    <row r="26" spans="2:50" s="934" customFormat="1" ht="1.5" customHeight="1" thickBot="1" x14ac:dyDescent="0.35">
      <c r="B26" s="1205"/>
      <c r="C26" s="1102"/>
      <c r="D26" s="1239"/>
      <c r="E26" s="1240">
        <f>IF(I25="Full Seating Capacity",1,0)</f>
        <v>0</v>
      </c>
      <c r="F26" s="991" t="str">
        <f>IF(H25&gt;0,"Full Seating Capacity","")</f>
        <v>Full Seating Capacity</v>
      </c>
      <c r="G26" s="1240">
        <f>IF(OR(I25="Participant Only",I25="Participant &amp; Driver Only"),1,0)</f>
        <v>0</v>
      </c>
      <c r="H26" s="1064" t="str">
        <f>IF(H25&gt;0,"for Participant","")</f>
        <v>for Participant</v>
      </c>
      <c r="I26" s="1241">
        <f>IF(H15&gt;0,Z25,0)</f>
        <v>1000000</v>
      </c>
      <c r="J26" s="1241"/>
      <c r="K26" s="995" t="str">
        <f>IF(H25&gt;0,"for Driver","")</f>
        <v>for Driver</v>
      </c>
      <c r="L26" s="1240">
        <f>IF(OR(I25="Driver Only",I25="Participant &amp; Driver Only"),1,0)</f>
        <v>1</v>
      </c>
      <c r="M26" s="1242"/>
      <c r="N26" s="1174"/>
      <c r="O26" s="1098" t="str">
        <f>IF(AND(E26=0,L25&gt;0),CONCATENATE(MIN(L25,L13)," Persons"),IF(E26=1,"Full Seating Capacity",IF(AND(G26=1,L26=1),"Participant &amp; Driver",IF(G26=1,"Participant only",IF(L26=1,"Driver only","")))))</f>
        <v>1 Persons</v>
      </c>
      <c r="P26" s="1098"/>
      <c r="Q26" s="1098"/>
      <c r="R26" s="1119"/>
      <c r="S26" s="1237"/>
      <c r="T26" s="1237"/>
      <c r="U26" s="1237"/>
      <c r="V26" s="1237"/>
      <c r="W26" s="937"/>
      <c r="X26" s="937"/>
      <c r="Y26" s="937"/>
      <c r="Z26" s="1238"/>
      <c r="AA26" s="937"/>
      <c r="AJ26" s="934">
        <f>AJ25+25000</f>
        <v>50000</v>
      </c>
      <c r="AM26" s="1107"/>
      <c r="AU26" s="934">
        <f t="shared" si="0"/>
        <v>1988</v>
      </c>
      <c r="AX26" s="1243"/>
    </row>
    <row r="27" spans="2:50" s="934" customFormat="1" ht="26.25" hidden="1" customHeight="1" thickBot="1" x14ac:dyDescent="0.35">
      <c r="B27" s="1205"/>
      <c r="C27" s="1102"/>
      <c r="D27" s="1239"/>
      <c r="E27" s="946"/>
      <c r="F27" s="1656" t="str">
        <f>IF(OR($R$25&gt;1,AA25=1),"If PAB for Terrorism is Required for paid Driver or workers, state their number","")</f>
        <v>If PAB for Terrorism is Required for paid Driver or workers, state their number</v>
      </c>
      <c r="G27" s="1656"/>
      <c r="H27" s="1656"/>
      <c r="I27" s="1244">
        <v>0</v>
      </c>
      <c r="J27" s="1245"/>
      <c r="K27" s="1246"/>
      <c r="L27" s="1244">
        <f>IF(E26=1,L13,IF(AND(G26=1,L26=1),2,IF(OR(G26=1,L26=1),1,0)))</f>
        <v>1</v>
      </c>
      <c r="M27" s="1247"/>
      <c r="O27" s="1098"/>
      <c r="P27" s="1098"/>
      <c r="Q27" s="1248"/>
      <c r="R27" s="1249"/>
      <c r="S27" s="1250"/>
      <c r="T27" s="1250"/>
      <c r="U27" s="1250"/>
      <c r="V27" s="1250"/>
      <c r="W27" s="1251"/>
      <c r="X27" s="1251"/>
      <c r="Y27" s="937"/>
      <c r="Z27" s="1238"/>
      <c r="AA27" s="937"/>
      <c r="AJ27" s="934">
        <f t="shared" ref="AJ27:AJ43" si="1">AJ26+25000</f>
        <v>75000</v>
      </c>
      <c r="AM27" s="1107"/>
      <c r="AU27" s="934">
        <f t="shared" si="0"/>
        <v>1989</v>
      </c>
      <c r="AX27" s="1243"/>
    </row>
    <row r="28" spans="2:50" s="934" customFormat="1" ht="20.25" hidden="1" customHeight="1" thickBot="1" x14ac:dyDescent="0.35">
      <c r="B28" s="1205"/>
      <c r="C28" s="1102"/>
      <c r="D28" s="1239"/>
      <c r="E28" s="1252"/>
      <c r="F28" s="1656"/>
      <c r="G28" s="1656"/>
      <c r="H28" s="1656"/>
      <c r="I28" s="1657" t="str">
        <f>IF(AND(H25=0,L25=0),"",IF(I27&gt;L25,"Invalid Entry",""))</f>
        <v/>
      </c>
      <c r="J28" s="1657"/>
      <c r="K28" s="1657"/>
      <c r="L28" s="946"/>
      <c r="M28" s="1236"/>
      <c r="N28" s="1253"/>
      <c r="O28" s="1211"/>
      <c r="P28" s="1211"/>
      <c r="Q28" s="1249"/>
      <c r="R28" s="1119"/>
      <c r="S28" s="1237"/>
      <c r="T28" s="1237"/>
      <c r="U28" s="1237"/>
      <c r="V28" s="1237"/>
      <c r="W28" s="937"/>
      <c r="X28" s="937"/>
      <c r="Y28" s="937"/>
      <c r="Z28" s="937">
        <f>IF(I27&gt;L25,L25,I27)</f>
        <v>0</v>
      </c>
      <c r="AA28" s="937"/>
      <c r="AJ28" s="934">
        <f t="shared" si="1"/>
        <v>100000</v>
      </c>
      <c r="AM28" s="1107"/>
      <c r="AU28" s="934">
        <f t="shared" si="0"/>
        <v>1990</v>
      </c>
      <c r="AX28" s="1243"/>
    </row>
    <row r="29" spans="2:50" s="934" customFormat="1" ht="20.25" customHeight="1" thickBot="1" x14ac:dyDescent="0.4">
      <c r="B29" s="1205"/>
      <c r="C29" s="1102"/>
      <c r="D29" s="1194" t="s">
        <v>280</v>
      </c>
      <c r="E29" s="1195" t="s">
        <v>10</v>
      </c>
      <c r="F29" s="1005" t="s">
        <v>45</v>
      </c>
      <c r="G29" s="1005"/>
      <c r="H29" s="1254">
        <f>TW!R36</f>
        <v>500000</v>
      </c>
      <c r="I29" s="1255" t="str">
        <f>IF(L13&gt;Q12,CONCATENATE(Q12-1," Passengers"),CONCATENATE(L13-1," passengers"))</f>
        <v>3 passengers</v>
      </c>
      <c r="J29" s="1115"/>
      <c r="K29" s="1256">
        <f>IF(AND(H8="Three Wheeler",K14=F114,H29&lt;20000),20000,H29)</f>
        <v>500000</v>
      </c>
      <c r="L29" s="1257"/>
      <c r="M29" s="1258">
        <f>IF(AND($C$2="Yes",O29=1),N29,IF(K29=2000,'Rates (2)'!K27,IF(K29=10000,'Rates (2)'!M27,IF(K29=20000,'Rates (2)'!K28,IF(K29=50000,'Rates (2)'!M28,IF(K29=100000,'Rates (2)'!K29,IF(K29=200000,'Rates (2)'!M29,IF(K29=500000,'Rates (2)'!K30,))))))))*T29*U2*R15*Y2*Z49*Y49*Q67*N3</f>
        <v>870</v>
      </c>
      <c r="N29" s="1189">
        <v>0</v>
      </c>
      <c r="O29" s="1216">
        <v>0</v>
      </c>
      <c r="P29" s="1098">
        <f>IF(K29&gt;0,1,0)</f>
        <v>1</v>
      </c>
      <c r="Q29" s="1098">
        <f>IF(I29&gt;0,1,0)</f>
        <v>1</v>
      </c>
      <c r="R29" s="1119">
        <f>P29+Q29</f>
        <v>2</v>
      </c>
      <c r="S29" s="1237"/>
      <c r="T29" s="1191">
        <f>IF(I29&gt;L13-1,L13-1,I29)</f>
        <v>3</v>
      </c>
      <c r="U29" s="1191"/>
      <c r="V29" s="1191">
        <f>IF(AND(H9='Administration (2)'!C21,OR('TW-Working'!M8='Administration (2)'!C7,M8='Administration (2)'!C8,M8='Administration (2)'!C9,M8='Administration (2)'!C10,M8='Administration (2)'!C12)),2000,0)</f>
        <v>2000</v>
      </c>
      <c r="W29" s="937"/>
      <c r="X29" s="937"/>
      <c r="Y29" s="937"/>
      <c r="Z29" s="937"/>
      <c r="AA29" s="937"/>
      <c r="AJ29" s="934">
        <f t="shared" si="1"/>
        <v>125000</v>
      </c>
      <c r="AM29" s="1107"/>
      <c r="AU29" s="934">
        <f t="shared" si="0"/>
        <v>1991</v>
      </c>
      <c r="AX29" s="1259"/>
    </row>
    <row r="30" spans="2:50" s="934" customFormat="1" ht="21" customHeight="1" thickBot="1" x14ac:dyDescent="0.35">
      <c r="B30" s="1205"/>
      <c r="C30" s="1260" t="s">
        <v>76</v>
      </c>
      <c r="D30" s="1194" t="s">
        <v>280</v>
      </c>
      <c r="E30" s="1195" t="s">
        <v>10</v>
      </c>
      <c r="F30" s="1261" t="str">
        <f>IF(O31=0,"Goods Cover               (Not Provided)",IF(AND(C30="Yes",H30=0),"Goods Cover    - Enter Goods Value","Goods Cover              Goods Value-&gt;"))</f>
        <v>Goods Cover    - Enter Goods Value</v>
      </c>
      <c r="G30" s="946"/>
      <c r="H30" s="1262">
        <v>0</v>
      </c>
      <c r="I30" s="1658" t="s">
        <v>37</v>
      </c>
      <c r="J30" s="1659"/>
      <c r="K30" s="1263" t="s">
        <v>399</v>
      </c>
      <c r="L30" s="1187">
        <v>0</v>
      </c>
      <c r="M30" s="1202"/>
      <c r="N30" s="1189">
        <v>0</v>
      </c>
      <c r="O30" s="1098">
        <f>IF(AND(C30="Yes",H30&gt;0),1,0)</f>
        <v>0</v>
      </c>
      <c r="P30" s="1098"/>
      <c r="Q30" s="1107"/>
      <c r="S30" s="937"/>
      <c r="T30" s="937">
        <f>IF(C30="Yes",'Rates (2)'!B33,0)</f>
        <v>5000</v>
      </c>
      <c r="U30" s="1214">
        <f>IF(AND(O31=1,C30="Yes"),'Rates (2)'!B31,0)</f>
        <v>1000000</v>
      </c>
      <c r="V30" s="1214"/>
      <c r="W30" s="937"/>
      <c r="X30" s="937"/>
      <c r="Y30" s="937"/>
      <c r="Z30" s="937"/>
      <c r="AA30" s="937"/>
      <c r="AJ30" s="934">
        <f t="shared" si="1"/>
        <v>150000</v>
      </c>
      <c r="AM30" s="1107"/>
      <c r="AU30" s="934">
        <f t="shared" si="0"/>
        <v>1992</v>
      </c>
    </row>
    <row r="31" spans="2:50" s="934" customFormat="1" ht="0.75" customHeight="1" thickBot="1" x14ac:dyDescent="0.35">
      <c r="B31" s="1264">
        <v>1</v>
      </c>
      <c r="C31" s="1109">
        <v>1</v>
      </c>
      <c r="D31" s="1265"/>
      <c r="E31" s="1266" t="str">
        <f>IF(AND(H30&gt;0,O31&gt;0),"Select Nature of Goods","")</f>
        <v/>
      </c>
      <c r="F31" s="946"/>
      <c r="G31" s="1267" t="s">
        <v>10</v>
      </c>
      <c r="H31" s="1027" t="str">
        <f>IF(AND(H30&gt;0,O31=1),"Non Hazardous","")</f>
        <v/>
      </c>
      <c r="I31" s="1268">
        <f>H30*'Rates (2)'!K53%*T31*O30*O31</f>
        <v>0</v>
      </c>
      <c r="J31" s="1269"/>
      <c r="K31" s="1269"/>
      <c r="L31" s="1269"/>
      <c r="M31" s="1270"/>
      <c r="N31" s="1271"/>
      <c r="O31" s="934">
        <f>IF(OR(H8='Administration (2)'!C9,H8='Administration (2)'!C11,H8='Administration (2)'!C12,H8='Administration (2)'!CY1548),1,IF('Rates (2)'!D47="Yes",1,0))</f>
        <v>1</v>
      </c>
      <c r="Q31" s="934">
        <f>B31</f>
        <v>1</v>
      </c>
      <c r="R31" s="934">
        <f>IF(Q31+Q32=3,0,1)</f>
        <v>1</v>
      </c>
      <c r="S31" s="937"/>
      <c r="T31" s="937">
        <f>IF((E32+E33)=0,1,0)</f>
        <v>0</v>
      </c>
      <c r="U31" s="937">
        <f>IF(T31=1,1,0)</f>
        <v>0</v>
      </c>
      <c r="V31" s="937"/>
      <c r="W31" s="937"/>
      <c r="X31" s="937"/>
      <c r="Y31" s="937"/>
      <c r="Z31" s="937"/>
      <c r="AA31" s="937"/>
      <c r="AJ31" s="934">
        <f t="shared" si="1"/>
        <v>175000</v>
      </c>
      <c r="AM31" s="1107"/>
      <c r="AU31" s="934">
        <f t="shared" si="0"/>
        <v>1993</v>
      </c>
      <c r="AX31" s="1259" t="s">
        <v>388</v>
      </c>
    </row>
    <row r="32" spans="2:50" s="934" customFormat="1" ht="23.25" hidden="1" customHeight="1" thickBot="1" x14ac:dyDescent="0.35">
      <c r="B32" s="1205"/>
      <c r="D32" s="1265"/>
      <c r="E32" s="1187">
        <f>IF(I30="Hazardous",1,0)</f>
        <v>0</v>
      </c>
      <c r="F32" s="946"/>
      <c r="G32" s="1267" t="s">
        <v>10</v>
      </c>
      <c r="H32" s="1027" t="str">
        <f>IF(AND(H30&gt;0,O31=1),"Hazardous","")</f>
        <v/>
      </c>
      <c r="I32" s="1268">
        <f>H30*'Rates (2)'!K54%*Q32*O30*O31</f>
        <v>0</v>
      </c>
      <c r="J32" s="1269"/>
      <c r="K32" s="1269"/>
      <c r="L32" s="1269"/>
      <c r="M32" s="1270"/>
      <c r="N32" s="1271"/>
      <c r="Q32" s="934">
        <f>IF(Q33=1,0,E32)</f>
        <v>0</v>
      </c>
      <c r="S32" s="937"/>
      <c r="T32" s="937" t="str">
        <f>IF(AND(E33=1,H30&gt;0,C30="Yes"),"Extra Hazardous",U32)</f>
        <v>-</v>
      </c>
      <c r="U32" s="937" t="str">
        <f>IF(AND(H30&gt;0,E32=1,C30="Yes"),"Hazardous",W32)</f>
        <v>-</v>
      </c>
      <c r="V32" s="937"/>
      <c r="W32" s="937" t="str">
        <f>IF(AND(H30&gt;0,C30="Yes"),"Non Hazardous","-")</f>
        <v>-</v>
      </c>
      <c r="X32" s="937"/>
      <c r="Y32" s="937"/>
      <c r="Z32" s="937"/>
      <c r="AA32" s="937"/>
      <c r="AJ32" s="934">
        <f t="shared" si="1"/>
        <v>200000</v>
      </c>
      <c r="AM32" s="1107"/>
      <c r="AU32" s="934">
        <f t="shared" si="0"/>
        <v>1994</v>
      </c>
      <c r="AX32" s="1259" t="s">
        <v>381</v>
      </c>
    </row>
    <row r="33" spans="2:50" s="934" customFormat="1" ht="18" hidden="1" customHeight="1" thickTop="1" thickBot="1" x14ac:dyDescent="0.35">
      <c r="B33" s="1205"/>
      <c r="D33" s="1265"/>
      <c r="E33" s="1187">
        <f>IF(I30="Extra Hazardous",1,0)</f>
        <v>1</v>
      </c>
      <c r="F33" s="946"/>
      <c r="G33" s="1267" t="s">
        <v>10</v>
      </c>
      <c r="H33" s="1027" t="str">
        <f>IF(AND(H30&gt;0,O31=1),"Extra Hazardous","")</f>
        <v/>
      </c>
      <c r="I33" s="1268">
        <f>H30*'Rates (2)'!K55%*E33*O30*O31</f>
        <v>0</v>
      </c>
      <c r="J33" s="1269"/>
      <c r="K33" s="1269"/>
      <c r="L33" s="1269"/>
      <c r="M33" s="1270"/>
      <c r="N33" s="1660"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61"/>
      <c r="Q33" s="934">
        <f>E33</f>
        <v>1</v>
      </c>
      <c r="S33" s="937"/>
      <c r="T33" s="937"/>
      <c r="U33" s="937"/>
      <c r="V33" s="937"/>
      <c r="W33" s="937"/>
      <c r="X33" s="937"/>
      <c r="Y33" s="937"/>
      <c r="Z33" s="937"/>
      <c r="AA33" s="937"/>
      <c r="AJ33" s="934">
        <f t="shared" si="1"/>
        <v>225000</v>
      </c>
      <c r="AM33" s="1107"/>
      <c r="AU33" s="934">
        <f t="shared" si="0"/>
        <v>1995</v>
      </c>
      <c r="AX33" s="1259" t="s">
        <v>389</v>
      </c>
    </row>
    <row r="34" spans="2:50" s="934" customFormat="1" ht="18" customHeight="1" thickBot="1" x14ac:dyDescent="0.35">
      <c r="B34" s="1205"/>
      <c r="D34" s="1265"/>
      <c r="E34" s="1187">
        <f>IF(K30="With Fire",1,0)</f>
        <v>1</v>
      </c>
      <c r="F34" s="1078" t="str">
        <f>IF(AND(H30&gt;0,O31=1),"Select to include Damage by Fire","")</f>
        <v/>
      </c>
      <c r="G34" s="1267" t="s">
        <v>10</v>
      </c>
      <c r="H34" s="1027" t="str">
        <f>IF(AND(H30&gt;0,O31=1),"Fire","")</f>
        <v/>
      </c>
      <c r="I34" s="1268">
        <f>H30*E34*'Rates (2)'!K56%*O30*O31</f>
        <v>0</v>
      </c>
      <c r="J34" s="1269"/>
      <c r="K34" s="1269"/>
      <c r="L34" s="1269"/>
      <c r="M34" s="1270"/>
      <c r="N34" s="1662"/>
      <c r="O34" s="1663"/>
      <c r="S34" s="937"/>
      <c r="T34" s="937"/>
      <c r="U34" s="937"/>
      <c r="V34" s="937"/>
      <c r="W34" s="937"/>
      <c r="X34" s="937"/>
      <c r="Y34" s="937"/>
      <c r="Z34" s="937"/>
      <c r="AA34" s="937"/>
      <c r="AJ34" s="934">
        <f t="shared" si="1"/>
        <v>250000</v>
      </c>
      <c r="AM34" s="1107"/>
      <c r="AU34" s="1272">
        <f t="shared" si="0"/>
        <v>1996</v>
      </c>
    </row>
    <row r="35" spans="2:50" s="934" customFormat="1" ht="16.5" thickTop="1" thickBot="1" x14ac:dyDescent="0.4">
      <c r="B35" s="1205"/>
      <c r="C35" s="1147"/>
      <c r="D35" s="1273"/>
      <c r="E35" s="1274"/>
      <c r="F35" s="1275"/>
      <c r="G35" s="1276"/>
      <c r="H35" s="1277">
        <f>IF(H36=0,H37,H36)</f>
        <v>25</v>
      </c>
      <c r="I35" s="1278"/>
      <c r="J35" s="1278"/>
      <c r="K35" s="1279"/>
      <c r="L35" s="1279" t="s">
        <v>282</v>
      </c>
      <c r="M35" s="1464">
        <f ca="1">-M37+M38</f>
        <v>3979.9401746722651</v>
      </c>
      <c r="N35" s="1229"/>
      <c r="O35" s="1098"/>
      <c r="P35" s="1098"/>
      <c r="Q35" s="1163"/>
      <c r="AJ35" s="934">
        <f t="shared" si="1"/>
        <v>275000</v>
      </c>
      <c r="AM35" s="1107"/>
      <c r="AU35" s="1272">
        <f t="shared" si="0"/>
        <v>1997</v>
      </c>
    </row>
    <row r="36" spans="2:50" s="934" customFormat="1" ht="16" customHeight="1" thickBot="1" x14ac:dyDescent="0.4">
      <c r="B36" s="1205"/>
      <c r="C36" s="1102" t="str">
        <f>IF(H38="Upfront NCB","NCB (No Claim Bonus)","No Claim Bonus (NCB)")</f>
        <v>No Claim Bonus (NCB)</v>
      </c>
      <c r="D36" s="1194" t="s">
        <v>280</v>
      </c>
      <c r="E36" s="1195" t="s">
        <v>10</v>
      </c>
      <c r="F36" s="1064" t="s">
        <v>316</v>
      </c>
      <c r="G36" s="1281">
        <f>H36+H37</f>
        <v>25</v>
      </c>
      <c r="H36" s="1282"/>
      <c r="I36" s="1664" t="str">
        <f>IF(H36&gt;R36,CONCATENATE("NCB ALLOWED - ",R36),IF(H36&gt;0,"Earned NCB - NOT Upfront NCB",IF(AND(M8='Administration (2)'!C19,H9='Administration (2)'!C20),"NCB Not Allowed","")))</f>
        <v/>
      </c>
      <c r="J36" s="1648"/>
      <c r="K36" s="1648"/>
      <c r="L36" s="1187">
        <v>0</v>
      </c>
      <c r="M36" s="1215">
        <f ca="1">IF(AND($C$2="Yes",L36=1),N36,(-M35/1*MIN(H36%,R36%)*Y2))</f>
        <v>0</v>
      </c>
      <c r="N36" s="1283">
        <v>0</v>
      </c>
      <c r="O36" s="1098">
        <f ca="1">IF(OR(AND(H36&gt;0%,M36&lt;0),M37&lt;0),1,0)</f>
        <v>1</v>
      </c>
      <c r="P36" s="1098"/>
      <c r="Q36" s="1284"/>
      <c r="R36" s="1285">
        <f>IF(T47=0,35,IF(U57=1,75,65))</f>
        <v>65</v>
      </c>
      <c r="S36" s="1285"/>
      <c r="T36" s="1163"/>
      <c r="U36" s="1163"/>
      <c r="V36" s="1163"/>
      <c r="AJ36" s="934">
        <f t="shared" si="1"/>
        <v>300000</v>
      </c>
      <c r="AU36" s="1272">
        <f t="shared" si="0"/>
        <v>1998</v>
      </c>
      <c r="AX36" s="1286"/>
    </row>
    <row r="37" spans="2:50" s="934" customFormat="1" ht="16" customHeight="1" thickBot="1" x14ac:dyDescent="0.4">
      <c r="B37" s="1205"/>
      <c r="C37" s="1102"/>
      <c r="D37" s="1426">
        <v>750</v>
      </c>
      <c r="E37" s="1287" t="s">
        <v>10</v>
      </c>
      <c r="F37" s="1064" t="s">
        <v>317</v>
      </c>
      <c r="G37" s="1288">
        <f>IF(H36+H37&gt;35,35-H36,H37)</f>
        <v>25</v>
      </c>
      <c r="H37" s="1427">
        <v>25</v>
      </c>
      <c r="I37" s="1645">
        <f ca="1">-M37/M35</f>
        <v>0.65</v>
      </c>
      <c r="J37" s="1646"/>
      <c r="K37" s="1646"/>
      <c r="L37" s="1187">
        <v>0</v>
      </c>
      <c r="M37" s="458">
        <f ca="1">-M38/35*65</f>
        <v>-2586.9611135369723</v>
      </c>
      <c r="N37" s="1283">
        <v>-121</v>
      </c>
      <c r="O37" s="1098"/>
      <c r="P37" s="1098"/>
      <c r="Q37" s="1284"/>
      <c r="R37" s="1285">
        <f>IF(H36+H37&gt;R36,0,1)</f>
        <v>1</v>
      </c>
      <c r="S37" s="1285"/>
      <c r="T37" s="1163"/>
      <c r="U37" s="1163"/>
      <c r="V37" s="1163"/>
      <c r="AU37" s="1272">
        <f t="shared" si="0"/>
        <v>1999</v>
      </c>
      <c r="AX37" s="1286"/>
    </row>
    <row r="38" spans="2:50" s="934" customFormat="1" ht="15" customHeight="1" thickBot="1" x14ac:dyDescent="0.35">
      <c r="B38" s="1205"/>
      <c r="C38" s="1147"/>
      <c r="D38" s="1289"/>
      <c r="E38" s="1290"/>
      <c r="F38" s="1275"/>
      <c r="G38" s="1291"/>
      <c r="H38" s="1292" t="s">
        <v>316</v>
      </c>
      <c r="I38" s="1293" t="s">
        <v>394</v>
      </c>
      <c r="J38" s="1294"/>
      <c r="K38" s="1295"/>
      <c r="L38" s="1279" t="s">
        <v>283</v>
      </c>
      <c r="M38" s="1280">
        <f ca="1">M61-M54-M52-M51-M50-M44-M43-M42-M41-M40-M39-M55</f>
        <v>1392.9790611352928</v>
      </c>
      <c r="N38" s="1229"/>
      <c r="O38" s="1296">
        <f ca="1">M35+M36</f>
        <v>3979.9401746722651</v>
      </c>
      <c r="P38" s="934">
        <f>IF(O44=1,'Rates (2)'!K4,'Rates (2)'!K3)</f>
        <v>0.25</v>
      </c>
      <c r="Q38" s="934">
        <f>IF(B40="Yes",1,0)</f>
        <v>1</v>
      </c>
      <c r="R38" s="1297"/>
      <c r="S38" s="1297"/>
      <c r="T38" s="1297"/>
      <c r="U38" s="1297"/>
      <c r="V38" s="1297"/>
      <c r="AA38" s="937"/>
      <c r="AB38" s="937"/>
      <c r="AC38" s="937"/>
      <c r="AD38" s="937"/>
      <c r="AE38" s="937"/>
      <c r="AF38" s="937"/>
      <c r="AG38" s="937"/>
      <c r="AH38" s="937"/>
      <c r="AJ38" s="934">
        <f>AJ36+25000</f>
        <v>325000</v>
      </c>
      <c r="AU38" s="1272">
        <f t="shared" si="0"/>
        <v>2000</v>
      </c>
      <c r="AX38" s="1286"/>
    </row>
    <row r="39" spans="2:50" s="934" customFormat="1" ht="15" customHeight="1" thickBot="1" x14ac:dyDescent="0.45">
      <c r="B39" s="1198" t="str">
        <f>IF(C39=1,"Yes","No")</f>
        <v>Yes</v>
      </c>
      <c r="C39" s="1298">
        <v>1</v>
      </c>
      <c r="D39" s="1194" t="s">
        <v>280</v>
      </c>
      <c r="E39" s="1195" t="s">
        <v>10</v>
      </c>
      <c r="F39" s="1064" t="s">
        <v>284</v>
      </c>
      <c r="G39" s="1064"/>
      <c r="H39" s="1299"/>
      <c r="I39" s="1186"/>
      <c r="J39" s="1186"/>
      <c r="K39" s="945"/>
      <c r="L39" s="1187">
        <v>0</v>
      </c>
      <c r="M39" s="1202">
        <f ca="1">IF(AND($C$2="Yes",L39=1),N39,IF(B39="Yes",M19*'Rates (2)'!K11%,0))</f>
        <v>875</v>
      </c>
      <c r="N39" s="1189">
        <v>0</v>
      </c>
      <c r="O39" s="934">
        <f>IF(B40="Yes",1,0)</f>
        <v>1</v>
      </c>
      <c r="P39" s="934">
        <f>IF(O44=1,'Rates (2)'!K6,'Rates (2)'!K5)</f>
        <v>6.25E-2</v>
      </c>
      <c r="Q39" s="934">
        <f>IF(B41="Yes",1,0)</f>
        <v>1</v>
      </c>
      <c r="R39" s="1297"/>
      <c r="S39" s="1297"/>
      <c r="T39" s="1297"/>
      <c r="U39" s="1297"/>
      <c r="V39" s="1297"/>
      <c r="AA39" s="937"/>
      <c r="AB39" s="937"/>
      <c r="AC39" s="937"/>
      <c r="AD39" s="937"/>
      <c r="AE39" s="937"/>
      <c r="AF39" s="937"/>
      <c r="AG39" s="937"/>
      <c r="AH39" s="937"/>
      <c r="AJ39" s="934">
        <f t="shared" si="1"/>
        <v>350000</v>
      </c>
      <c r="AU39" s="1272">
        <f t="shared" si="0"/>
        <v>2001</v>
      </c>
      <c r="AX39" s="1286"/>
    </row>
    <row r="40" spans="2:50" s="934" customFormat="1" ht="16" customHeight="1" thickBot="1" x14ac:dyDescent="0.35">
      <c r="B40" s="1198" t="str">
        <f>IF(C40=1,"Yes","No")</f>
        <v>Yes</v>
      </c>
      <c r="C40" s="1298">
        <v>1</v>
      </c>
      <c r="D40" s="1194" t="s">
        <v>280</v>
      </c>
      <c r="E40" s="1195" t="s">
        <v>10</v>
      </c>
      <c r="F40" s="1064" t="s">
        <v>14</v>
      </c>
      <c r="G40" s="1064"/>
      <c r="H40" s="1186"/>
      <c r="I40" s="1186"/>
      <c r="J40" s="1186"/>
      <c r="K40" s="945"/>
      <c r="L40" s="1187">
        <v>0</v>
      </c>
      <c r="M40" s="1202">
        <f>IF(AND($C$2="Yes",L40=1),N40,(Q38*P38%*H15*U2*Z2*N4))</f>
        <v>1250</v>
      </c>
      <c r="N40" s="1189">
        <v>0</v>
      </c>
      <c r="O40" s="1647"/>
      <c r="P40" s="1647"/>
      <c r="Q40" s="1647"/>
      <c r="R40" s="1647"/>
      <c r="S40" s="1647"/>
      <c r="T40" s="1647"/>
      <c r="U40" s="1647"/>
      <c r="V40" s="1647"/>
      <c r="AA40" s="937"/>
      <c r="AB40" s="937"/>
      <c r="AC40" s="937"/>
      <c r="AD40" s="937"/>
      <c r="AE40" s="937"/>
      <c r="AF40" s="937"/>
      <c r="AG40" s="937"/>
      <c r="AH40" s="937"/>
      <c r="AJ40" s="934">
        <f t="shared" si="1"/>
        <v>375000</v>
      </c>
      <c r="AU40" s="1272">
        <f t="shared" si="0"/>
        <v>2002</v>
      </c>
      <c r="AX40" s="1286"/>
    </row>
    <row r="41" spans="2:50" s="934" customFormat="1" ht="16" customHeight="1" thickBot="1" x14ac:dyDescent="0.35">
      <c r="B41" s="1198" t="str">
        <f>IF(C42=1,"Yes","No")</f>
        <v>Yes</v>
      </c>
      <c r="C41" s="1147"/>
      <c r="D41" s="1300">
        <f>IF(OR($R$25&gt;1,AA25=1),1,0)</f>
        <v>1</v>
      </c>
      <c r="E41" s="1187">
        <v>0</v>
      </c>
      <c r="F41" s="1064" t="str">
        <f>IF(AND($C$40=1,D41=1),CONCATENATE("     PAB by SRCC (Rs.",Y42,")"),"")</f>
        <v xml:space="preserve">     PAB by SRCC (Rs.0)</v>
      </c>
      <c r="G41" s="1187">
        <v>1</v>
      </c>
      <c r="H41" s="1301" t="str">
        <f>IF(AND($C$40=1,M30&gt;0),"   Goods Cover by SRCC","")</f>
        <v/>
      </c>
      <c r="I41" s="1302"/>
      <c r="J41" s="1187">
        <v>0</v>
      </c>
      <c r="K41" s="1303" t="str">
        <f>IF(AND($C$40=1,OR(H50&gt;0,H51&gt;0)),"WCT by SRCC","")</f>
        <v>WCT by SRCC</v>
      </c>
      <c r="L41" s="1187">
        <v>1</v>
      </c>
      <c r="M41" s="1202"/>
      <c r="N41" s="1189">
        <v>0</v>
      </c>
      <c r="O41" s="1647"/>
      <c r="P41" s="1647"/>
      <c r="Q41" s="1647"/>
      <c r="R41" s="1647"/>
      <c r="S41" s="1647"/>
      <c r="T41" s="1647"/>
      <c r="U41" s="1647"/>
      <c r="V41" s="1647"/>
      <c r="X41" s="1297" t="s">
        <v>19</v>
      </c>
      <c r="Y41" s="1297" t="s">
        <v>17</v>
      </c>
      <c r="Z41" s="1297" t="s">
        <v>18</v>
      </c>
      <c r="AA41" s="1304"/>
      <c r="AB41" s="1305" t="s">
        <v>144</v>
      </c>
      <c r="AC41" s="1306" t="s">
        <v>147</v>
      </c>
      <c r="AD41" s="1307" t="s">
        <v>148</v>
      </c>
      <c r="AE41" s="1306" t="s">
        <v>147</v>
      </c>
      <c r="AF41" s="937"/>
      <c r="AG41" s="937" t="s">
        <v>150</v>
      </c>
      <c r="AH41" s="937" t="s">
        <v>149</v>
      </c>
      <c r="AJ41" s="934">
        <f t="shared" si="1"/>
        <v>400000</v>
      </c>
      <c r="AU41" s="1272">
        <f t="shared" si="0"/>
        <v>2003</v>
      </c>
    </row>
    <row r="42" spans="2:50" s="934" customFormat="1" ht="18.75" customHeight="1" thickBot="1" x14ac:dyDescent="0.35">
      <c r="B42" s="1308"/>
      <c r="C42" s="1309">
        <f>IF(TW!T20="No",0,1)</f>
        <v>1</v>
      </c>
      <c r="D42" s="1194" t="s">
        <v>280</v>
      </c>
      <c r="E42" s="1195" t="s">
        <v>10</v>
      </c>
      <c r="F42" s="1064" t="s">
        <v>375</v>
      </c>
      <c r="G42" s="1064"/>
      <c r="H42" s="1310" t="str">
        <f>IF(X42&gt;0,CONCATENATE("    (Rs.",X42,")"),"")</f>
        <v/>
      </c>
      <c r="I42" s="1186"/>
      <c r="J42" s="1186"/>
      <c r="K42" s="1310" t="str">
        <f>IF(Z42&gt;0,CONCATENATE("  (Rs.",FIXED(Z42),")"),"")</f>
        <v/>
      </c>
      <c r="L42" s="1187">
        <v>0</v>
      </c>
      <c r="M42" s="1202">
        <f>IF(AND($C$2="Yes",L42=1),N41,(H15*P39%*Q39*U2*Q38*Z2*N4))</f>
        <v>312.5</v>
      </c>
      <c r="N42" s="1311">
        <v>0</v>
      </c>
      <c r="O42" s="1119"/>
      <c r="Q42" s="1312" t="str">
        <f>IF(G41=1,"Yes","No")</f>
        <v>Yes</v>
      </c>
      <c r="R42" s="1142"/>
      <c r="T42" s="1119" t="str">
        <f>IF(E41=1,"Yes","No")</f>
        <v>No</v>
      </c>
      <c r="U42" s="1142"/>
      <c r="W42" s="1119" t="str">
        <f>IF(J41=1,"Yes","No")</f>
        <v>No</v>
      </c>
      <c r="X42" s="1313">
        <f>IF(AND(B40="Yes",Q42="Yes",C30="Yes"),H30*'Rates (2)'!Q8%,0)*Z49*O31</f>
        <v>0</v>
      </c>
      <c r="Y42" s="1313">
        <f>IF(AND(B40="Yes",T42="Yes"),AE42,0)</f>
        <v>0</v>
      </c>
      <c r="Z42" s="1313">
        <f>IF(AND(B40="Yes",W42="Yes"),(M50+M51)*'Rates (2)'!Q9%,0)</f>
        <v>0</v>
      </c>
      <c r="AA42" s="1314"/>
      <c r="AB42" s="1315">
        <f>IF(Y48="Commercial Vehicle Policy",1,0)</f>
        <v>1</v>
      </c>
      <c r="AC42" s="1315">
        <f>IF(OR(Y48="Private car policy",Y48="Motor Cycle Policy"),1,0)</f>
        <v>0</v>
      </c>
      <c r="AD42" s="937">
        <f>IF(AND(M8='Administration (2)'!C10,H9='Administration (2)'!C23),1,0)</f>
        <v>0</v>
      </c>
      <c r="AE42" s="937">
        <f>IF(AC42=1,I26*L25*'Rates (2)'!Q6%,AF42)</f>
        <v>375</v>
      </c>
      <c r="AF42" s="937">
        <f>AG42+AH42</f>
        <v>375</v>
      </c>
      <c r="AG42" s="937">
        <f>Z28*I26*'Rates (2)'!Q6%</f>
        <v>0</v>
      </c>
      <c r="AH42" s="937">
        <f>IF(AD42=1,(L25-Z28)*Z25*'Rates (2)'!Q7%,(L25-Z28)*Z25*'Rates (2)'!Q6%)</f>
        <v>375</v>
      </c>
      <c r="AJ42" s="934">
        <f>AJ41+25000</f>
        <v>425000</v>
      </c>
      <c r="AU42" s="1272">
        <f t="shared" si="0"/>
        <v>2004</v>
      </c>
      <c r="AX42" s="1286"/>
    </row>
    <row r="43" spans="2:50" s="934" customFormat="1" ht="16" customHeight="1" x14ac:dyDescent="0.3">
      <c r="B43" s="1308"/>
      <c r="C43" s="1147"/>
      <c r="D43" s="1316"/>
      <c r="E43" s="1187">
        <v>0</v>
      </c>
      <c r="F43" s="1064" t="str">
        <f>IF(AND($C$40=1,C42=1,D41=1),CONCATENATE("     PAB by TC (Rs.",Y43,")"),"")</f>
        <v xml:space="preserve">     PAB by TC (Rs.0)</v>
      </c>
      <c r="G43" s="1187">
        <v>1</v>
      </c>
      <c r="H43" s="1301" t="str">
        <f>IF(AND($C$40=1,C42=1,M30&gt;0),"   Goods Cover by TC","")</f>
        <v/>
      </c>
      <c r="I43" s="1302"/>
      <c r="J43" s="1187">
        <v>0</v>
      </c>
      <c r="K43" s="1303" t="str">
        <f>IF(AND($C$40=1,C42=1,OR(H50&gt;0,H51&gt;0)),"WCT by TC","")</f>
        <v>WCT by TC</v>
      </c>
      <c r="L43" s="1187">
        <v>0</v>
      </c>
      <c r="M43" s="1202"/>
      <c r="N43" s="1189">
        <v>0</v>
      </c>
      <c r="O43" s="1119"/>
      <c r="Q43" s="1312" t="str">
        <f>IF(G43=1,"Yes","No")</f>
        <v>Yes</v>
      </c>
      <c r="R43" s="1317"/>
      <c r="T43" s="1119" t="str">
        <f>IF(E43=1,"Yes","No")</f>
        <v>No</v>
      </c>
      <c r="U43" s="1317"/>
      <c r="W43" s="1119" t="str">
        <f>IF(J43=1,"Yes","No")</f>
        <v>No</v>
      </c>
      <c r="X43" s="1313">
        <f>IF(AND(B40="Yes",B41="Yes",Q42="Yes",Q43="Yes",C30="Yes"),H30*'Rates (2)'!R8%,0)*Z49*O31</f>
        <v>0</v>
      </c>
      <c r="Y43" s="1313">
        <f>IF(AND(B40="Yes",B41="Yes",T42="Yes",T43="Yes"),AE43,0)</f>
        <v>0</v>
      </c>
      <c r="Z43" s="1313">
        <f>IF(AND(B40="Yes",B41="Yes",W42="Yes",W43="Yes"),(M50+M51)*'Rates (2)'!R9%,0)</f>
        <v>0</v>
      </c>
      <c r="AA43" s="1314"/>
      <c r="AB43" s="1315"/>
      <c r="AC43" s="1315"/>
      <c r="AD43" s="937"/>
      <c r="AE43" s="937">
        <f>IF(AC42=1,I26*L25*'Rates (2)'!R6%,AF43)</f>
        <v>125</v>
      </c>
      <c r="AF43" s="937">
        <f>AG43+AH43</f>
        <v>125</v>
      </c>
      <c r="AG43" s="937">
        <f>Z28*I26*'Rates (2)'!R4%</f>
        <v>0</v>
      </c>
      <c r="AH43" s="937">
        <f>IF(AD42=1,'Rates (2)'!R7,(L25-Z28)*Z25*'Rates (2)'!R5%)</f>
        <v>125</v>
      </c>
      <c r="AJ43" s="934">
        <f t="shared" si="1"/>
        <v>450000</v>
      </c>
      <c r="AU43" s="1272">
        <f t="shared" ref="AU43:AU86" ca="1" si="2">IF(AU42&gt;=$AW$46,"",AU42+1)</f>
        <v>2005</v>
      </c>
      <c r="AX43" s="1286"/>
    </row>
    <row r="44" spans="2:50" s="934" customFormat="1" ht="16" customHeight="1" x14ac:dyDescent="0.3">
      <c r="B44" s="1308"/>
      <c r="C44" s="1147"/>
      <c r="D44" s="1194" t="s">
        <v>280</v>
      </c>
      <c r="E44" s="1195" t="s">
        <v>10</v>
      </c>
      <c r="F44" s="1064" t="s">
        <v>122</v>
      </c>
      <c r="G44" s="1064"/>
      <c r="H44" s="1310" t="str">
        <f>IF(X43&gt;0,CONCATENATE("    (Rs.",X43,")"),"")</f>
        <v/>
      </c>
      <c r="I44" s="1186"/>
      <c r="J44" s="1186"/>
      <c r="K44" s="1310" t="str">
        <f>IF(Z43&gt;0,CONCATENATE("  (Rs.",FIXED(Z43),")"),"")</f>
        <v/>
      </c>
      <c r="L44" s="1187">
        <v>0</v>
      </c>
      <c r="M44" s="1202">
        <f ca="1">IF(AND($C$2="Yes",L44=1),M19*N44%,(M19*'Rates (2)'!K14%*O44*R44))</f>
        <v>2625</v>
      </c>
      <c r="N44" s="1318">
        <v>0</v>
      </c>
      <c r="O44" s="1119">
        <f>IF(OR(H9='Administration (2)'!C21,H9='Administration (2)'!C22),1,Q44)</f>
        <v>1</v>
      </c>
      <c r="P44" s="1119"/>
      <c r="Q44" s="1119">
        <f>IF(AND(M8='Administration (2)'!C10,H9='Administration (2)'!C23),1,0)</f>
        <v>0</v>
      </c>
      <c r="R44" s="1163">
        <f>IF('Rates (2)'!M14="Free",0,1)</f>
        <v>1</v>
      </c>
      <c r="S44" s="1163"/>
      <c r="T44" s="1163"/>
      <c r="U44" s="1163"/>
      <c r="V44" s="1163"/>
      <c r="X44" s="1169"/>
      <c r="Y44" s="1169"/>
      <c r="Z44" s="1169"/>
      <c r="AA44" s="937"/>
      <c r="AB44" s="937"/>
      <c r="AC44" s="937"/>
      <c r="AD44" s="937"/>
      <c r="AE44" s="937"/>
      <c r="AF44" s="937"/>
      <c r="AG44" s="937"/>
      <c r="AH44" s="937"/>
      <c r="AJ44" s="934">
        <f>AJ43+25000</f>
        <v>475000</v>
      </c>
      <c r="AU44" s="1272">
        <f t="shared" ca="1" si="2"/>
        <v>2006</v>
      </c>
      <c r="AX44" s="1286"/>
    </row>
    <row r="45" spans="2:50" s="934" customFormat="1" ht="15" customHeight="1" thickBot="1" x14ac:dyDescent="0.35">
      <c r="B45" s="1308" t="str">
        <f>IF(C47=1,"Yes","No")</f>
        <v>No</v>
      </c>
      <c r="C45" s="1319">
        <v>0</v>
      </c>
      <c r="D45" s="1194" t="s">
        <v>280</v>
      </c>
      <c r="E45" s="1195" t="s">
        <v>10</v>
      </c>
      <c r="F45" s="1064" t="s">
        <v>446</v>
      </c>
      <c r="G45" s="1064"/>
      <c r="H45" s="1186"/>
      <c r="I45" s="1186"/>
      <c r="J45" s="1186"/>
      <c r="K45" s="945"/>
      <c r="L45" s="1187">
        <v>0</v>
      </c>
      <c r="M45" s="1202"/>
      <c r="N45" s="1320">
        <v>0</v>
      </c>
      <c r="O45" s="1237">
        <f>C45</f>
        <v>0</v>
      </c>
      <c r="P45" s="1237"/>
      <c r="Q45" s="1237"/>
      <c r="R45" s="1191">
        <f>IF('Rates (2)'!M15="Free",0,1)</f>
        <v>1</v>
      </c>
      <c r="S45" s="1191"/>
      <c r="T45" s="1191"/>
      <c r="U45" s="1191"/>
      <c r="V45" s="1163"/>
      <c r="AA45" s="937"/>
      <c r="AB45" s="937"/>
      <c r="AC45" s="937"/>
      <c r="AD45" s="937"/>
      <c r="AE45" s="937"/>
      <c r="AF45" s="937"/>
      <c r="AG45" s="937"/>
      <c r="AH45" s="937"/>
      <c r="AJ45" s="934">
        <f>IF(AJ44=500000,"",AJ44+25000)</f>
        <v>500000</v>
      </c>
      <c r="AU45" s="1272">
        <f t="shared" ca="1" si="2"/>
        <v>2007</v>
      </c>
      <c r="AX45" s="1286"/>
    </row>
    <row r="46" spans="2:50" s="934" customFormat="1" ht="15.75" customHeight="1" thickBot="1" x14ac:dyDescent="0.35">
      <c r="B46" s="1198" t="str">
        <f>IF(C46=1,"Yes","No")</f>
        <v>No</v>
      </c>
      <c r="C46" s="1321">
        <v>0</v>
      </c>
      <c r="D46" s="1194" t="s">
        <v>280</v>
      </c>
      <c r="E46" s="1195" t="s">
        <v>10</v>
      </c>
      <c r="F46" s="1064" t="s">
        <v>275</v>
      </c>
      <c r="G46" s="1064"/>
      <c r="H46" s="1648" t="str">
        <f>IF(U57=1,"Free Cover",IF(AND(B46="Yes",Q48=1,Q46=0,U46=0),"Only for Private Dual Purpose Vehicles",""))</f>
        <v/>
      </c>
      <c r="I46" s="1648"/>
      <c r="J46" s="1648"/>
      <c r="K46" s="1648"/>
      <c r="L46" s="1187">
        <v>0</v>
      </c>
      <c r="M46" s="1202">
        <f ca="1">IF(AND($C$2="Yes",L46=1),N46,(M19*'Rates (2)'!K19%*T46))</f>
        <v>0</v>
      </c>
      <c r="N46" s="1322">
        <v>0</v>
      </c>
      <c r="O46" s="937">
        <f>IF(B46="Yes",1,0)</f>
        <v>0</v>
      </c>
      <c r="P46" s="937"/>
      <c r="Q46" s="937">
        <f>IF(AND(M8='Administration (2)'!C9,H9='Administration (2)'!C20),1,U46)</f>
        <v>0</v>
      </c>
      <c r="R46" s="1191">
        <f>O46+Q46</f>
        <v>0</v>
      </c>
      <c r="S46" s="1191"/>
      <c r="T46" s="1191">
        <f>IF(R46=2,1,0)</f>
        <v>0</v>
      </c>
      <c r="U46" s="1191">
        <f>IF(AND('Rates (2)'!O19="Yes",Q48=1),1,0)</f>
        <v>0</v>
      </c>
      <c r="V46" s="1163"/>
      <c r="AA46" s="937"/>
      <c r="AB46" s="937"/>
      <c r="AC46" s="937"/>
      <c r="AD46" s="937"/>
      <c r="AE46" s="937"/>
      <c r="AF46" s="937"/>
      <c r="AG46" s="937"/>
      <c r="AH46" s="937"/>
      <c r="AU46" s="1272">
        <f t="shared" ca="1" si="2"/>
        <v>2008</v>
      </c>
      <c r="AW46" s="934">
        <f ca="1">YEAR(F71)</f>
        <v>2024</v>
      </c>
      <c r="AX46" s="1286"/>
    </row>
    <row r="47" spans="2:50" s="934" customFormat="1" ht="15.75" customHeight="1" thickBot="1" x14ac:dyDescent="0.35">
      <c r="B47" s="1308"/>
      <c r="C47" s="1147"/>
      <c r="D47" s="1194" t="s">
        <v>280</v>
      </c>
      <c r="E47" s="1195" t="s">
        <v>10</v>
      </c>
      <c r="F47" s="1064" t="s">
        <v>445</v>
      </c>
      <c r="G47" s="1064"/>
      <c r="H47" s="1323">
        <v>300000</v>
      </c>
      <c r="I47" s="1186" t="s">
        <v>108</v>
      </c>
      <c r="J47" s="1186"/>
      <c r="K47" s="1324">
        <f>IF(AND(H47&gt;0,T47=0),"Not Applicable",0)</f>
        <v>0</v>
      </c>
      <c r="L47" s="1187">
        <v>1</v>
      </c>
      <c r="M47" s="1258">
        <v>0</v>
      </c>
      <c r="N47" s="1322">
        <v>0</v>
      </c>
      <c r="O47" s="1325">
        <f>IF(H47&gt;0,1,0)</f>
        <v>1</v>
      </c>
      <c r="P47" s="1325"/>
      <c r="Q47" s="1237"/>
      <c r="R47" s="1191"/>
      <c r="S47" s="1191"/>
      <c r="T47" s="937">
        <f>IF(OR(M8='Administration (2)'!C13,M8='Administration (2)'!C14,),0,1)</f>
        <v>1</v>
      </c>
      <c r="U47" s="1191"/>
      <c r="V47" s="1163"/>
      <c r="AA47" s="937"/>
      <c r="AB47" s="937"/>
      <c r="AC47" s="937"/>
      <c r="AD47" s="937"/>
      <c r="AE47" s="937"/>
      <c r="AF47" s="937"/>
      <c r="AG47" s="937"/>
      <c r="AH47" s="937"/>
      <c r="AU47" s="1272">
        <f t="shared" ca="1" si="2"/>
        <v>2009</v>
      </c>
      <c r="AX47" s="1286"/>
    </row>
    <row r="48" spans="2:50" s="934" customFormat="1" ht="16" customHeight="1" thickBot="1" x14ac:dyDescent="0.35">
      <c r="B48" s="1308"/>
      <c r="C48" s="1147"/>
      <c r="D48" s="1194" t="s">
        <v>280</v>
      </c>
      <c r="E48" s="1195" t="s">
        <v>10</v>
      </c>
      <c r="F48" s="1064" t="s">
        <v>6</v>
      </c>
      <c r="G48" s="1064"/>
      <c r="H48" s="1326">
        <v>1000000</v>
      </c>
      <c r="I48" s="1434" t="s">
        <v>556</v>
      </c>
      <c r="J48" s="1432"/>
      <c r="K48" s="1433"/>
      <c r="L48" s="1431"/>
      <c r="M48" s="1437"/>
      <c r="N48" s="1322">
        <v>0</v>
      </c>
      <c r="O48" s="1325">
        <f>IF(H48&gt;1,1,0)</f>
        <v>1</v>
      </c>
      <c r="P48" s="1325"/>
      <c r="Q48" s="1327">
        <f>IF(O57+Q57=1,0,1)</f>
        <v>1</v>
      </c>
      <c r="R48" s="1191">
        <f>IF(AND(H48&gt;=100000,Q48=1),1,0)</f>
        <v>1</v>
      </c>
      <c r="S48" s="1191"/>
      <c r="T48" s="937">
        <f>IF(OR(Q48=0,H48&gt;0),1,0)</f>
        <v>1</v>
      </c>
      <c r="U48" s="1191"/>
      <c r="V48" s="1163"/>
      <c r="X48" s="934">
        <f>IF(O57+Q57=1,0,1)</f>
        <v>1</v>
      </c>
      <c r="Y48" s="934" t="str">
        <f>IF(X48=0,"Private Car Policy",Z48)</f>
        <v>Commercial Vehicle Policy</v>
      </c>
      <c r="Z48" s="934" t="str">
        <f>IF(T47=0,"Motor Cycle Policy",AA48)</f>
        <v>Commercial Vehicle Policy</v>
      </c>
      <c r="AA48" s="937" t="str">
        <f>IF(M8='Administration (2)'!C19,"Trade Plate Policy","Commercial Vehicle Policy")</f>
        <v>Commercial Vehicle Policy</v>
      </c>
      <c r="AB48" s="937"/>
      <c r="AC48" s="937"/>
      <c r="AD48" s="937"/>
      <c r="AE48" s="937"/>
      <c r="AF48" s="937"/>
      <c r="AG48" s="937"/>
      <c r="AH48" s="937"/>
      <c r="AU48" s="1272">
        <f t="shared" ca="1" si="2"/>
        <v>2010</v>
      </c>
      <c r="AX48" s="1286"/>
    </row>
    <row r="49" spans="2:50" s="934" customFormat="1" ht="15" customHeight="1" thickBot="1" x14ac:dyDescent="0.35">
      <c r="B49" s="1308"/>
      <c r="C49" s="1147"/>
      <c r="D49" s="1194" t="s">
        <v>280</v>
      </c>
      <c r="E49" s="1195" t="s">
        <v>10</v>
      </c>
      <c r="F49" s="1064" t="s">
        <v>13</v>
      </c>
      <c r="G49" s="1064"/>
      <c r="H49" s="1323">
        <f>TW!R35-9000</f>
        <v>1000</v>
      </c>
      <c r="I49" s="1649" t="str">
        <f>IF(Q49&gt;0,CONCATENATE("Free Cover of Rs.",Q49,"/-"),"")</f>
        <v>Free Cover of Rs.1000/-</v>
      </c>
      <c r="J49" s="1650"/>
      <c r="K49" s="1650"/>
      <c r="L49" s="1187">
        <v>0</v>
      </c>
      <c r="M49" s="1258">
        <f>IF(AND($C$2="Yes",L49=1),N49,((H49*'Rates (2)'!K32%-R49)*U2*R15*Y2*Z2))*N3</f>
        <v>0</v>
      </c>
      <c r="N49" s="1322">
        <v>0</v>
      </c>
      <c r="O49" s="1328">
        <f>IF(H49&gt;='Rates (2)'!B36,1,0)</f>
        <v>1</v>
      </c>
      <c r="P49" s="1328"/>
      <c r="Q49" s="1191">
        <f>IF(T47=0,'Rates (2)'!C38,'Rates (2)'!B36)</f>
        <v>1000</v>
      </c>
      <c r="R49" s="1191">
        <f>IF(H49&lt;=Q49,H49*'Rates (2)'!K32%,Q49*'Rates (2)'!K32%)</f>
        <v>100</v>
      </c>
      <c r="S49" s="1191"/>
      <c r="T49" s="1191"/>
      <c r="U49" s="937"/>
      <c r="Y49" s="934">
        <f>IF(Y48="Private Car Policy",0,1)</f>
        <v>1</v>
      </c>
      <c r="Z49" s="934">
        <f>IF(Y48="Motor Cycle Policy",0,1)</f>
        <v>1</v>
      </c>
      <c r="AU49" s="1272">
        <f t="shared" ca="1" si="2"/>
        <v>2011</v>
      </c>
      <c r="AX49" s="1286"/>
    </row>
    <row r="50" spans="2:50" s="934" customFormat="1" ht="15.75" customHeight="1" thickBot="1" x14ac:dyDescent="0.35">
      <c r="B50" s="1308"/>
      <c r="C50" s="1147"/>
      <c r="D50" s="1194" t="s">
        <v>280</v>
      </c>
      <c r="E50" s="1195" t="s">
        <v>10</v>
      </c>
      <c r="F50" s="1329" t="s">
        <v>109</v>
      </c>
      <c r="G50" s="1329"/>
      <c r="H50" s="1330">
        <v>1</v>
      </c>
      <c r="I50" s="1186" t="s">
        <v>21</v>
      </c>
      <c r="J50" s="1186"/>
      <c r="K50" s="1331"/>
      <c r="L50" s="1187">
        <v>0</v>
      </c>
      <c r="M50" s="1258">
        <f>IF(AND($C$2="Yes",L50=1),N50,(H50*R50*U2*R15*Y2))*N3</f>
        <v>600</v>
      </c>
      <c r="N50" s="1189">
        <v>0</v>
      </c>
      <c r="O50" s="1098">
        <f>IF(H50&gt;0,1,0)</f>
        <v>1</v>
      </c>
      <c r="P50" s="1098"/>
      <c r="Q50" s="934">
        <f>IF((O50+O51)&gt;0,1,0)</f>
        <v>1</v>
      </c>
      <c r="R50" s="1163">
        <f>IF(O57+Q57=1,'Rates (2)'!K23,'Rates (2)'!K24)</f>
        <v>600</v>
      </c>
      <c r="S50" s="1163"/>
      <c r="T50" s="1163"/>
      <c r="AU50" s="1272">
        <f t="shared" ca="1" si="2"/>
        <v>2012</v>
      </c>
      <c r="AX50" s="1286"/>
    </row>
    <row r="51" spans="2:50" s="934" customFormat="1" ht="22.5" customHeight="1" thickBot="1" x14ac:dyDescent="0.35">
      <c r="B51" s="1308"/>
      <c r="C51" s="1147"/>
      <c r="D51" s="1194" t="s">
        <v>280</v>
      </c>
      <c r="E51" s="1195" t="s">
        <v>10</v>
      </c>
      <c r="F51" s="1064" t="s">
        <v>551</v>
      </c>
      <c r="G51" s="1064"/>
      <c r="H51" s="1509">
        <v>10000</v>
      </c>
      <c r="I51" s="1186"/>
      <c r="J51" s="1186"/>
      <c r="K51" s="1332"/>
      <c r="L51" s="1187">
        <v>0</v>
      </c>
      <c r="M51" s="1258">
        <f>H51*10%</f>
        <v>1000</v>
      </c>
      <c r="N51" s="1189">
        <v>0</v>
      </c>
      <c r="O51" s="1098">
        <f>IF(H51&gt;0,1,0)</f>
        <v>1</v>
      </c>
      <c r="P51" s="1098"/>
      <c r="Q51" s="1119">
        <f>IF(OR(H50&gt;0,H51&gt;0),1,0)</f>
        <v>1</v>
      </c>
      <c r="R51" s="1163"/>
      <c r="S51" s="1163"/>
      <c r="T51" s="1163"/>
      <c r="U51" s="1163"/>
      <c r="V51" s="1163"/>
      <c r="AU51" s="1272">
        <f t="shared" ca="1" si="2"/>
        <v>2013</v>
      </c>
      <c r="AX51" s="1286"/>
    </row>
    <row r="52" spans="2:50" s="934" customFormat="1" ht="20.25" customHeight="1" thickBot="1" x14ac:dyDescent="0.35">
      <c r="B52" s="1333" t="str">
        <f>'Rates (2)'!M21</f>
        <v>Charge</v>
      </c>
      <c r="C52" s="1147"/>
      <c r="D52" s="1194" t="s">
        <v>280</v>
      </c>
      <c r="E52" s="1195" t="s">
        <v>10</v>
      </c>
      <c r="F52" s="1416" t="s">
        <v>544</v>
      </c>
      <c r="G52" s="1334">
        <v>1</v>
      </c>
      <c r="H52" s="1335" t="s">
        <v>542</v>
      </c>
      <c r="I52" s="1651" t="str">
        <f>IF(AND(G52=0,K50&gt;0),"Enter Number of Air Bags",IF(AND(K50&gt;0,T47=0),"Not Applicable",IF(AND(Q52=0,T47=1,K50&gt;0),"Free Cover",IF(R52=0,"Free Cover - Front Seat Bags","Value of 2 Front Dashboard Airbgs"))))</f>
        <v>Value of 2 Front Dashboard Airbgs</v>
      </c>
      <c r="J52" s="1651"/>
      <c r="K52" s="1651"/>
      <c r="L52" s="1187">
        <v>1</v>
      </c>
      <c r="M52" s="1258">
        <v>1567.48366013072</v>
      </c>
      <c r="N52" s="1189">
        <v>0</v>
      </c>
      <c r="O52" s="1098">
        <f>IF(OR(O53=1,M53&gt;0),1,0)</f>
        <v>0</v>
      </c>
      <c r="P52" s="1098">
        <f>IF(G52&gt;0,1,0)</f>
        <v>1</v>
      </c>
      <c r="Q52" s="1119">
        <f>IF('Rates (2)'!M21="Free",0,1)</f>
        <v>1</v>
      </c>
      <c r="R52" s="1163">
        <f>IF(AND(H9='Administration (2)'!C20,S52=0),0,1)</f>
        <v>1</v>
      </c>
      <c r="S52" s="1163">
        <f>IF(OR(M8="Motor Car",M8="Jeep",M8="Dual Purpose"),0,1)</f>
        <v>1</v>
      </c>
      <c r="T52" s="1163"/>
      <c r="U52" s="1163"/>
      <c r="V52" s="1163"/>
      <c r="AU52" s="1272">
        <f t="shared" ca="1" si="2"/>
        <v>2014</v>
      </c>
      <c r="AW52" s="1107"/>
      <c r="AX52" s="1286"/>
    </row>
    <row r="53" spans="2:50" s="934" customFormat="1" ht="18" customHeight="1" thickBot="1" x14ac:dyDescent="0.35">
      <c r="B53" s="1336"/>
      <c r="C53" s="1147"/>
      <c r="D53" s="1194"/>
      <c r="E53" s="1337"/>
      <c r="F53" s="1064"/>
      <c r="G53" s="1338">
        <v>0</v>
      </c>
      <c r="H53" s="1339">
        <v>0</v>
      </c>
      <c r="I53" s="1340" t="str">
        <f>IF(AND(G53=0,H53&gt;0),"Enter Number of Air Bags",IF(AND(H53&gt;0,T47=0),"Not Applicable",IF(AND(Q52=0,T47=1,H53&gt;0),"Free Cover","Value of Rear Seat Airbags")))</f>
        <v>Value of Rear Seat Airbags</v>
      </c>
      <c r="J53" s="1341"/>
      <c r="K53" s="1341"/>
      <c r="L53" s="1187">
        <v>0</v>
      </c>
      <c r="M53" s="1258">
        <f>IF(AND($C$2="Yes",L53=1),N53*P53,(H53*'Rates (2)'!K21%*U2*T47/2*Q52*R15*Y2*P53))*N3</f>
        <v>0</v>
      </c>
      <c r="N53" s="1189">
        <v>0</v>
      </c>
      <c r="O53" s="1098">
        <f>IF(AND(G52&gt;0,K50&gt;1),1,0)</f>
        <v>0</v>
      </c>
      <c r="P53" s="1098">
        <f>IF(G53&gt;0,1,0)</f>
        <v>0</v>
      </c>
      <c r="Q53" s="1119">
        <f>IF(M53&gt;0,1,0)</f>
        <v>0</v>
      </c>
      <c r="R53" s="1163">
        <f>IF(AND(O53=1,Q53=1),G52+G53,IF(AND(O53=1,Q53=0),G52,IF(AND(O53=0,Q53=1),G53,0)))</f>
        <v>0</v>
      </c>
      <c r="S53" s="1163"/>
      <c r="T53" s="1163"/>
      <c r="U53" s="1163"/>
      <c r="V53" s="1163"/>
      <c r="AU53" s="1272">
        <f t="shared" ca="1" si="2"/>
        <v>2015</v>
      </c>
      <c r="AX53" s="937"/>
    </row>
    <row r="54" spans="2:50" s="934" customFormat="1" ht="16" customHeight="1" thickBot="1" x14ac:dyDescent="0.35">
      <c r="B54" s="1308"/>
      <c r="C54" s="1147"/>
      <c r="D54" s="1194" t="s">
        <v>280</v>
      </c>
      <c r="E54" s="1195" t="s">
        <v>10</v>
      </c>
      <c r="F54" s="1064" t="s">
        <v>8</v>
      </c>
      <c r="G54" s="1064"/>
      <c r="H54" s="1342">
        <v>2</v>
      </c>
      <c r="I54" s="1436" t="s">
        <v>560</v>
      </c>
      <c r="J54" s="1430"/>
      <c r="K54" s="1432"/>
      <c r="L54" s="1431"/>
      <c r="M54" s="1258">
        <f>IF(AND($C$2="Yes",L54=1),N54,(H54*Q54*U2*R15*Y2))*N3</f>
        <v>400</v>
      </c>
      <c r="N54" s="1189">
        <v>0</v>
      </c>
      <c r="O54" s="1098">
        <f>IF(H54&gt;0,1,0)</f>
        <v>1</v>
      </c>
      <c r="P54" s="1098"/>
      <c r="Q54" s="1119">
        <f>IF(O57+Q57=1,'Rates (2)'!K34,IF(T47=0,'Rates (2)'!K35,'Rates (2)'!K36))</f>
        <v>200</v>
      </c>
      <c r="R54" s="1163"/>
      <c r="S54" s="1163"/>
      <c r="T54" s="1163"/>
      <c r="U54" s="1163"/>
      <c r="V54" s="1163"/>
      <c r="AU54" s="1272">
        <f t="shared" ca="1" si="2"/>
        <v>2016</v>
      </c>
      <c r="AX54" s="1286"/>
    </row>
    <row r="55" spans="2:50" s="934" customFormat="1" ht="15" customHeight="1" thickBot="1" x14ac:dyDescent="0.35">
      <c r="B55" s="1198" t="str">
        <f>IF(C55=1,"Yes","No")</f>
        <v>Yes</v>
      </c>
      <c r="C55" s="601">
        <v>1</v>
      </c>
      <c r="D55" s="321" t="s">
        <v>280</v>
      </c>
      <c r="E55" s="342" t="s">
        <v>10</v>
      </c>
      <c r="F55" s="1497" t="s">
        <v>602</v>
      </c>
      <c r="G55" s="1498"/>
      <c r="H55" s="1499"/>
      <c r="I55" s="1499"/>
      <c r="J55" s="1652"/>
      <c r="K55" s="1652"/>
      <c r="L55" s="1500">
        <v>0</v>
      </c>
      <c r="M55" s="187"/>
      <c r="N55" s="1343">
        <v>0</v>
      </c>
      <c r="O55" s="1124"/>
      <c r="P55" s="1124"/>
      <c r="Q55" s="1124">
        <f>IF(B55="Yes",1,0)</f>
        <v>1</v>
      </c>
      <c r="R55" s="1219"/>
      <c r="S55" s="1219"/>
      <c r="T55" s="1219"/>
      <c r="U55" s="1219"/>
      <c r="V55" s="1219"/>
      <c r="W55" s="1124"/>
      <c r="X55" s="1124"/>
      <c r="Y55" s="1124"/>
      <c r="Z55" s="1124"/>
      <c r="AA55" s="1124"/>
      <c r="AB55" s="1124"/>
      <c r="AC55" s="1124"/>
      <c r="AD55" s="1124"/>
      <c r="AE55" s="1124"/>
      <c r="AF55" s="1124"/>
      <c r="AG55" s="1124"/>
      <c r="AH55" s="1124"/>
      <c r="AI55" s="1124"/>
      <c r="AU55" s="1272">
        <f t="shared" ca="1" si="2"/>
        <v>2017</v>
      </c>
      <c r="AX55" s="1286"/>
    </row>
    <row r="56" spans="2:50" s="934" customFormat="1" ht="21.75" customHeight="1" thickBot="1" x14ac:dyDescent="0.35">
      <c r="B56" s="1198" t="str">
        <f>IF(C56=1,"Yes","No")</f>
        <v>No</v>
      </c>
      <c r="C56" s="1321">
        <v>0</v>
      </c>
      <c r="D56" s="1194" t="s">
        <v>280</v>
      </c>
      <c r="E56" s="1195" t="s">
        <v>10</v>
      </c>
      <c r="F56" s="1064" t="s">
        <v>130</v>
      </c>
      <c r="G56" s="1064"/>
      <c r="H56" s="1186"/>
      <c r="I56" s="1156" t="str">
        <f>IF(AND('Rates (2)'!D43="No",B56="Yes"),"Provided only for Private Cars","")</f>
        <v/>
      </c>
      <c r="J56" s="1156"/>
      <c r="K56" s="945"/>
      <c r="L56" s="1187">
        <v>0</v>
      </c>
      <c r="M56" s="1202" t="s">
        <v>541</v>
      </c>
      <c r="N56" s="1343">
        <v>0</v>
      </c>
      <c r="O56" s="1124">
        <f>IF(OR(R57=2,R61=1),1,0)</f>
        <v>0</v>
      </c>
      <c r="P56" s="1124"/>
      <c r="Q56" s="1124">
        <f>IF(B56="Yes",1,0)</f>
        <v>0</v>
      </c>
      <c r="R56" s="1219">
        <f>IF(H35&lt;25,'Rates (2)'!K42,T56)</f>
        <v>5.25</v>
      </c>
      <c r="S56" s="1219"/>
      <c r="T56" s="1219">
        <f>IF(AND(H35&gt;=25,H35&lt;30),'Rates (2)'!K43,U56)</f>
        <v>5.25</v>
      </c>
      <c r="U56" s="1219">
        <f>IF(AND(H35&lt;38.33,H35&gt;=30),'Rates (2)'!K44,W56)</f>
        <v>4.5</v>
      </c>
      <c r="V56" s="1219"/>
      <c r="W56" s="1219">
        <f>IF(AND(H35&gt;=38.33,H35&lt;45),'Rates (2)'!K45,X56)</f>
        <v>4.5</v>
      </c>
      <c r="X56" s="1219">
        <f>IF(AND(H35&gt;=45,H35&lt;55),'Rates (2)'!K46,Y56)</f>
        <v>4.5</v>
      </c>
      <c r="Y56" s="1219">
        <f>IF(AND(H35&gt;=55,H35&lt;60),'Rates (2)'!K47,Z56)</f>
        <v>4.5</v>
      </c>
      <c r="Z56" s="1219">
        <f>IF(AND(H35&gt;=60,H35&lt;65),'Rates (2)'!K48,AA56)</f>
        <v>4.5</v>
      </c>
      <c r="AA56" s="1219">
        <f>IF(AND(H35&gt;=65,H35&lt;70),'Rates (2)'!K49,AB56)</f>
        <v>4.5</v>
      </c>
      <c r="AB56" s="1219">
        <f>IF(AND(H35&gt;=70,H35&lt;75),'Rates (2)'!K50,AC56)</f>
        <v>4.5</v>
      </c>
      <c r="AC56" s="1219">
        <f>IF(H35&gt;=75,'Rates (2)'!K51,AD56)</f>
        <v>4.5</v>
      </c>
      <c r="AD56" s="1124">
        <v>4.5</v>
      </c>
      <c r="AE56" s="1124"/>
      <c r="AF56" s="1124"/>
      <c r="AG56" s="1124"/>
      <c r="AH56" s="1124"/>
      <c r="AI56" s="1124"/>
      <c r="AU56" s="1272">
        <f t="shared" ca="1" si="2"/>
        <v>2018</v>
      </c>
      <c r="AX56" s="1286"/>
    </row>
    <row r="57" spans="2:50" s="934" customFormat="1" ht="18.75" hidden="1" customHeight="1" x14ac:dyDescent="0.3">
      <c r="B57" s="1308"/>
      <c r="C57" s="1147"/>
      <c r="D57" s="1110"/>
      <c r="E57" s="1344" t="s">
        <v>10</v>
      </c>
      <c r="F57" s="1014" t="str">
        <f>IF(AND(M8='Administration (2)'!C10,H9='Administration (2)'!C23,R15=1),"Unlimited Third Party Property Damage &amp; Passenger Liability Cover",".")</f>
        <v>.</v>
      </c>
      <c r="G57" s="1014"/>
      <c r="H57" s="1002"/>
      <c r="I57" s="1186"/>
      <c r="J57" s="1186"/>
      <c r="K57" s="945"/>
      <c r="L57" s="1187">
        <v>0</v>
      </c>
      <c r="M57" s="1258">
        <f>IF(AND($C$2="Yes",L57=1),N57,IF(AND(M8='Administration (2)'!C10,H9='Administration (2)'!C23),2000,0)*U2*R15)*N3</f>
        <v>0</v>
      </c>
      <c r="N57" s="1343">
        <v>0</v>
      </c>
      <c r="O57" s="1345">
        <f>IF(AND(M8='Administration (2)'!C7,H9='Administration (2)'!C20),1,0)</f>
        <v>0</v>
      </c>
      <c r="P57" s="1345"/>
      <c r="Q57" s="1345">
        <f>IF(AND(M8='Administration (2)'!C8,H9='Administration (2)'!C20),1,0)</f>
        <v>0</v>
      </c>
      <c r="R57" s="1346">
        <f>Q56+Q57+O57</f>
        <v>0</v>
      </c>
      <c r="S57" s="1346"/>
      <c r="T57" s="1345">
        <f>IF(AND(M8='Administration (2)'!C12,H9='Administration (2)'!C20),1,0)</f>
        <v>0</v>
      </c>
      <c r="U57" s="1219">
        <f>IF(O57+Q57=1,1,0)</f>
        <v>0</v>
      </c>
      <c r="V57" s="1219"/>
      <c r="W57" s="1124">
        <f>IF(AND(M8='Administration (2)'!C9,H9='Administration (2)'!C20),1,0)</f>
        <v>0</v>
      </c>
      <c r="X57" s="1025"/>
      <c r="Y57" s="1025"/>
      <c r="Z57" s="1025"/>
      <c r="AA57" s="1025"/>
      <c r="AB57" s="1124"/>
      <c r="AC57" s="1124"/>
      <c r="AD57" s="1124"/>
      <c r="AE57" s="1124"/>
      <c r="AF57" s="1124"/>
      <c r="AG57" s="1124"/>
      <c r="AH57" s="1124"/>
      <c r="AI57" s="1124"/>
      <c r="AU57" s="1272">
        <f t="shared" ca="1" si="2"/>
        <v>2019</v>
      </c>
      <c r="AX57" s="1286"/>
    </row>
    <row r="58" spans="2:50" s="934" customFormat="1" ht="20.25" hidden="1" customHeight="1" thickBot="1" x14ac:dyDescent="0.35">
      <c r="B58" s="1308"/>
      <c r="C58" s="1298">
        <v>0</v>
      </c>
      <c r="D58" s="1110"/>
      <c r="E58" s="1344" t="s">
        <v>10</v>
      </c>
      <c r="F58" s="1634"/>
      <c r="G58" s="1634"/>
      <c r="H58" s="1347" t="str">
        <f>IF(AND(C58=1,F58=""),"Enter Name of Cover","Additional Cover 1")</f>
        <v>Additional Cover 1</v>
      </c>
      <c r="I58" s="1186"/>
      <c r="J58" s="1186"/>
      <c r="K58" s="945"/>
      <c r="L58" s="1187">
        <v>0</v>
      </c>
      <c r="M58" s="1348">
        <f>IF(AND(C58=1,F58&lt;&gt;""),N58,0)</f>
        <v>0</v>
      </c>
      <c r="N58" s="1349">
        <v>0</v>
      </c>
      <c r="O58" s="1350">
        <f>IF(AND(C58=1,N58&lt;&gt;0,F58&lt;&gt;""),1,0)</f>
        <v>0</v>
      </c>
      <c r="P58" s="1350"/>
      <c r="Q58" s="1350"/>
      <c r="R58" s="1351"/>
      <c r="S58" s="1352"/>
      <c r="T58" s="1353"/>
      <c r="U58" s="1354"/>
      <c r="V58" s="1354"/>
      <c r="W58" s="935"/>
      <c r="X58" s="935"/>
      <c r="Y58" s="935"/>
      <c r="Z58" s="935"/>
      <c r="AA58" s="935"/>
      <c r="AB58" s="935"/>
      <c r="AC58" s="935"/>
      <c r="AD58" s="935"/>
      <c r="AE58" s="935"/>
      <c r="AF58" s="935"/>
      <c r="AG58" s="935"/>
      <c r="AH58" s="935"/>
      <c r="AI58" s="935"/>
      <c r="AJ58" s="935"/>
      <c r="AK58" s="935"/>
      <c r="AL58" s="935"/>
      <c r="AM58" s="935"/>
      <c r="AN58" s="935"/>
      <c r="AO58" s="935"/>
      <c r="AU58" s="1272">
        <f t="shared" ca="1" si="2"/>
        <v>2020</v>
      </c>
      <c r="AX58" s="1286"/>
    </row>
    <row r="59" spans="2:50" s="934" customFormat="1" ht="17.25" hidden="1" customHeight="1" thickBot="1" x14ac:dyDescent="0.35">
      <c r="B59" s="1308"/>
      <c r="C59" s="1298">
        <v>0</v>
      </c>
      <c r="D59" s="1110"/>
      <c r="E59" s="1344" t="s">
        <v>10</v>
      </c>
      <c r="F59" s="1634"/>
      <c r="G59" s="1634"/>
      <c r="H59" s="1347" t="str">
        <f>IF(AND(C59=1,F59=""),"Enter Name of Cover","Additional Cover 2")</f>
        <v>Additional Cover 2</v>
      </c>
      <c r="I59" s="1186"/>
      <c r="J59" s="1186"/>
      <c r="K59" s="945"/>
      <c r="L59" s="1187">
        <v>0</v>
      </c>
      <c r="M59" s="1348">
        <f>IF(AND(C59=1,F59&lt;&gt;""),N59,0)</f>
        <v>0</v>
      </c>
      <c r="N59" s="1349">
        <v>0</v>
      </c>
      <c r="O59" s="1350">
        <f>IF(AND(C59=1,N59&lt;&gt;0,F59&lt;&gt;""),1,0)</f>
        <v>0</v>
      </c>
      <c r="P59" s="1350"/>
      <c r="Q59" s="1350"/>
      <c r="R59" s="1351"/>
      <c r="S59" s="1352"/>
      <c r="T59" s="1353"/>
      <c r="U59" s="1354"/>
      <c r="V59" s="1354"/>
      <c r="W59" s="935"/>
      <c r="X59" s="935"/>
      <c r="Y59" s="935"/>
      <c r="Z59" s="935"/>
      <c r="AA59" s="935"/>
      <c r="AB59" s="935"/>
      <c r="AC59" s="935"/>
      <c r="AD59" s="935"/>
      <c r="AE59" s="935"/>
      <c r="AF59" s="935"/>
      <c r="AG59" s="935"/>
      <c r="AH59" s="935"/>
      <c r="AI59" s="935"/>
      <c r="AJ59" s="935"/>
      <c r="AK59" s="935"/>
      <c r="AL59" s="935"/>
      <c r="AM59" s="935"/>
      <c r="AN59" s="935"/>
      <c r="AO59" s="935"/>
      <c r="AU59" s="1272">
        <f t="shared" ca="1" si="2"/>
        <v>2021</v>
      </c>
      <c r="AX59" s="1286"/>
    </row>
    <row r="60" spans="2:50" s="934" customFormat="1" ht="18" hidden="1" customHeight="1" thickBot="1" x14ac:dyDescent="0.35">
      <c r="B60" s="1308"/>
      <c r="C60" s="1298">
        <v>0</v>
      </c>
      <c r="D60" s="1355"/>
      <c r="E60" s="1356" t="s">
        <v>10</v>
      </c>
      <c r="F60" s="1357" t="s">
        <v>165</v>
      </c>
      <c r="G60" s="1357"/>
      <c r="H60" s="1358"/>
      <c r="I60" s="1359"/>
      <c r="J60" s="1359"/>
      <c r="K60" s="1360"/>
      <c r="L60" s="1361"/>
      <c r="M60" s="1348">
        <f>IF(AND('TW-Working'!H8="Three Wheeler",'TW-Working'!B12="Above 5 yrs",'Rates (2)'!D81="Yes",C60=1,N60&gt;'Rates (2)'!F81,H13&lt;2009),N60,IF(AND('TW-Working'!H8="Three Wheeler",'TW-Working'!B12="Above 5 yrs",'Rates (2)'!D81="Yes",H13&lt;2009),'Rates (2)'!F81,IF(C60=1,N60,0)))</f>
        <v>0</v>
      </c>
      <c r="N60" s="1349">
        <v>0</v>
      </c>
      <c r="P60" s="1350"/>
      <c r="Q60" s="1350"/>
      <c r="R60" s="1351"/>
      <c r="S60" s="1352"/>
      <c r="T60" s="1353"/>
      <c r="U60" s="1354"/>
      <c r="V60" s="1354"/>
      <c r="W60" s="935"/>
      <c r="X60" s="935"/>
      <c r="Y60" s="935"/>
      <c r="Z60" s="935"/>
      <c r="AA60" s="935"/>
      <c r="AB60" s="935"/>
      <c r="AC60" s="935"/>
      <c r="AD60" s="935"/>
      <c r="AE60" s="935"/>
      <c r="AF60" s="935"/>
      <c r="AG60" s="935"/>
      <c r="AH60" s="935"/>
      <c r="AI60" s="935"/>
      <c r="AJ60" s="935"/>
      <c r="AK60" s="935"/>
      <c r="AL60" s="935"/>
      <c r="AM60" s="935"/>
      <c r="AN60" s="935"/>
      <c r="AO60" s="935"/>
      <c r="AU60" s="1272">
        <f t="shared" ca="1" si="2"/>
        <v>2022</v>
      </c>
      <c r="AX60" s="1286"/>
    </row>
    <row r="61" spans="2:50" s="934" customFormat="1" ht="19.5" customHeight="1" x14ac:dyDescent="0.3">
      <c r="B61" s="1308"/>
      <c r="C61" s="1147"/>
      <c r="D61" s="1110"/>
      <c r="E61" s="1635"/>
      <c r="F61" s="1636"/>
      <c r="G61" s="945"/>
      <c r="H61" s="1362" t="s">
        <v>11</v>
      </c>
      <c r="I61" s="1495">
        <f>M61/H15</f>
        <v>2.0045925442532024E-2</v>
      </c>
      <c r="J61" s="1362"/>
      <c r="K61" s="1463">
        <f>VLOOKUP(H15,'MC-TW New Premiums'!A21:N34,14,1)</f>
        <v>2.0045925442532024E-2</v>
      </c>
      <c r="L61" s="1363"/>
      <c r="M61" s="1364">
        <f>(K61*H15)</f>
        <v>10022.962721266013</v>
      </c>
      <c r="N61" s="1365"/>
      <c r="O61" s="1366">
        <f>M61-M40-M42-M41-M43</f>
        <v>8460.4627212660125</v>
      </c>
      <c r="P61" s="1366"/>
      <c r="Q61" s="1119">
        <f>IF('Rates (2)'!D45="Yes",0,1)</f>
        <v>1</v>
      </c>
      <c r="R61" s="1163">
        <f>IF(AND('Rates (2)'!D43="Yes",B56="Yes"),1,0)</f>
        <v>0</v>
      </c>
      <c r="S61" s="1354"/>
      <c r="T61" s="1354"/>
      <c r="U61" s="1354"/>
      <c r="V61" s="1354"/>
      <c r="W61" s="935"/>
      <c r="X61" s="935"/>
      <c r="Y61" s="935"/>
      <c r="Z61" s="935"/>
      <c r="AA61" s="935"/>
      <c r="AB61" s="935"/>
      <c r="AC61" s="935"/>
      <c r="AD61" s="935"/>
      <c r="AE61" s="935"/>
      <c r="AF61" s="935"/>
      <c r="AG61" s="935"/>
      <c r="AH61" s="935"/>
      <c r="AI61" s="935"/>
      <c r="AJ61" s="935"/>
      <c r="AK61" s="935"/>
      <c r="AL61" s="935"/>
      <c r="AM61" s="935"/>
      <c r="AN61" s="935"/>
      <c r="AO61" s="935"/>
      <c r="AU61" s="1272">
        <f t="shared" ca="1" si="2"/>
        <v>2023</v>
      </c>
      <c r="AX61" s="1286"/>
    </row>
    <row r="62" spans="2:50" s="934" customFormat="1" ht="15.75" customHeight="1" x14ac:dyDescent="0.3">
      <c r="B62" s="1308"/>
      <c r="C62" s="1147"/>
      <c r="D62" s="1110"/>
      <c r="E62" s="1635"/>
      <c r="F62" s="1636"/>
      <c r="G62" s="945"/>
      <c r="H62" s="1060" t="s">
        <v>131</v>
      </c>
      <c r="I62" s="946"/>
      <c r="J62" s="1060"/>
      <c r="K62" s="1367">
        <f>'Rates (2)'!D19</f>
        <v>2.5</v>
      </c>
      <c r="L62" s="1368" t="s">
        <v>54</v>
      </c>
      <c r="M62" s="1369">
        <f>(MAX(750,M61*2.5%))+250</f>
        <v>1000</v>
      </c>
      <c r="N62" s="1370"/>
      <c r="Q62" s="1119"/>
      <c r="R62" s="1163"/>
      <c r="S62" s="1163"/>
      <c r="T62" s="1163"/>
      <c r="U62" s="1285">
        <f>O57+Q57+W57</f>
        <v>0</v>
      </c>
      <c r="V62" s="1285"/>
      <c r="AM62" s="1107"/>
      <c r="AU62" s="1272">
        <f t="shared" ca="1" si="2"/>
        <v>2024</v>
      </c>
      <c r="AX62" s="1286"/>
    </row>
    <row r="63" spans="2:50" s="934" customFormat="1" ht="15.75" customHeight="1" x14ac:dyDescent="0.3">
      <c r="B63" s="1308"/>
      <c r="C63" s="1147"/>
      <c r="D63" s="1110"/>
      <c r="E63" s="1635"/>
      <c r="F63" s="1636"/>
      <c r="G63" s="945"/>
      <c r="H63" s="1060" t="s">
        <v>607</v>
      </c>
      <c r="I63" s="946"/>
      <c r="J63" s="1060"/>
      <c r="K63" s="1367"/>
      <c r="L63" s="1368"/>
      <c r="M63" s="257">
        <v>1900.79</v>
      </c>
      <c r="N63" s="1370"/>
      <c r="Q63" s="1119"/>
      <c r="R63" s="1163"/>
      <c r="S63" s="1163"/>
      <c r="T63" s="1163"/>
      <c r="U63" s="1285"/>
      <c r="V63" s="1285"/>
      <c r="AM63" s="1107"/>
      <c r="AU63" s="1272"/>
      <c r="AX63" s="1286"/>
    </row>
    <row r="64" spans="2:50" s="934" customFormat="1" ht="17.25" customHeight="1" x14ac:dyDescent="0.35">
      <c r="B64" s="1308"/>
      <c r="C64" s="1147"/>
      <c r="D64" s="1110"/>
      <c r="E64" s="1635"/>
      <c r="F64" s="1636"/>
      <c r="G64" s="945"/>
      <c r="H64" s="948" t="s">
        <v>548</v>
      </c>
      <c r="I64" s="946"/>
      <c r="J64" s="948"/>
      <c r="K64" s="945"/>
      <c r="L64" s="1363"/>
      <c r="M64" s="1258">
        <v>2500</v>
      </c>
      <c r="N64" s="1370"/>
      <c r="O64" s="1098"/>
      <c r="P64" s="1098"/>
      <c r="Q64" s="1119"/>
      <c r="R64" s="1163"/>
      <c r="S64" s="1163"/>
      <c r="T64" s="1163"/>
      <c r="U64" s="1163"/>
      <c r="V64" s="1163"/>
      <c r="AM64" s="1107"/>
      <c r="AU64" s="1272" t="str">
        <f ca="1">IF(AU62&gt;=$AW$46,"",AU62+1)</f>
        <v/>
      </c>
      <c r="AX64" s="1286"/>
    </row>
    <row r="65" spans="1:52" s="934" customFormat="1" ht="15.75" customHeight="1" x14ac:dyDescent="0.3">
      <c r="B65" s="1308"/>
      <c r="C65" s="1147"/>
      <c r="D65" s="1110"/>
      <c r="E65" s="1635"/>
      <c r="F65" s="1636"/>
      <c r="G65" s="945"/>
      <c r="H65" s="1060" t="s">
        <v>547</v>
      </c>
      <c r="I65" s="946"/>
      <c r="J65" s="1060"/>
      <c r="K65" s="1367"/>
      <c r="L65" s="1368"/>
      <c r="M65" s="1258">
        <v>2000</v>
      </c>
      <c r="N65" s="1370"/>
      <c r="O65" s="1098"/>
      <c r="P65" s="1098"/>
      <c r="Q65" s="1119"/>
      <c r="R65" s="1371">
        <v>1</v>
      </c>
      <c r="S65" s="1163"/>
      <c r="T65" s="1163"/>
      <c r="U65" s="1163"/>
      <c r="V65" s="1163"/>
      <c r="AM65" s="1107"/>
      <c r="AU65" s="1272" t="str">
        <f ca="1">IF(AU64&gt;=$AW$46,"",AU64+1)</f>
        <v/>
      </c>
      <c r="AX65" s="1286"/>
    </row>
    <row r="66" spans="1:52" s="934" customFormat="1" ht="15.75" customHeight="1" x14ac:dyDescent="0.3">
      <c r="B66" s="1308"/>
      <c r="C66" s="1147"/>
      <c r="D66" s="1110"/>
      <c r="E66" s="1635"/>
      <c r="F66" s="1636"/>
      <c r="G66" s="945"/>
      <c r="H66" s="1060" t="s">
        <v>545</v>
      </c>
      <c r="I66" s="946"/>
      <c r="J66" s="1060"/>
      <c r="K66" s="1419">
        <v>2.5000000000000001E-2</v>
      </c>
      <c r="L66" s="1368"/>
      <c r="M66" s="1258">
        <f>SUM(M61:M65)*K66</f>
        <v>435.59381803165036</v>
      </c>
      <c r="N66" s="1370"/>
      <c r="O66" s="1098"/>
      <c r="P66" s="1098"/>
      <c r="Q66" s="1119"/>
      <c r="R66" s="1371"/>
      <c r="S66" s="1163"/>
      <c r="T66" s="1163"/>
      <c r="U66" s="1163"/>
      <c r="V66" s="1163"/>
      <c r="AM66" s="1107"/>
      <c r="AU66" s="1272"/>
      <c r="AX66" s="1286"/>
    </row>
    <row r="67" spans="1:52" s="934" customFormat="1" ht="15.5" thickBot="1" x14ac:dyDescent="0.35">
      <c r="B67" s="1308"/>
      <c r="C67" s="1147"/>
      <c r="D67" s="1110"/>
      <c r="E67" s="1635"/>
      <c r="F67" s="1636"/>
      <c r="G67" s="945"/>
      <c r="H67" s="1060" t="s">
        <v>1</v>
      </c>
      <c r="I67" s="946"/>
      <c r="J67" s="1060"/>
      <c r="K67" s="1367">
        <f>'Rates (2)'!D21</f>
        <v>18</v>
      </c>
      <c r="L67" s="1368" t="s">
        <v>54</v>
      </c>
      <c r="M67" s="1258">
        <f>SUM(M61:M66)*'Rates (2)'!D21%</f>
        <v>3214.6823770735796</v>
      </c>
      <c r="N67" s="1370"/>
      <c r="O67" s="1098"/>
      <c r="P67" s="1098"/>
      <c r="Q67" s="934">
        <f>IF(AND(M8='Administration (2)'!C10,H9='Administration (2)'!C23),0,1)</f>
        <v>1</v>
      </c>
      <c r="R67" s="1351"/>
      <c r="S67" s="1351"/>
      <c r="W67" s="1372"/>
      <c r="AM67" s="1107"/>
      <c r="AU67" s="1272" t="str">
        <f ca="1">IF(AU65&gt;=$AW$46,"",AU65+1)</f>
        <v/>
      </c>
      <c r="AX67" s="1286"/>
    </row>
    <row r="68" spans="1:52" s="934" customFormat="1" ht="25.5" customHeight="1" thickTop="1" thickBot="1" x14ac:dyDescent="0.35">
      <c r="B68" s="1308"/>
      <c r="C68" s="1373">
        <f>'Administration (2)'!I3</f>
        <v>45413</v>
      </c>
      <c r="D68" s="1110"/>
      <c r="E68" s="1637"/>
      <c r="F68" s="1638"/>
      <c r="G68" s="945"/>
      <c r="H68" s="1362" t="s">
        <v>377</v>
      </c>
      <c r="I68" s="946"/>
      <c r="J68" s="1362"/>
      <c r="K68" s="945"/>
      <c r="L68" s="1363"/>
      <c r="M68" s="1374">
        <f ca="1">SUM(M61:M67)*C71*U2</f>
        <v>21074.028916371244</v>
      </c>
      <c r="N68" s="163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8" s="1640"/>
      <c r="P68" s="1375"/>
      <c r="Q68" s="1102"/>
      <c r="AM68" s="1107"/>
      <c r="AU68" s="1272" t="str">
        <f t="shared" ca="1" si="2"/>
        <v/>
      </c>
      <c r="AX68" s="1286"/>
    </row>
    <row r="69" spans="1:52" s="934" customFormat="1" ht="12.75" hidden="1" customHeight="1" x14ac:dyDescent="0.25">
      <c r="B69" s="1308"/>
      <c r="C69" s="1102"/>
      <c r="D69" s="1110"/>
      <c r="E69" s="1376"/>
      <c r="F69" s="1376"/>
      <c r="G69" s="1376"/>
      <c r="H69" s="1376"/>
      <c r="I69" s="1376"/>
      <c r="J69" s="1376"/>
      <c r="K69" s="1376"/>
      <c r="L69" s="1376"/>
      <c r="M69" s="1377"/>
      <c r="N69" s="210"/>
      <c r="O69" s="211"/>
      <c r="P69" s="226"/>
      <c r="AM69" s="1107"/>
      <c r="AU69" s="1272" t="str">
        <f t="shared" ca="1" si="2"/>
        <v/>
      </c>
      <c r="AX69" s="1286"/>
    </row>
    <row r="70" spans="1:52" s="934" customFormat="1" ht="12.75" hidden="1" customHeight="1" x14ac:dyDescent="0.3">
      <c r="B70" s="1308"/>
      <c r="C70" s="1102"/>
      <c r="D70" s="1110"/>
      <c r="E70" s="1376"/>
      <c r="F70" s="1376"/>
      <c r="G70" s="1376"/>
      <c r="H70" s="1376"/>
      <c r="I70" s="1376"/>
      <c r="J70" s="1376"/>
      <c r="K70" s="1376"/>
      <c r="L70" s="1376"/>
      <c r="M70" s="1377"/>
      <c r="N70" s="1378"/>
      <c r="O70" s="1379"/>
      <c r="P70" s="1380"/>
      <c r="AM70" s="1107"/>
      <c r="AU70" s="1272" t="str">
        <f t="shared" ca="1" si="2"/>
        <v/>
      </c>
      <c r="AX70" s="1286"/>
    </row>
    <row r="71" spans="1:52" s="934" customFormat="1" ht="15.75" customHeight="1" thickTop="1" x14ac:dyDescent="0.45">
      <c r="B71" s="1308"/>
      <c r="C71" s="1102">
        <f ca="1">IF(C68&gt;F71,1,0)</f>
        <v>1</v>
      </c>
      <c r="D71" s="1110"/>
      <c r="E71" s="1376"/>
      <c r="F71" s="1381">
        <f ca="1">TODAY()</f>
        <v>45348</v>
      </c>
      <c r="G71" s="1381"/>
      <c r="H71" s="1376"/>
      <c r="I71" s="1376"/>
      <c r="J71" s="1376"/>
      <c r="K71" s="1376"/>
      <c r="L71" s="1376"/>
      <c r="M71" s="1641"/>
      <c r="N71" s="688"/>
      <c r="O71" s="1382"/>
      <c r="P71" s="1383"/>
      <c r="Q71" s="1102"/>
      <c r="AM71" s="1107"/>
      <c r="AU71" s="1272" t="str">
        <f t="shared" ca="1" si="2"/>
        <v/>
      </c>
      <c r="AX71" s="1286"/>
    </row>
    <row r="72" spans="1:52" s="934" customFormat="1" ht="6.75" customHeight="1" x14ac:dyDescent="0.45">
      <c r="B72" s="1308"/>
      <c r="C72" s="1147"/>
      <c r="D72" s="1110"/>
      <c r="E72" s="1094"/>
      <c r="F72" s="1642" t="str">
        <f>IF(O72=1,"Hiring",IF(O72=3,"Rent A Vehicle",IF(O72=0,"Private")))</f>
        <v>Private</v>
      </c>
      <c r="G72" s="1642"/>
      <c r="H72" s="1642"/>
      <c r="I72" s="1094"/>
      <c r="J72" s="1094"/>
      <c r="K72" s="1094"/>
      <c r="L72" s="1094"/>
      <c r="M72" s="1641"/>
      <c r="N72" s="688"/>
      <c r="O72" s="1098">
        <f>Q45+Q44</f>
        <v>0</v>
      </c>
      <c r="P72" s="1098"/>
      <c r="Q72" s="934" t="s">
        <v>39</v>
      </c>
      <c r="R72" s="934" t="s">
        <v>7</v>
      </c>
      <c r="T72" s="934" t="s">
        <v>43</v>
      </c>
      <c r="AM72" s="1107"/>
      <c r="AU72" s="1272" t="str">
        <f t="shared" ca="1" si="2"/>
        <v/>
      </c>
      <c r="AX72" s="1286"/>
    </row>
    <row r="73" spans="1:52" s="934" customFormat="1" ht="13.5" customHeight="1" thickBot="1" x14ac:dyDescent="0.35">
      <c r="B73" s="1308"/>
      <c r="C73" s="1147"/>
      <c r="D73" s="1384"/>
      <c r="E73" s="1385"/>
      <c r="F73" s="1643"/>
      <c r="G73" s="1643"/>
      <c r="H73" s="1643"/>
      <c r="I73" s="1385"/>
      <c r="J73" s="1385"/>
      <c r="K73" s="1385"/>
      <c r="L73" s="1385"/>
      <c r="M73" s="1386"/>
      <c r="N73" s="1387"/>
      <c r="O73" s="1388"/>
      <c r="P73" s="1380"/>
      <c r="AM73" s="1107"/>
      <c r="AU73" s="1272" t="str">
        <f t="shared" ca="1" si="2"/>
        <v/>
      </c>
      <c r="AX73" s="1286"/>
    </row>
    <row r="74" spans="1:52" s="1391" customFormat="1" ht="14.5" hidden="1" thickTop="1" x14ac:dyDescent="0.3">
      <c r="A74" s="1107"/>
      <c r="B74" s="1389"/>
      <c r="C74" s="1107"/>
      <c r="D74" s="1390" t="s">
        <v>15</v>
      </c>
      <c r="E74" s="1107"/>
      <c r="F74" s="1248"/>
      <c r="G74" s="1248"/>
      <c r="H74" s="1248"/>
      <c r="I74" s="1248"/>
      <c r="J74" s="1248"/>
      <c r="K74" s="1248"/>
      <c r="L74" s="1107"/>
      <c r="M74" s="1107"/>
      <c r="N74" s="935"/>
      <c r="O74" s="1388"/>
      <c r="P74" s="1380"/>
      <c r="Q74" s="934"/>
      <c r="R74" s="934"/>
      <c r="S74" s="934"/>
      <c r="T74" s="934"/>
      <c r="U74" s="934"/>
      <c r="V74" s="934"/>
      <c r="W74" s="934"/>
      <c r="X74" s="934"/>
      <c r="Y74" s="934"/>
      <c r="Z74" s="934"/>
      <c r="AA74" s="934"/>
      <c r="AB74" s="934"/>
      <c r="AC74" s="934"/>
      <c r="AD74" s="934"/>
      <c r="AE74" s="934"/>
      <c r="AF74" s="934"/>
      <c r="AG74" s="934"/>
      <c r="AH74" s="934"/>
      <c r="AI74" s="934"/>
      <c r="AJ74" s="934"/>
      <c r="AK74" s="934"/>
      <c r="AL74" s="934"/>
      <c r="AM74" s="1107"/>
      <c r="AN74" s="934"/>
      <c r="AO74" s="934"/>
      <c r="AP74" s="934"/>
      <c r="AQ74" s="934"/>
      <c r="AR74" s="934"/>
      <c r="AS74" s="934"/>
      <c r="AT74" s="934"/>
      <c r="AU74" s="1272" t="str">
        <f t="shared" ca="1" si="2"/>
        <v/>
      </c>
      <c r="AV74" s="934"/>
      <c r="AW74" s="934"/>
      <c r="AX74" s="1286"/>
      <c r="AY74" s="934"/>
      <c r="AZ74" s="934"/>
    </row>
    <row r="75" spans="1:52" s="1391" customFormat="1" ht="22.5" hidden="1" customHeight="1" x14ac:dyDescent="0.25">
      <c r="A75" s="1107"/>
      <c r="B75" s="1392"/>
      <c r="C75" s="1107"/>
      <c r="D75" s="934"/>
      <c r="E75" s="934"/>
      <c r="F75" s="934"/>
      <c r="G75" s="934"/>
      <c r="H75" s="934"/>
      <c r="I75" s="934"/>
      <c r="J75" s="934"/>
      <c r="K75" s="934"/>
      <c r="L75" s="934"/>
      <c r="M75" s="1272"/>
      <c r="N75" s="1272"/>
      <c r="O75" s="1272"/>
      <c r="P75" s="1272"/>
      <c r="Q75" s="1272"/>
      <c r="R75" s="1272"/>
      <c r="S75" s="1272"/>
      <c r="T75" s="1272"/>
      <c r="U75" s="934"/>
      <c r="V75" s="934"/>
      <c r="W75" s="934"/>
      <c r="X75" s="934"/>
      <c r="Y75" s="934"/>
      <c r="Z75" s="934"/>
      <c r="AA75" s="934"/>
      <c r="AB75" s="934"/>
      <c r="AC75" s="934"/>
      <c r="AD75" s="934"/>
      <c r="AE75" s="934"/>
      <c r="AF75" s="934"/>
      <c r="AG75" s="934"/>
      <c r="AH75" s="934"/>
      <c r="AI75" s="934"/>
      <c r="AJ75" s="934"/>
      <c r="AK75" s="934"/>
      <c r="AL75" s="934"/>
      <c r="AM75" s="1107"/>
      <c r="AN75" s="934"/>
      <c r="AO75" s="934"/>
      <c r="AP75" s="934"/>
      <c r="AQ75" s="934"/>
      <c r="AR75" s="934"/>
      <c r="AS75" s="934"/>
      <c r="AT75" s="934"/>
      <c r="AU75" s="1272" t="str">
        <f t="shared" ca="1" si="2"/>
        <v/>
      </c>
      <c r="AV75" s="934"/>
      <c r="AW75" s="934"/>
      <c r="AY75" s="934"/>
      <c r="AZ75" s="934"/>
    </row>
    <row r="76" spans="1:52" s="1391" customFormat="1" ht="14.5" hidden="1" thickTop="1" x14ac:dyDescent="0.3">
      <c r="A76" s="1107"/>
      <c r="B76" s="1392"/>
      <c r="C76" s="1107"/>
      <c r="D76" s="934" t="s">
        <v>76</v>
      </c>
      <c r="E76" s="934" t="s">
        <v>76</v>
      </c>
      <c r="F76" s="934"/>
      <c r="G76" s="934"/>
      <c r="H76" s="934"/>
      <c r="I76" s="934"/>
      <c r="J76" s="934"/>
      <c r="K76" s="934"/>
      <c r="L76" s="934"/>
      <c r="M76" s="1272"/>
      <c r="N76" s="1272"/>
      <c r="O76" s="1272"/>
      <c r="P76" s="1272"/>
      <c r="Q76" s="1272"/>
      <c r="R76" s="1272"/>
      <c r="S76" s="1272"/>
      <c r="T76" s="1272"/>
      <c r="U76" s="934"/>
      <c r="V76" s="934"/>
      <c r="W76" s="934"/>
      <c r="X76" s="934"/>
      <c r="Y76" s="934"/>
      <c r="Z76" s="934"/>
      <c r="AA76" s="934"/>
      <c r="AB76" s="934"/>
      <c r="AC76" s="934"/>
      <c r="AD76" s="934"/>
      <c r="AE76" s="934"/>
      <c r="AF76" s="934"/>
      <c r="AG76" s="934"/>
      <c r="AH76" s="934"/>
      <c r="AI76" s="934"/>
      <c r="AJ76" s="934"/>
      <c r="AK76" s="934"/>
      <c r="AL76" s="934"/>
      <c r="AM76" s="1107"/>
      <c r="AN76" s="934"/>
      <c r="AO76" s="934"/>
      <c r="AP76" s="934"/>
      <c r="AQ76" s="934"/>
      <c r="AR76" s="934"/>
      <c r="AS76" s="934"/>
      <c r="AT76" s="934"/>
      <c r="AU76" s="1272" t="str">
        <f t="shared" ca="1" si="2"/>
        <v/>
      </c>
      <c r="AV76" s="934"/>
      <c r="AW76" s="934"/>
      <c r="AX76" s="1393"/>
      <c r="AY76" s="934"/>
      <c r="AZ76" s="934"/>
    </row>
    <row r="77" spans="1:52" s="1391" customFormat="1" ht="14.5" hidden="1" thickTop="1" x14ac:dyDescent="0.3">
      <c r="A77" s="1107"/>
      <c r="B77" s="1392"/>
      <c r="C77" s="1107"/>
      <c r="D77" s="934" t="s">
        <v>111</v>
      </c>
      <c r="E77" s="934" t="s">
        <v>111</v>
      </c>
      <c r="F77" s="934"/>
      <c r="G77" s="934"/>
      <c r="H77" s="934"/>
      <c r="I77" s="934"/>
      <c r="J77" s="934"/>
      <c r="K77" s="934"/>
      <c r="L77" s="934"/>
      <c r="M77" s="1272"/>
      <c r="N77" s="1124"/>
      <c r="O77" s="1124"/>
      <c r="P77" s="1124"/>
      <c r="Q77" s="1124"/>
      <c r="R77" s="1124"/>
      <c r="S77" s="1124"/>
      <c r="T77" s="1124"/>
      <c r="U77" s="934"/>
      <c r="V77" s="934"/>
      <c r="W77" s="934"/>
      <c r="X77" s="934"/>
      <c r="Y77" s="934"/>
      <c r="Z77" s="934"/>
      <c r="AA77" s="934"/>
      <c r="AB77" s="934"/>
      <c r="AC77" s="934"/>
      <c r="AD77" s="934"/>
      <c r="AE77" s="934"/>
      <c r="AF77" s="934"/>
      <c r="AG77" s="934"/>
      <c r="AH77" s="934"/>
      <c r="AI77" s="934"/>
      <c r="AJ77" s="934"/>
      <c r="AK77" s="934"/>
      <c r="AL77" s="934"/>
      <c r="AM77" s="1107"/>
      <c r="AN77" s="934"/>
      <c r="AO77" s="934"/>
      <c r="AP77" s="934"/>
      <c r="AQ77" s="934"/>
      <c r="AR77" s="934"/>
      <c r="AS77" s="934"/>
      <c r="AT77" s="934"/>
      <c r="AU77" s="1272" t="str">
        <f t="shared" ca="1" si="2"/>
        <v/>
      </c>
      <c r="AV77" s="934"/>
      <c r="AW77" s="934"/>
      <c r="AX77" s="1393"/>
      <c r="AY77" s="934"/>
      <c r="AZ77" s="934"/>
    </row>
    <row r="78" spans="1:52" s="1391" customFormat="1" ht="14.5" hidden="1" thickTop="1" x14ac:dyDescent="0.3">
      <c r="A78" s="1107"/>
      <c r="B78" s="1392"/>
      <c r="C78" s="1107"/>
      <c r="D78" s="934">
        <v>1</v>
      </c>
      <c r="E78" s="934"/>
      <c r="F78" s="934"/>
      <c r="G78" s="934"/>
      <c r="H78" s="934"/>
      <c r="I78" s="934"/>
      <c r="J78" s="934"/>
      <c r="K78" s="934"/>
      <c r="L78" s="934"/>
      <c r="M78" s="1272"/>
      <c r="N78" s="1124"/>
      <c r="O78" s="1394" t="s">
        <v>219</v>
      </c>
      <c r="P78" s="1124"/>
      <c r="Q78" s="1124"/>
      <c r="R78" s="1124"/>
      <c r="S78" s="1124"/>
      <c r="T78" s="1124"/>
      <c r="U78" s="934"/>
      <c r="V78" s="934"/>
      <c r="W78" s="934"/>
      <c r="X78" s="934"/>
      <c r="Y78" s="934"/>
      <c r="Z78" s="934"/>
      <c r="AA78" s="934"/>
      <c r="AB78" s="934"/>
      <c r="AC78" s="934"/>
      <c r="AD78" s="934"/>
      <c r="AE78" s="934"/>
      <c r="AF78" s="934"/>
      <c r="AG78" s="934"/>
      <c r="AH78" s="934"/>
      <c r="AI78" s="934"/>
      <c r="AJ78" s="934"/>
      <c r="AK78" s="934"/>
      <c r="AL78" s="934"/>
      <c r="AM78" s="1107"/>
      <c r="AN78" s="934"/>
      <c r="AO78" s="934"/>
      <c r="AP78" s="934"/>
      <c r="AQ78" s="934"/>
      <c r="AR78" s="934"/>
      <c r="AS78" s="934"/>
      <c r="AT78" s="934"/>
      <c r="AU78" s="1272" t="str">
        <f t="shared" ca="1" si="2"/>
        <v/>
      </c>
      <c r="AV78" s="934"/>
      <c r="AW78" s="934"/>
      <c r="AX78" s="1393"/>
      <c r="AY78" s="934"/>
      <c r="AZ78" s="934"/>
    </row>
    <row r="79" spans="1:52" s="1391" customFormat="1" ht="25.5" hidden="1" customHeight="1" x14ac:dyDescent="0.3">
      <c r="A79" s="1107"/>
      <c r="B79" s="1392"/>
      <c r="C79" s="1107"/>
      <c r="D79" s="934" t="s">
        <v>76</v>
      </c>
      <c r="E79" s="934" t="s">
        <v>76</v>
      </c>
      <c r="F79" s="934"/>
      <c r="G79" s="934"/>
      <c r="H79" s="934"/>
      <c r="I79" s="934"/>
      <c r="J79" s="934"/>
      <c r="K79" s="934"/>
      <c r="L79" s="934"/>
      <c r="M79" s="1272"/>
      <c r="N79" s="1124"/>
      <c r="O79" s="1124" t="s">
        <v>220</v>
      </c>
      <c r="P79" s="1124"/>
      <c r="Q79" s="1124"/>
      <c r="R79" s="1124">
        <f ca="1">IF(AND(Y15&gt;10,Y15&lt;15),'Rates (2)'!K59,IF(AND(Y15&gt;=15,Y15&lt;20),'Rates (2)'!K60,IF(Y15&lt;11,0,'TW-Working'!I20)))</f>
        <v>0</v>
      </c>
      <c r="S79" s="1124"/>
      <c r="T79" s="1124"/>
      <c r="U79" s="934"/>
      <c r="V79" s="934"/>
      <c r="W79" s="934"/>
      <c r="X79" s="934"/>
      <c r="Y79" s="934"/>
      <c r="Z79" s="934"/>
      <c r="AA79" s="934"/>
      <c r="AB79" s="934"/>
      <c r="AC79" s="934"/>
      <c r="AD79" s="934"/>
      <c r="AE79" s="934"/>
      <c r="AF79" s="934"/>
      <c r="AG79" s="934"/>
      <c r="AH79" s="934"/>
      <c r="AI79" s="934"/>
      <c r="AJ79" s="934"/>
      <c r="AK79" s="934"/>
      <c r="AL79" s="934"/>
      <c r="AM79" s="1107"/>
      <c r="AN79" s="934"/>
      <c r="AO79" s="934"/>
      <c r="AP79" s="934"/>
      <c r="AQ79" s="934"/>
      <c r="AR79" s="934"/>
      <c r="AS79" s="934"/>
      <c r="AT79" s="934"/>
      <c r="AU79" s="1272" t="str">
        <f t="shared" ca="1" si="2"/>
        <v/>
      </c>
      <c r="AV79" s="934"/>
      <c r="AW79" s="934"/>
      <c r="AX79" s="1393"/>
      <c r="AY79" s="934"/>
      <c r="AZ79" s="934"/>
    </row>
    <row r="80" spans="1:52" s="1391" customFormat="1" ht="14.5" hidden="1" thickTop="1" x14ac:dyDescent="0.3">
      <c r="A80" s="1107"/>
      <c r="B80" s="1392"/>
      <c r="C80" s="1107"/>
      <c r="D80" s="934" t="s">
        <v>111</v>
      </c>
      <c r="E80" s="934" t="s">
        <v>111</v>
      </c>
      <c r="F80" s="934"/>
      <c r="G80" s="934"/>
      <c r="H80" s="934"/>
      <c r="I80" s="934"/>
      <c r="J80" s="934"/>
      <c r="K80" s="934"/>
      <c r="L80" s="934"/>
      <c r="M80" s="1272"/>
      <c r="N80" s="1124"/>
      <c r="O80" s="1124" t="s">
        <v>39</v>
      </c>
      <c r="P80" s="1124"/>
      <c r="Q80" s="1124"/>
      <c r="R80" s="1124">
        <f>IF(OR(H9='Administration (2)'!C21,'TW-Working'!H9='Administration (2)'!C22),'Rates (2)'!K61,0)</f>
        <v>0</v>
      </c>
      <c r="S80" s="1124"/>
      <c r="T80" s="1124"/>
      <c r="U80" s="934"/>
      <c r="V80" s="934"/>
      <c r="W80" s="934"/>
      <c r="X80" s="934"/>
      <c r="Y80" s="934"/>
      <c r="Z80" s="934"/>
      <c r="AA80" s="934"/>
      <c r="AB80" s="934"/>
      <c r="AC80" s="934"/>
      <c r="AD80" s="934"/>
      <c r="AE80" s="934"/>
      <c r="AF80" s="934"/>
      <c r="AG80" s="934"/>
      <c r="AH80" s="934"/>
      <c r="AI80" s="934"/>
      <c r="AJ80" s="934"/>
      <c r="AK80" s="934"/>
      <c r="AL80" s="934"/>
      <c r="AM80" s="1107"/>
      <c r="AN80" s="934"/>
      <c r="AO80" s="934"/>
      <c r="AP80" s="934"/>
      <c r="AQ80" s="934"/>
      <c r="AR80" s="934"/>
      <c r="AS80" s="934"/>
      <c r="AT80" s="934"/>
      <c r="AU80" s="1272" t="str">
        <f t="shared" ca="1" si="2"/>
        <v/>
      </c>
      <c r="AV80" s="934"/>
      <c r="AW80" s="934"/>
      <c r="AX80" s="1393"/>
      <c r="AY80" s="934"/>
      <c r="AZ80" s="934"/>
    </row>
    <row r="81" spans="1:52" s="1391" customFormat="1" ht="14.5" hidden="1" thickTop="1" x14ac:dyDescent="0.3">
      <c r="A81" s="1107"/>
      <c r="B81" s="1392"/>
      <c r="C81" s="1107"/>
      <c r="D81" s="934"/>
      <c r="E81" s="934"/>
      <c r="F81" s="934"/>
      <c r="G81" s="934"/>
      <c r="H81" s="934"/>
      <c r="I81" s="934"/>
      <c r="J81" s="934"/>
      <c r="K81" s="934"/>
      <c r="L81" s="934"/>
      <c r="M81" s="1272"/>
      <c r="N81" s="1124"/>
      <c r="O81" s="1124" t="s">
        <v>40</v>
      </c>
      <c r="P81" s="1124"/>
      <c r="Q81" s="1124"/>
      <c r="R81" s="1124">
        <f>IF(H9="Rent A vehicle",'Rates (2)'!K62,0)</f>
        <v>0</v>
      </c>
      <c r="S81" s="1124"/>
      <c r="T81" s="1124"/>
      <c r="U81" s="934"/>
      <c r="V81" s="934"/>
      <c r="W81" s="934"/>
      <c r="X81" s="934"/>
      <c r="Y81" s="934"/>
      <c r="Z81" s="934"/>
      <c r="AA81" s="934"/>
      <c r="AB81" s="934"/>
      <c r="AC81" s="934"/>
      <c r="AD81" s="934"/>
      <c r="AE81" s="934"/>
      <c r="AF81" s="934"/>
      <c r="AG81" s="934"/>
      <c r="AH81" s="934"/>
      <c r="AI81" s="934"/>
      <c r="AJ81" s="934"/>
      <c r="AK81" s="934"/>
      <c r="AL81" s="934"/>
      <c r="AM81" s="1107"/>
      <c r="AN81" s="934"/>
      <c r="AO81" s="934"/>
      <c r="AP81" s="934"/>
      <c r="AQ81" s="934"/>
      <c r="AR81" s="934"/>
      <c r="AS81" s="934"/>
      <c r="AT81" s="934"/>
      <c r="AU81" s="1272" t="str">
        <f t="shared" ca="1" si="2"/>
        <v/>
      </c>
      <c r="AV81" s="934"/>
      <c r="AW81" s="934"/>
      <c r="AX81" s="1393"/>
      <c r="AY81" s="934"/>
      <c r="AZ81" s="934"/>
    </row>
    <row r="82" spans="1:52" s="1391" customFormat="1" ht="14.5" hidden="1" thickTop="1" x14ac:dyDescent="0.3">
      <c r="A82" s="1107"/>
      <c r="B82" s="1392"/>
      <c r="C82" s="1107"/>
      <c r="D82" s="934" t="s">
        <v>76</v>
      </c>
      <c r="E82" s="934" t="s">
        <v>76</v>
      </c>
      <c r="F82" s="934"/>
      <c r="G82" s="934"/>
      <c r="H82" s="934"/>
      <c r="I82" s="934"/>
      <c r="J82" s="934"/>
      <c r="K82" s="934"/>
      <c r="L82" s="934"/>
      <c r="M82" s="1272"/>
      <c r="N82" s="1124"/>
      <c r="O82" s="1219" t="s">
        <v>273</v>
      </c>
      <c r="P82" s="1124"/>
      <c r="Q82" s="1124"/>
      <c r="R82" s="1395">
        <f ca="1">SUM(R79:R81)</f>
        <v>0</v>
      </c>
      <c r="S82" s="1124"/>
      <c r="T82" s="1124"/>
      <c r="U82" s="934"/>
      <c r="V82" s="934"/>
      <c r="W82" s="934"/>
      <c r="X82" s="934"/>
      <c r="Y82" s="934"/>
      <c r="Z82" s="934"/>
      <c r="AA82" s="934"/>
      <c r="AB82" s="934"/>
      <c r="AC82" s="934"/>
      <c r="AD82" s="934"/>
      <c r="AE82" s="934"/>
      <c r="AF82" s="934"/>
      <c r="AG82" s="934"/>
      <c r="AH82" s="934"/>
      <c r="AI82" s="934"/>
      <c r="AJ82" s="934"/>
      <c r="AK82" s="934"/>
      <c r="AL82" s="934"/>
      <c r="AM82" s="1107"/>
      <c r="AN82" s="934"/>
      <c r="AO82" s="934"/>
      <c r="AP82" s="934"/>
      <c r="AQ82" s="934"/>
      <c r="AR82" s="934"/>
      <c r="AS82" s="934"/>
      <c r="AT82" s="934"/>
      <c r="AU82" s="1272" t="str">
        <f t="shared" ca="1" si="2"/>
        <v/>
      </c>
      <c r="AV82" s="934"/>
      <c r="AW82" s="934"/>
      <c r="AX82" s="1393"/>
      <c r="AY82" s="934"/>
      <c r="AZ82" s="934"/>
    </row>
    <row r="83" spans="1:52" s="1391" customFormat="1" ht="14.5" hidden="1" thickTop="1" x14ac:dyDescent="0.3">
      <c r="A83" s="1107"/>
      <c r="B83" s="1392"/>
      <c r="C83" s="1107"/>
      <c r="D83" s="934" t="s">
        <v>111</v>
      </c>
      <c r="E83" s="934" t="s">
        <v>111</v>
      </c>
      <c r="F83" s="934"/>
      <c r="G83" s="934"/>
      <c r="H83" s="934"/>
      <c r="I83" s="934"/>
      <c r="J83" s="934"/>
      <c r="K83" s="934"/>
      <c r="L83" s="934"/>
      <c r="M83" s="1272"/>
      <c r="N83" s="1124"/>
      <c r="O83" s="1124"/>
      <c r="P83" s="1124"/>
      <c r="Q83" s="1124"/>
      <c r="R83" s="1124"/>
      <c r="S83" s="1124"/>
      <c r="T83" s="1124"/>
      <c r="U83" s="934"/>
      <c r="V83" s="934"/>
      <c r="W83" s="934"/>
      <c r="X83" s="934"/>
      <c r="Y83" s="934"/>
      <c r="Z83" s="934"/>
      <c r="AA83" s="934"/>
      <c r="AB83" s="934"/>
      <c r="AC83" s="934"/>
      <c r="AD83" s="934"/>
      <c r="AE83" s="934"/>
      <c r="AF83" s="934"/>
      <c r="AG83" s="934"/>
      <c r="AH83" s="934"/>
      <c r="AI83" s="934"/>
      <c r="AJ83" s="934"/>
      <c r="AK83" s="934"/>
      <c r="AL83" s="934"/>
      <c r="AM83" s="1107"/>
      <c r="AN83" s="934"/>
      <c r="AO83" s="934"/>
      <c r="AP83" s="934"/>
      <c r="AQ83" s="934"/>
      <c r="AR83" s="934"/>
      <c r="AS83" s="934"/>
      <c r="AT83" s="934"/>
      <c r="AU83" s="1272" t="str">
        <f t="shared" ca="1" si="2"/>
        <v/>
      </c>
      <c r="AV83" s="934"/>
      <c r="AW83" s="934"/>
      <c r="AX83" s="1393"/>
      <c r="AY83" s="934"/>
      <c r="AZ83" s="934"/>
    </row>
    <row r="84" spans="1:52" s="1391" customFormat="1" ht="14.5" hidden="1" thickTop="1" x14ac:dyDescent="0.3">
      <c r="A84" s="1107"/>
      <c r="B84" s="1392"/>
      <c r="C84" s="1107"/>
      <c r="D84" s="934"/>
      <c r="E84" s="934"/>
      <c r="F84" s="934"/>
      <c r="G84" s="934"/>
      <c r="H84" s="934"/>
      <c r="I84" s="934"/>
      <c r="J84" s="934"/>
      <c r="K84" s="934"/>
      <c r="L84" s="934"/>
      <c r="M84" s="1272"/>
      <c r="N84" s="1124"/>
      <c r="O84" s="1124" t="s">
        <v>58</v>
      </c>
      <c r="P84" s="1124"/>
      <c r="Q84" s="1124"/>
      <c r="R84" s="1124">
        <f>IF(M8='Administration (2)'!C13,'Rates (2)'!K66,IF('TW-Working'!M8='Administration (2)'!C14,'Rates (2)'!K67,0))</f>
        <v>0</v>
      </c>
      <c r="S84" s="1124"/>
      <c r="T84" s="1124"/>
      <c r="U84" s="934"/>
      <c r="V84" s="934"/>
      <c r="W84" s="934"/>
      <c r="X84" s="934"/>
      <c r="Y84" s="934"/>
      <c r="Z84" s="934"/>
      <c r="AA84" s="934"/>
      <c r="AB84" s="934"/>
      <c r="AC84" s="934"/>
      <c r="AD84" s="934"/>
      <c r="AE84" s="934"/>
      <c r="AF84" s="934"/>
      <c r="AG84" s="934"/>
      <c r="AH84" s="934"/>
      <c r="AI84" s="934"/>
      <c r="AJ84" s="934"/>
      <c r="AK84" s="934"/>
      <c r="AL84" s="934"/>
      <c r="AM84" s="1107"/>
      <c r="AN84" s="934"/>
      <c r="AO84" s="934"/>
      <c r="AP84" s="934"/>
      <c r="AQ84" s="934"/>
      <c r="AR84" s="934"/>
      <c r="AS84" s="934"/>
      <c r="AT84" s="934"/>
      <c r="AU84" s="1272" t="str">
        <f t="shared" ca="1" si="2"/>
        <v/>
      </c>
      <c r="AV84" s="934"/>
      <c r="AW84" s="934"/>
      <c r="AX84" s="1393"/>
      <c r="AY84" s="934"/>
      <c r="AZ84" s="934"/>
    </row>
    <row r="85" spans="1:52" s="1391" customFormat="1" ht="14.5" hidden="1" thickTop="1" x14ac:dyDescent="0.3">
      <c r="A85" s="1107"/>
      <c r="B85" s="1392"/>
      <c r="C85" s="1107"/>
      <c r="D85" s="934"/>
      <c r="E85" s="934"/>
      <c r="F85" s="934"/>
      <c r="G85" s="934"/>
      <c r="H85" s="934"/>
      <c r="I85" s="934"/>
      <c r="J85" s="934"/>
      <c r="K85" s="934"/>
      <c r="L85" s="934"/>
      <c r="M85" s="1272"/>
      <c r="N85" s="1124"/>
      <c r="O85" s="1124" t="s">
        <v>206</v>
      </c>
      <c r="P85" s="1124"/>
      <c r="Q85" s="1124"/>
      <c r="R85" s="1124">
        <f>IF(M8='Administration (2)'!C9,'Rates (2)'!K69,0)</f>
        <v>0</v>
      </c>
      <c r="S85" s="1124"/>
      <c r="T85" s="1124"/>
      <c r="U85" s="934"/>
      <c r="V85" s="934"/>
      <c r="W85" s="934"/>
      <c r="X85" s="934"/>
      <c r="Y85" s="934"/>
      <c r="Z85" s="934"/>
      <c r="AA85" s="934"/>
      <c r="AB85" s="934"/>
      <c r="AC85" s="934"/>
      <c r="AD85" s="934"/>
      <c r="AE85" s="934"/>
      <c r="AF85" s="934"/>
      <c r="AG85" s="934"/>
      <c r="AH85" s="934"/>
      <c r="AI85" s="934"/>
      <c r="AJ85" s="934"/>
      <c r="AK85" s="934"/>
      <c r="AL85" s="934"/>
      <c r="AM85" s="1107"/>
      <c r="AN85" s="934"/>
      <c r="AO85" s="934"/>
      <c r="AP85" s="934"/>
      <c r="AQ85" s="934"/>
      <c r="AR85" s="934"/>
      <c r="AS85" s="934"/>
      <c r="AT85" s="934"/>
      <c r="AU85" s="1272" t="str">
        <f t="shared" ca="1" si="2"/>
        <v/>
      </c>
      <c r="AV85" s="934"/>
      <c r="AW85" s="934"/>
      <c r="AX85" s="1393"/>
      <c r="AY85" s="934"/>
      <c r="AZ85" s="934"/>
    </row>
    <row r="86" spans="1:52" s="1391" customFormat="1" ht="14.5" hidden="1" thickTop="1" x14ac:dyDescent="0.3">
      <c r="A86" s="1107"/>
      <c r="B86" s="1392"/>
      <c r="C86" s="1107"/>
      <c r="D86" s="934"/>
      <c r="E86" s="934"/>
      <c r="F86" s="934"/>
      <c r="G86" s="934"/>
      <c r="H86" s="934"/>
      <c r="I86" s="934"/>
      <c r="J86" s="934"/>
      <c r="K86" s="934"/>
      <c r="L86" s="934"/>
      <c r="M86" s="1272"/>
      <c r="N86" s="1124"/>
      <c r="O86" s="1124" t="s">
        <v>268</v>
      </c>
      <c r="P86" s="1124"/>
      <c r="Q86" s="1124"/>
      <c r="R86" s="1124">
        <f>IF(M8='Administration (2)'!C7,'Rates (2)'!K70,0)</f>
        <v>0</v>
      </c>
      <c r="S86" s="1124"/>
      <c r="T86" s="1124"/>
      <c r="U86" s="934"/>
      <c r="V86" s="934"/>
      <c r="W86" s="934"/>
      <c r="X86" s="934"/>
      <c r="Y86" s="934"/>
      <c r="Z86" s="934"/>
      <c r="AA86" s="934"/>
      <c r="AB86" s="934"/>
      <c r="AC86" s="934"/>
      <c r="AD86" s="934"/>
      <c r="AE86" s="934"/>
      <c r="AF86" s="934"/>
      <c r="AG86" s="934"/>
      <c r="AH86" s="934"/>
      <c r="AI86" s="934"/>
      <c r="AJ86" s="934"/>
      <c r="AK86" s="934"/>
      <c r="AL86" s="934"/>
      <c r="AM86" s="1107"/>
      <c r="AN86" s="934"/>
      <c r="AO86" s="934"/>
      <c r="AP86" s="934"/>
      <c r="AQ86" s="934"/>
      <c r="AR86" s="934"/>
      <c r="AS86" s="934"/>
      <c r="AT86" s="934"/>
      <c r="AU86" s="1272" t="str">
        <f t="shared" ca="1" si="2"/>
        <v/>
      </c>
      <c r="AV86" s="934"/>
      <c r="AW86" s="934"/>
      <c r="AX86" s="1393"/>
      <c r="AY86" s="934"/>
      <c r="AZ86" s="934"/>
    </row>
    <row r="87" spans="1:52" s="1391" customFormat="1" ht="14.5" hidden="1" thickTop="1" x14ac:dyDescent="0.3">
      <c r="A87" s="1107"/>
      <c r="B87" s="1392"/>
      <c r="C87" s="1107"/>
      <c r="D87" s="934"/>
      <c r="E87" s="934"/>
      <c r="F87" s="934"/>
      <c r="G87" s="934"/>
      <c r="H87" s="934"/>
      <c r="I87" s="934"/>
      <c r="J87" s="934"/>
      <c r="K87" s="934"/>
      <c r="L87" s="934"/>
      <c r="M87" s="1272"/>
      <c r="N87" s="1124"/>
      <c r="O87" s="1124" t="s">
        <v>269</v>
      </c>
      <c r="P87" s="1124"/>
      <c r="Q87" s="1124"/>
      <c r="R87" s="1124">
        <f>IF(M8='Administration (2)'!C8,'Rates (2)'!K71,0)</f>
        <v>0</v>
      </c>
      <c r="S87" s="1124"/>
      <c r="T87" s="1124"/>
      <c r="U87" s="934"/>
      <c r="V87" s="934"/>
      <c r="W87" s="934"/>
      <c r="X87" s="934"/>
      <c r="Y87" s="934"/>
      <c r="Z87" s="934"/>
      <c r="AA87" s="934"/>
      <c r="AB87" s="934"/>
      <c r="AC87" s="934"/>
      <c r="AD87" s="934"/>
      <c r="AE87" s="934"/>
      <c r="AF87" s="934"/>
      <c r="AG87" s="934"/>
      <c r="AH87" s="934"/>
      <c r="AI87" s="934"/>
      <c r="AJ87" s="934"/>
      <c r="AK87" s="934"/>
      <c r="AL87" s="934"/>
      <c r="AM87" s="1107"/>
      <c r="AN87" s="934"/>
      <c r="AO87" s="934"/>
      <c r="AP87" s="934"/>
      <c r="AQ87" s="934"/>
      <c r="AR87" s="934"/>
      <c r="AS87" s="934"/>
      <c r="AT87" s="934"/>
      <c r="AU87" s="1272" t="e">
        <f t="shared" ref="AU87:AU107" ca="1" si="3">AU86+1</f>
        <v>#VALUE!</v>
      </c>
      <c r="AV87" s="934"/>
      <c r="AW87" s="934"/>
      <c r="AX87" s="1393"/>
      <c r="AY87" s="934"/>
      <c r="AZ87" s="934"/>
    </row>
    <row r="88" spans="1:52" s="1391" customFormat="1" ht="14.5" hidden="1" thickTop="1" x14ac:dyDescent="0.3">
      <c r="A88" s="1107"/>
      <c r="B88" s="1392"/>
      <c r="C88" s="1107"/>
      <c r="D88" s="934"/>
      <c r="E88" s="934"/>
      <c r="F88" s="934"/>
      <c r="G88" s="934"/>
      <c r="H88" s="934"/>
      <c r="I88" s="934"/>
      <c r="J88" s="934"/>
      <c r="K88" s="934"/>
      <c r="L88" s="934"/>
      <c r="M88" s="1272"/>
      <c r="N88" s="1124"/>
      <c r="O88" s="1124" t="s">
        <v>270</v>
      </c>
      <c r="P88" s="1124"/>
      <c r="Q88" s="1124"/>
      <c r="R88" s="1124">
        <f>IF(M8='Administration (2)'!C16,'Rates (2)'!K72,0)</f>
        <v>0</v>
      </c>
      <c r="S88" s="1124"/>
      <c r="T88" s="1124"/>
      <c r="U88" s="934"/>
      <c r="V88" s="934"/>
      <c r="W88" s="934"/>
      <c r="X88" s="934"/>
      <c r="Y88" s="934"/>
      <c r="Z88" s="934"/>
      <c r="AA88" s="934"/>
      <c r="AB88" s="934"/>
      <c r="AC88" s="934"/>
      <c r="AD88" s="934"/>
      <c r="AE88" s="934"/>
      <c r="AF88" s="934"/>
      <c r="AG88" s="934"/>
      <c r="AH88" s="934"/>
      <c r="AI88" s="934"/>
      <c r="AJ88" s="934"/>
      <c r="AK88" s="934"/>
      <c r="AL88" s="934"/>
      <c r="AM88" s="1107"/>
      <c r="AN88" s="934"/>
      <c r="AO88" s="934"/>
      <c r="AP88" s="934"/>
      <c r="AQ88" s="934"/>
      <c r="AR88" s="934"/>
      <c r="AS88" s="934"/>
      <c r="AT88" s="934"/>
      <c r="AU88" s="1272" t="e">
        <f t="shared" ca="1" si="3"/>
        <v>#VALUE!</v>
      </c>
      <c r="AV88" s="934"/>
      <c r="AW88" s="934"/>
      <c r="AX88" s="1393"/>
      <c r="AY88" s="934"/>
      <c r="AZ88" s="934"/>
    </row>
    <row r="89" spans="1:52" s="1391" customFormat="1" ht="14.5" hidden="1" thickTop="1" x14ac:dyDescent="0.3">
      <c r="A89" s="1107"/>
      <c r="B89" s="1392"/>
      <c r="C89" s="1107"/>
      <c r="D89" s="934"/>
      <c r="E89" s="934"/>
      <c r="F89" s="934"/>
      <c r="G89" s="934"/>
      <c r="H89" s="934"/>
      <c r="I89" s="934"/>
      <c r="J89" s="934"/>
      <c r="K89" s="934"/>
      <c r="L89" s="934"/>
      <c r="M89" s="1272"/>
      <c r="N89" s="1124"/>
      <c r="O89" s="1124" t="s">
        <v>356</v>
      </c>
      <c r="P89" s="1124"/>
      <c r="Q89" s="1124"/>
      <c r="R89" s="1124">
        <f>IF(M8='Administration (2)'!C11,'Rates (2)'!K73,0)</f>
        <v>0</v>
      </c>
      <c r="S89" s="1124"/>
      <c r="T89" s="1124"/>
      <c r="U89" s="934"/>
      <c r="V89" s="934"/>
      <c r="W89" s="934"/>
      <c r="X89" s="934"/>
      <c r="Y89" s="934"/>
      <c r="Z89" s="934"/>
      <c r="AA89" s="934"/>
      <c r="AB89" s="934"/>
      <c r="AC89" s="934"/>
      <c r="AD89" s="934"/>
      <c r="AE89" s="934"/>
      <c r="AF89" s="934"/>
      <c r="AG89" s="934"/>
      <c r="AH89" s="934"/>
      <c r="AI89" s="934"/>
      <c r="AJ89" s="934"/>
      <c r="AK89" s="934"/>
      <c r="AL89" s="934"/>
      <c r="AM89" s="1107"/>
      <c r="AN89" s="934"/>
      <c r="AO89" s="934"/>
      <c r="AP89" s="934"/>
      <c r="AQ89" s="934"/>
      <c r="AR89" s="934"/>
      <c r="AS89" s="934"/>
      <c r="AT89" s="934"/>
      <c r="AU89" s="1272" t="e">
        <f t="shared" ca="1" si="3"/>
        <v>#VALUE!</v>
      </c>
      <c r="AV89" s="934"/>
      <c r="AW89" s="934"/>
      <c r="AX89" s="1393"/>
      <c r="AY89" s="934"/>
      <c r="AZ89" s="934"/>
    </row>
    <row r="90" spans="1:52" s="1391" customFormat="1" ht="14.5" hidden="1" thickTop="1" x14ac:dyDescent="0.3">
      <c r="A90" s="1107"/>
      <c r="B90" s="1392"/>
      <c r="C90" s="1107"/>
      <c r="D90" s="934"/>
      <c r="E90" s="934"/>
      <c r="F90" s="934"/>
      <c r="G90" s="934"/>
      <c r="H90" s="934"/>
      <c r="I90" s="934"/>
      <c r="J90" s="934"/>
      <c r="K90" s="934"/>
      <c r="L90" s="934"/>
      <c r="M90" s="1272"/>
      <c r="N90" s="1124"/>
      <c r="O90" s="1124" t="s">
        <v>207</v>
      </c>
      <c r="P90" s="1124"/>
      <c r="Q90" s="1124"/>
      <c r="R90" s="1124">
        <f>IF(M8='Administration (2)'!C10,'Rates (2)'!K74,0)</f>
        <v>0</v>
      </c>
      <c r="S90" s="1124"/>
      <c r="T90" s="1124"/>
      <c r="U90" s="934"/>
      <c r="V90" s="934"/>
      <c r="W90" s="934"/>
      <c r="X90" s="934"/>
      <c r="Y90" s="934"/>
      <c r="Z90" s="934"/>
      <c r="AA90" s="934"/>
      <c r="AB90" s="934"/>
      <c r="AC90" s="934"/>
      <c r="AD90" s="934"/>
      <c r="AE90" s="934"/>
      <c r="AF90" s="934"/>
      <c r="AG90" s="934"/>
      <c r="AH90" s="934"/>
      <c r="AI90" s="934"/>
      <c r="AJ90" s="934"/>
      <c r="AK90" s="934"/>
      <c r="AL90" s="934"/>
      <c r="AM90" s="1107"/>
      <c r="AN90" s="934"/>
      <c r="AO90" s="934"/>
      <c r="AP90" s="934"/>
      <c r="AQ90" s="934"/>
      <c r="AR90" s="934"/>
      <c r="AS90" s="934"/>
      <c r="AT90" s="934"/>
      <c r="AU90" s="1272" t="e">
        <f t="shared" ca="1" si="3"/>
        <v>#VALUE!</v>
      </c>
      <c r="AV90" s="934"/>
      <c r="AW90" s="934"/>
      <c r="AX90" s="1393"/>
      <c r="AY90" s="934"/>
      <c r="AZ90" s="934"/>
    </row>
    <row r="91" spans="1:52" s="1391" customFormat="1" ht="14.5" hidden="1" thickTop="1" x14ac:dyDescent="0.3">
      <c r="A91" s="1107"/>
      <c r="B91" s="1392"/>
      <c r="C91" s="1107"/>
      <c r="D91" s="934"/>
      <c r="E91" s="934"/>
      <c r="F91" s="934"/>
      <c r="G91" s="934"/>
      <c r="H91" s="934"/>
      <c r="I91" s="934"/>
      <c r="J91" s="934"/>
      <c r="K91" s="934"/>
      <c r="L91" s="934"/>
      <c r="M91" s="1272"/>
      <c r="N91" s="1124"/>
      <c r="O91" s="1124" t="s">
        <v>211</v>
      </c>
      <c r="P91" s="1124"/>
      <c r="Q91" s="1124"/>
      <c r="R91" s="1124">
        <f>IF(M8='Administration (2)'!C15,'Rates (2)'!K75,0)</f>
        <v>0</v>
      </c>
      <c r="S91" s="1124"/>
      <c r="T91" s="1124"/>
      <c r="U91" s="934"/>
      <c r="V91" s="934"/>
      <c r="W91" s="934"/>
      <c r="X91" s="934"/>
      <c r="Y91" s="934"/>
      <c r="Z91" s="934"/>
      <c r="AA91" s="934"/>
      <c r="AB91" s="934"/>
      <c r="AC91" s="934"/>
      <c r="AD91" s="934"/>
      <c r="AE91" s="934"/>
      <c r="AF91" s="934"/>
      <c r="AG91" s="934"/>
      <c r="AH91" s="934"/>
      <c r="AI91" s="934"/>
      <c r="AJ91" s="934"/>
      <c r="AK91" s="934"/>
      <c r="AL91" s="934"/>
      <c r="AM91" s="1107"/>
      <c r="AN91" s="934"/>
      <c r="AO91" s="934"/>
      <c r="AP91" s="934"/>
      <c r="AQ91" s="934"/>
      <c r="AR91" s="934"/>
      <c r="AS91" s="934"/>
      <c r="AT91" s="934"/>
      <c r="AU91" s="1272" t="e">
        <f t="shared" ca="1" si="3"/>
        <v>#VALUE!</v>
      </c>
      <c r="AV91" s="934"/>
      <c r="AW91" s="934"/>
      <c r="AX91" s="1393"/>
      <c r="AY91" s="934"/>
      <c r="AZ91" s="934"/>
    </row>
    <row r="92" spans="1:52" s="1391" customFormat="1" ht="14.5" hidden="1" thickTop="1" x14ac:dyDescent="0.3">
      <c r="A92" s="934"/>
      <c r="B92" s="1396"/>
      <c r="C92" s="1107"/>
      <c r="D92" s="934"/>
      <c r="E92" s="934"/>
      <c r="F92" s="934"/>
      <c r="G92" s="934"/>
      <c r="H92" s="934"/>
      <c r="I92" s="934"/>
      <c r="J92" s="934"/>
      <c r="K92" s="934"/>
      <c r="L92" s="934"/>
      <c r="M92" s="1272"/>
      <c r="N92" s="1124"/>
      <c r="O92" s="1124" t="s">
        <v>208</v>
      </c>
      <c r="P92" s="1124"/>
      <c r="Q92" s="1124"/>
      <c r="R92" s="1124">
        <f>IF(M8='Administration (2)'!C12,'Rates (2)'!K76,0)</f>
        <v>3000</v>
      </c>
      <c r="S92" s="1124"/>
      <c r="T92" s="1124"/>
      <c r="U92" s="934"/>
      <c r="V92" s="934"/>
      <c r="W92" s="934"/>
      <c r="X92" s="934"/>
      <c r="Y92" s="934"/>
      <c r="Z92" s="934"/>
      <c r="AA92" s="934"/>
      <c r="AB92" s="934"/>
      <c r="AC92" s="934"/>
      <c r="AD92" s="934"/>
      <c r="AE92" s="934"/>
      <c r="AF92" s="934"/>
      <c r="AG92" s="934"/>
      <c r="AH92" s="934"/>
      <c r="AI92" s="934"/>
      <c r="AJ92" s="934"/>
      <c r="AK92" s="934"/>
      <c r="AL92" s="934"/>
      <c r="AM92" s="1107"/>
      <c r="AN92" s="934"/>
      <c r="AO92" s="934"/>
      <c r="AP92" s="934"/>
      <c r="AQ92" s="934"/>
      <c r="AR92" s="934"/>
      <c r="AS92" s="934"/>
      <c r="AT92" s="934"/>
      <c r="AU92" s="1272" t="e">
        <f t="shared" ca="1" si="3"/>
        <v>#VALUE!</v>
      </c>
      <c r="AV92" s="934"/>
      <c r="AW92" s="934"/>
      <c r="AX92" s="1393"/>
      <c r="AY92" s="934"/>
      <c r="AZ92" s="934"/>
    </row>
    <row r="93" spans="1:52" s="1391" customFormat="1" ht="14.5" hidden="1" thickTop="1" x14ac:dyDescent="0.3">
      <c r="A93" s="934"/>
      <c r="B93" s="1396"/>
      <c r="C93" s="1107"/>
      <c r="D93" s="934"/>
      <c r="E93" s="934"/>
      <c r="F93" s="934"/>
      <c r="G93" s="934"/>
      <c r="H93" s="934"/>
      <c r="I93" s="934"/>
      <c r="J93" s="934"/>
      <c r="K93" s="934"/>
      <c r="L93" s="934"/>
      <c r="M93" s="1272"/>
      <c r="N93" s="1124"/>
      <c r="O93" s="1219" t="s">
        <v>264</v>
      </c>
      <c r="P93" s="1124"/>
      <c r="Q93" s="1124"/>
      <c r="R93" s="1397">
        <f ca="1">R82+SUM(R84:R92)+R97</f>
        <v>3000</v>
      </c>
      <c r="S93" s="1124"/>
      <c r="T93" s="1124"/>
      <c r="U93" s="934"/>
      <c r="V93" s="934"/>
      <c r="W93" s="934"/>
      <c r="X93" s="934"/>
      <c r="Y93" s="934"/>
      <c r="Z93" s="934"/>
      <c r="AA93" s="934"/>
      <c r="AB93" s="934"/>
      <c r="AC93" s="934"/>
      <c r="AD93" s="934"/>
      <c r="AE93" s="934"/>
      <c r="AF93" s="934"/>
      <c r="AG93" s="934"/>
      <c r="AH93" s="934"/>
      <c r="AI93" s="934"/>
      <c r="AJ93" s="934"/>
      <c r="AK93" s="934"/>
      <c r="AL93" s="934"/>
      <c r="AM93" s="1107"/>
      <c r="AN93" s="934"/>
      <c r="AO93" s="934"/>
      <c r="AP93" s="934"/>
      <c r="AQ93" s="934"/>
      <c r="AR93" s="934"/>
      <c r="AS93" s="934"/>
      <c r="AT93" s="934"/>
      <c r="AU93" s="1272" t="e">
        <f t="shared" ca="1" si="3"/>
        <v>#VALUE!</v>
      </c>
      <c r="AV93" s="934"/>
      <c r="AW93" s="934"/>
      <c r="AX93" s="1393"/>
      <c r="AY93" s="934"/>
      <c r="AZ93" s="934"/>
    </row>
    <row r="94" spans="1:52" s="1391" customFormat="1" ht="14.5" hidden="1" thickTop="1" x14ac:dyDescent="0.3">
      <c r="A94" s="934"/>
      <c r="B94" s="1396"/>
      <c r="C94" s="1107"/>
      <c r="D94" s="934"/>
      <c r="E94" s="934"/>
      <c r="F94" s="934"/>
      <c r="G94" s="934"/>
      <c r="H94" s="934"/>
      <c r="I94" s="934"/>
      <c r="J94" s="934"/>
      <c r="K94" s="934"/>
      <c r="L94" s="934"/>
      <c r="M94" s="1272"/>
      <c r="N94" s="1124"/>
      <c r="O94" s="1124"/>
      <c r="P94" s="1124"/>
      <c r="Q94" s="1124"/>
      <c r="R94" s="1124">
        <f ca="1">IF(AND(I18&gt;R93,I18&lt;H15/2),I18,R93)</f>
        <v>3000</v>
      </c>
      <c r="S94" s="1124"/>
      <c r="T94" s="1124"/>
      <c r="U94" s="934"/>
      <c r="V94" s="934"/>
      <c r="W94" s="934"/>
      <c r="X94" s="934"/>
      <c r="Y94" s="934"/>
      <c r="Z94" s="934"/>
      <c r="AA94" s="934"/>
      <c r="AB94" s="934"/>
      <c r="AC94" s="934"/>
      <c r="AD94" s="934"/>
      <c r="AE94" s="934"/>
      <c r="AF94" s="934"/>
      <c r="AG94" s="934"/>
      <c r="AH94" s="934"/>
      <c r="AI94" s="934"/>
      <c r="AJ94" s="934"/>
      <c r="AK94" s="934"/>
      <c r="AL94" s="934"/>
      <c r="AM94" s="1107"/>
      <c r="AN94" s="934"/>
      <c r="AO94" s="934"/>
      <c r="AP94" s="934"/>
      <c r="AQ94" s="934"/>
      <c r="AR94" s="934"/>
      <c r="AS94" s="934"/>
      <c r="AT94" s="934"/>
      <c r="AU94" s="934" t="e">
        <f t="shared" ca="1" si="3"/>
        <v>#VALUE!</v>
      </c>
      <c r="AV94" s="934"/>
      <c r="AW94" s="934"/>
      <c r="AX94" s="1393"/>
      <c r="AY94" s="934"/>
      <c r="AZ94" s="934"/>
    </row>
    <row r="95" spans="1:52" s="1391" customFormat="1" ht="14.5" hidden="1" thickTop="1" x14ac:dyDescent="0.3">
      <c r="A95" s="934"/>
      <c r="B95" s="1396"/>
      <c r="D95" s="934"/>
      <c r="E95" s="934"/>
      <c r="F95" s="1243" t="s">
        <v>391</v>
      </c>
      <c r="G95" s="934"/>
      <c r="H95" s="934"/>
      <c r="I95" s="934"/>
      <c r="J95" s="934"/>
      <c r="K95" s="934"/>
      <c r="L95" s="934"/>
      <c r="M95" s="1272"/>
      <c r="N95" s="1124"/>
      <c r="O95" s="1124"/>
      <c r="P95" s="1124"/>
      <c r="Q95" s="1124"/>
      <c r="R95" s="1124"/>
      <c r="S95" s="1124"/>
      <c r="T95" s="1124"/>
      <c r="U95" s="934"/>
      <c r="V95" s="934"/>
      <c r="W95" s="934"/>
      <c r="X95" s="934"/>
      <c r="Y95" s="934"/>
      <c r="Z95" s="934"/>
      <c r="AA95" s="934"/>
      <c r="AB95" s="934"/>
      <c r="AC95" s="934"/>
      <c r="AD95" s="934"/>
      <c r="AE95" s="934"/>
      <c r="AF95" s="934"/>
      <c r="AG95" s="934"/>
      <c r="AH95" s="934"/>
      <c r="AI95" s="934"/>
      <c r="AJ95" s="934"/>
      <c r="AK95" s="934"/>
      <c r="AL95" s="934"/>
      <c r="AM95" s="1107"/>
      <c r="AN95" s="934"/>
      <c r="AO95" s="934"/>
      <c r="AP95" s="934"/>
      <c r="AQ95" s="934"/>
      <c r="AR95" s="934"/>
      <c r="AS95" s="934"/>
      <c r="AT95" s="934"/>
      <c r="AU95" s="934" t="e">
        <f t="shared" ca="1" si="3"/>
        <v>#VALUE!</v>
      </c>
      <c r="AV95" s="934"/>
      <c r="AW95" s="934"/>
      <c r="AX95" s="1393"/>
      <c r="AY95" s="934"/>
      <c r="AZ95" s="934"/>
    </row>
    <row r="96" spans="1:52" s="1391" customFormat="1" ht="20.149999999999999" hidden="1" customHeight="1" x14ac:dyDescent="0.3">
      <c r="A96" s="934"/>
      <c r="B96" s="1396"/>
      <c r="D96" s="934"/>
      <c r="E96" s="934"/>
      <c r="F96" s="1398" t="str">
        <f>'Administration (2)'!J6</f>
        <v>Abans Finance PLC</v>
      </c>
      <c r="G96" s="934"/>
      <c r="H96" s="934"/>
      <c r="I96" s="934"/>
      <c r="J96" s="934"/>
      <c r="K96" s="934"/>
      <c r="L96" s="1107"/>
      <c r="M96" s="1399" t="s">
        <v>230</v>
      </c>
      <c r="N96" s="1124" t="s">
        <v>265</v>
      </c>
      <c r="O96" s="1124"/>
      <c r="P96" s="1124"/>
      <c r="Q96" s="1124"/>
      <c r="R96" s="1644" t="str">
        <f>IF(X43&gt;0,MAX(H30*'Rates (2)'!K68%,'Rates (2)'!L68),"")</f>
        <v/>
      </c>
      <c r="S96" s="1644"/>
      <c r="T96" s="1644"/>
      <c r="U96" s="934"/>
      <c r="V96" s="934"/>
      <c r="W96" s="934"/>
      <c r="X96" s="934"/>
      <c r="Y96" s="934"/>
      <c r="Z96" s="934"/>
      <c r="AA96" s="934"/>
      <c r="AB96" s="934"/>
      <c r="AC96" s="934"/>
      <c r="AD96" s="934"/>
      <c r="AE96" s="934"/>
      <c r="AF96" s="934"/>
      <c r="AG96" s="934"/>
      <c r="AH96" s="934"/>
      <c r="AI96" s="934"/>
      <c r="AJ96" s="934"/>
      <c r="AK96" s="934"/>
      <c r="AL96" s="934"/>
      <c r="AM96" s="1107"/>
      <c r="AN96" s="934"/>
      <c r="AO96" s="934"/>
      <c r="AP96" s="934"/>
      <c r="AQ96" s="934"/>
      <c r="AR96" s="934"/>
      <c r="AS96" s="934"/>
      <c r="AT96" s="934"/>
      <c r="AU96" s="934" t="e">
        <f t="shared" ca="1" si="3"/>
        <v>#VALUE!</v>
      </c>
      <c r="AV96" s="934"/>
      <c r="AW96" s="934"/>
      <c r="AX96" s="1393"/>
      <c r="AY96" s="934"/>
      <c r="AZ96" s="934"/>
    </row>
    <row r="97" spans="1:52" s="1391" customFormat="1" ht="20.149999999999999" hidden="1" customHeight="1" x14ac:dyDescent="0.3">
      <c r="A97" s="934"/>
      <c r="B97" s="1396"/>
      <c r="D97" s="934"/>
      <c r="E97" s="934"/>
      <c r="F97" s="1398" t="str">
        <f>'Administration (2)'!J7</f>
        <v>Alliance Finance Co. PLC</v>
      </c>
      <c r="G97" s="934"/>
      <c r="H97" s="934"/>
      <c r="I97" s="934"/>
      <c r="J97" s="934"/>
      <c r="K97" s="934"/>
      <c r="L97" s="1107"/>
      <c r="M97" s="1272"/>
      <c r="N97" s="1124"/>
      <c r="O97" s="1124" t="s">
        <v>223</v>
      </c>
      <c r="P97" s="1124"/>
      <c r="Q97" s="1124"/>
      <c r="R97" s="1400">
        <f>I22</f>
        <v>0</v>
      </c>
      <c r="S97" s="1124"/>
      <c r="T97" s="1124"/>
      <c r="U97" s="934"/>
      <c r="V97" s="934"/>
      <c r="W97" s="934"/>
      <c r="X97" s="934"/>
      <c r="Y97" s="934"/>
      <c r="Z97" s="934"/>
      <c r="AA97" s="934"/>
      <c r="AB97" s="934"/>
      <c r="AC97" s="934"/>
      <c r="AD97" s="934"/>
      <c r="AE97" s="934"/>
      <c r="AF97" s="934"/>
      <c r="AG97" s="934"/>
      <c r="AH97" s="934"/>
      <c r="AI97" s="934"/>
      <c r="AJ97" s="934"/>
      <c r="AK97" s="934"/>
      <c r="AL97" s="934"/>
      <c r="AM97" s="1107"/>
      <c r="AN97" s="934"/>
      <c r="AO97" s="934"/>
      <c r="AP97" s="934"/>
      <c r="AQ97" s="934"/>
      <c r="AR97" s="934"/>
      <c r="AS97" s="934"/>
      <c r="AT97" s="934"/>
      <c r="AU97" s="934" t="e">
        <f t="shared" ca="1" si="3"/>
        <v>#VALUE!</v>
      </c>
      <c r="AV97" s="934"/>
      <c r="AW97" s="934"/>
      <c r="AX97" s="1393"/>
      <c r="AY97" s="934"/>
      <c r="AZ97" s="934"/>
    </row>
    <row r="98" spans="1:52" s="1391" customFormat="1" ht="20.149999999999999" hidden="1" customHeight="1" x14ac:dyDescent="0.3">
      <c r="A98" s="934"/>
      <c r="B98" s="1396"/>
      <c r="D98" s="934"/>
      <c r="E98" s="934"/>
      <c r="F98" s="1398" t="str">
        <f>'Administration (2)'!J8</f>
        <v>Asia Asset Finance Ltd</v>
      </c>
      <c r="G98" s="934"/>
      <c r="H98" s="934"/>
      <c r="I98" s="934"/>
      <c r="J98" s="934"/>
      <c r="K98" s="934"/>
      <c r="L98" s="934"/>
      <c r="M98" s="934"/>
      <c r="N98" s="934"/>
      <c r="O98" s="934" t="s">
        <v>221</v>
      </c>
      <c r="P98" s="1107"/>
      <c r="Q98" s="934"/>
      <c r="R98" s="934">
        <f ca="1">IF(OR(C39=1,M39&gt;0),'Rates (2)'!K63,0)</f>
        <v>0</v>
      </c>
      <c r="S98" s="934"/>
      <c r="T98" s="934"/>
      <c r="U98" s="934"/>
      <c r="V98" s="934"/>
      <c r="W98" s="934"/>
      <c r="X98" s="934"/>
      <c r="Y98" s="934"/>
      <c r="Z98" s="934"/>
      <c r="AA98" s="934"/>
      <c r="AB98" s="934"/>
      <c r="AC98" s="934"/>
      <c r="AD98" s="934"/>
      <c r="AE98" s="934"/>
      <c r="AF98" s="934"/>
      <c r="AG98" s="934"/>
      <c r="AH98" s="934"/>
      <c r="AI98" s="934"/>
      <c r="AJ98" s="934"/>
      <c r="AK98" s="934"/>
      <c r="AL98" s="934"/>
      <c r="AM98" s="1107"/>
      <c r="AN98" s="934"/>
      <c r="AO98" s="934"/>
      <c r="AP98" s="934"/>
      <c r="AQ98" s="934"/>
      <c r="AR98" s="934"/>
      <c r="AS98" s="934"/>
      <c r="AT98" s="934"/>
      <c r="AU98" s="934" t="e">
        <f t="shared" ca="1" si="3"/>
        <v>#VALUE!</v>
      </c>
      <c r="AV98" s="934"/>
      <c r="AW98" s="934"/>
      <c r="AX98" s="1393"/>
      <c r="AY98" s="934"/>
      <c r="AZ98" s="934"/>
    </row>
    <row r="99" spans="1:52" s="1391" customFormat="1" ht="20.149999999999999" hidden="1" customHeight="1" x14ac:dyDescent="0.3">
      <c r="A99" s="934"/>
      <c r="B99" s="1396"/>
      <c r="D99" s="934"/>
      <c r="E99" s="934"/>
      <c r="F99" s="1398" t="str">
        <f>'Administration (2)'!J9</f>
        <v>Assetline Leasing Co Ltd</v>
      </c>
      <c r="G99" s="934"/>
      <c r="H99" s="934"/>
      <c r="I99" s="934"/>
      <c r="J99" s="934"/>
      <c r="K99" s="934"/>
      <c r="L99" s="934"/>
      <c r="M99" s="934"/>
      <c r="N99" s="934"/>
      <c r="O99" s="934" t="s">
        <v>222</v>
      </c>
      <c r="P99" s="1107"/>
      <c r="Q99" s="934"/>
      <c r="R99" s="934">
        <f>IF(OR(H54&gt;0,M54&gt;0),'Rates (2)'!K64,0)</f>
        <v>2500</v>
      </c>
      <c r="S99" s="934"/>
      <c r="T99" s="934"/>
      <c r="U99" s="934"/>
      <c r="V99" s="934"/>
      <c r="W99" s="934"/>
      <c r="X99" s="934"/>
      <c r="Y99" s="934"/>
      <c r="Z99" s="934"/>
      <c r="AA99" s="934"/>
      <c r="AB99" s="934"/>
      <c r="AC99" s="934"/>
      <c r="AD99" s="934"/>
      <c r="AE99" s="934"/>
      <c r="AF99" s="934"/>
      <c r="AG99" s="934"/>
      <c r="AH99" s="934"/>
      <c r="AI99" s="934"/>
      <c r="AJ99" s="934"/>
      <c r="AK99" s="934"/>
      <c r="AL99" s="934"/>
      <c r="AM99" s="1107"/>
      <c r="AN99" s="934"/>
      <c r="AO99" s="934"/>
      <c r="AP99" s="934"/>
      <c r="AQ99" s="934"/>
      <c r="AR99" s="934"/>
      <c r="AS99" s="934"/>
      <c r="AT99" s="934"/>
      <c r="AU99" s="934" t="e">
        <f t="shared" ca="1" si="3"/>
        <v>#VALUE!</v>
      </c>
      <c r="AV99" s="934"/>
      <c r="AW99" s="934"/>
      <c r="AX99" s="1393"/>
      <c r="AY99" s="934"/>
      <c r="AZ99" s="934"/>
    </row>
    <row r="100" spans="1:52" s="1391" customFormat="1" ht="20.149999999999999" hidden="1" customHeight="1" x14ac:dyDescent="0.3">
      <c r="A100" s="934"/>
      <c r="B100" s="1396"/>
      <c r="D100" s="934"/>
      <c r="E100" s="934"/>
      <c r="F100" s="1398" t="str">
        <f>'Administration (2)'!J10</f>
        <v>Arpico Finance PLC</v>
      </c>
      <c r="G100" s="934"/>
      <c r="H100" s="934"/>
      <c r="I100" s="934"/>
      <c r="J100" s="934"/>
      <c r="K100" s="934"/>
      <c r="L100" s="934"/>
      <c r="M100" s="934"/>
      <c r="N100" s="934"/>
      <c r="O100" s="934" t="s">
        <v>224</v>
      </c>
      <c r="P100" s="1107"/>
      <c r="Q100" s="934"/>
      <c r="R100" s="934">
        <f ca="1">IF(OR(U57=1,M46&gt;0),'Rates (2)'!K65,0)</f>
        <v>0</v>
      </c>
      <c r="S100" s="934"/>
      <c r="T100" s="934"/>
      <c r="U100" s="934"/>
      <c r="V100" s="934"/>
      <c r="W100" s="934"/>
      <c r="X100" s="934"/>
      <c r="Y100" s="934"/>
      <c r="Z100" s="934"/>
      <c r="AA100" s="934"/>
      <c r="AB100" s="934"/>
      <c r="AC100" s="934"/>
      <c r="AD100" s="934"/>
      <c r="AE100" s="934"/>
      <c r="AF100" s="934"/>
      <c r="AG100" s="934"/>
      <c r="AH100" s="934"/>
      <c r="AI100" s="934"/>
      <c r="AJ100" s="934"/>
      <c r="AK100" s="934"/>
      <c r="AL100" s="934"/>
      <c r="AM100" s="1107"/>
      <c r="AN100" s="934"/>
      <c r="AO100" s="934"/>
      <c r="AP100" s="934"/>
      <c r="AQ100" s="934"/>
      <c r="AR100" s="934"/>
      <c r="AS100" s="934"/>
      <c r="AT100" s="934"/>
      <c r="AU100" s="934" t="e">
        <f t="shared" ca="1" si="3"/>
        <v>#VALUE!</v>
      </c>
      <c r="AV100" s="934"/>
      <c r="AW100" s="934"/>
      <c r="AX100" s="1393"/>
      <c r="AY100" s="934"/>
      <c r="AZ100" s="934"/>
    </row>
    <row r="101" spans="1:52" s="1391" customFormat="1" ht="20.149999999999999" hidden="1" customHeight="1" x14ac:dyDescent="0.3">
      <c r="A101" s="934"/>
      <c r="B101" s="1396"/>
      <c r="D101" s="934"/>
      <c r="E101" s="934"/>
      <c r="F101" s="1398" t="str">
        <f>'Administration (2)'!J11</f>
        <v>Bank of Ceylon</v>
      </c>
      <c r="G101" s="934"/>
      <c r="H101" s="934"/>
      <c r="I101" s="934"/>
      <c r="J101" s="934"/>
      <c r="K101" s="934"/>
      <c r="L101" s="934"/>
      <c r="M101" s="934"/>
      <c r="N101" s="934"/>
      <c r="O101" s="934"/>
      <c r="P101" s="1107"/>
      <c r="Q101" s="934"/>
      <c r="R101" s="934"/>
      <c r="S101" s="934"/>
      <c r="T101" s="934"/>
      <c r="U101" s="934"/>
      <c r="V101" s="934"/>
      <c r="W101" s="934"/>
      <c r="X101" s="934"/>
      <c r="Y101" s="934"/>
      <c r="Z101" s="934"/>
      <c r="AA101" s="934"/>
      <c r="AB101" s="934"/>
      <c r="AC101" s="934"/>
      <c r="AD101" s="934"/>
      <c r="AE101" s="934"/>
      <c r="AF101" s="934"/>
      <c r="AG101" s="934"/>
      <c r="AH101" s="934"/>
      <c r="AI101" s="934"/>
      <c r="AJ101" s="934"/>
      <c r="AK101" s="934"/>
      <c r="AL101" s="934"/>
      <c r="AM101" s="1107"/>
      <c r="AN101" s="934"/>
      <c r="AO101" s="934"/>
      <c r="AP101" s="934"/>
      <c r="AQ101" s="934"/>
      <c r="AR101" s="934"/>
      <c r="AS101" s="934"/>
      <c r="AT101" s="934"/>
      <c r="AU101" s="934" t="e">
        <f t="shared" ca="1" si="3"/>
        <v>#VALUE!</v>
      </c>
      <c r="AV101" s="934"/>
      <c r="AW101" s="934"/>
      <c r="AX101" s="1393"/>
      <c r="AY101" s="934"/>
      <c r="AZ101" s="934"/>
    </row>
    <row r="102" spans="1:52" s="1391" customFormat="1" ht="20.149999999999999" hidden="1" customHeight="1" x14ac:dyDescent="0.3">
      <c r="A102" s="934"/>
      <c r="B102" s="1396"/>
      <c r="D102" s="934"/>
      <c r="E102" s="934"/>
      <c r="F102" s="1398" t="str">
        <f>'Administration (2)'!J12</f>
        <v>Citizens Development Business Finance PLC</v>
      </c>
      <c r="G102" s="934"/>
      <c r="H102" s="934"/>
      <c r="I102" s="934"/>
      <c r="J102" s="934"/>
      <c r="K102" s="934"/>
      <c r="L102" s="934"/>
      <c r="M102" s="934"/>
      <c r="N102" s="934"/>
      <c r="O102" s="934"/>
      <c r="P102" s="1107"/>
      <c r="Q102" s="934"/>
      <c r="R102" s="934"/>
      <c r="S102" s="934"/>
      <c r="T102" s="934"/>
      <c r="U102" s="934"/>
      <c r="V102" s="934"/>
      <c r="W102" s="934"/>
      <c r="X102" s="934"/>
      <c r="Y102" s="934"/>
      <c r="Z102" s="934"/>
      <c r="AA102" s="934"/>
      <c r="AB102" s="934"/>
      <c r="AC102" s="934"/>
      <c r="AD102" s="934"/>
      <c r="AE102" s="934"/>
      <c r="AF102" s="934"/>
      <c r="AG102" s="934"/>
      <c r="AH102" s="934"/>
      <c r="AI102" s="934"/>
      <c r="AJ102" s="934"/>
      <c r="AK102" s="934"/>
      <c r="AL102" s="934"/>
      <c r="AM102" s="1107"/>
      <c r="AN102" s="934"/>
      <c r="AO102" s="934"/>
      <c r="AP102" s="934"/>
      <c r="AQ102" s="934"/>
      <c r="AR102" s="934"/>
      <c r="AS102" s="934"/>
      <c r="AT102" s="934"/>
      <c r="AU102" s="934" t="e">
        <f t="shared" ca="1" si="3"/>
        <v>#VALUE!</v>
      </c>
      <c r="AV102" s="934"/>
      <c r="AW102" s="934"/>
      <c r="AX102" s="1393"/>
      <c r="AY102" s="934"/>
      <c r="AZ102" s="934"/>
    </row>
    <row r="103" spans="1:52" s="1391" customFormat="1" ht="20.149999999999999" hidden="1" customHeight="1" x14ac:dyDescent="0.3">
      <c r="A103" s="934"/>
      <c r="B103" s="1396"/>
      <c r="D103" s="935"/>
      <c r="E103" s="935"/>
      <c r="F103" s="1398" t="str">
        <f>'Administration (2)'!J13</f>
        <v>Commercial Credit PLC</v>
      </c>
      <c r="G103" s="935"/>
      <c r="H103" s="935"/>
      <c r="I103" s="935"/>
      <c r="J103" s="935"/>
      <c r="K103" s="934"/>
      <c r="L103" s="934"/>
      <c r="M103" s="934"/>
      <c r="N103" s="934"/>
      <c r="O103" s="934"/>
      <c r="P103" s="1107"/>
      <c r="Q103" s="934"/>
      <c r="R103" s="934"/>
      <c r="S103" s="934"/>
      <c r="T103" s="934"/>
      <c r="U103" s="934"/>
      <c r="V103" s="934"/>
      <c r="W103" s="934"/>
      <c r="X103" s="934"/>
      <c r="Y103" s="934"/>
      <c r="Z103" s="934"/>
      <c r="AA103" s="934"/>
      <c r="AB103" s="934"/>
      <c r="AC103" s="934"/>
      <c r="AD103" s="934"/>
      <c r="AE103" s="934"/>
      <c r="AF103" s="934"/>
      <c r="AG103" s="934"/>
      <c r="AH103" s="934"/>
      <c r="AI103" s="934"/>
      <c r="AJ103" s="934"/>
      <c r="AK103" s="934"/>
      <c r="AL103" s="934"/>
      <c r="AM103" s="1107"/>
      <c r="AN103" s="934"/>
      <c r="AO103" s="934"/>
      <c r="AP103" s="934"/>
      <c r="AQ103" s="934"/>
      <c r="AR103" s="934"/>
      <c r="AS103" s="934"/>
      <c r="AT103" s="934"/>
      <c r="AU103" s="934" t="e">
        <f t="shared" ca="1" si="3"/>
        <v>#VALUE!</v>
      </c>
      <c r="AV103" s="934"/>
      <c r="AW103" s="934"/>
      <c r="AX103" s="1393"/>
      <c r="AY103" s="934"/>
      <c r="AZ103" s="934"/>
    </row>
    <row r="104" spans="1:52" s="1391" customFormat="1" ht="20.149999999999999" hidden="1" customHeight="1" x14ac:dyDescent="0.3">
      <c r="A104" s="934"/>
      <c r="B104" s="1396"/>
      <c r="D104" s="935"/>
      <c r="E104" s="935"/>
      <c r="F104" s="1398" t="str">
        <f>'Administration (2)'!J14</f>
        <v>Commercial Trust Investment (Pvt) Ltd.</v>
      </c>
      <c r="G104" s="935"/>
      <c r="H104" s="935"/>
      <c r="I104" s="935"/>
      <c r="J104" s="935"/>
      <c r="K104" s="935"/>
      <c r="L104" s="935"/>
      <c r="M104" s="1107"/>
      <c r="N104" s="934"/>
      <c r="O104" s="934"/>
      <c r="P104" s="1107"/>
      <c r="Q104" s="934"/>
      <c r="R104" s="934"/>
      <c r="S104" s="934"/>
      <c r="T104" s="934"/>
      <c r="U104" s="934"/>
      <c r="V104" s="934"/>
      <c r="W104" s="934"/>
      <c r="X104" s="934"/>
      <c r="Y104" s="934"/>
      <c r="Z104" s="934"/>
      <c r="AA104" s="934"/>
      <c r="AB104" s="934"/>
      <c r="AC104" s="934"/>
      <c r="AD104" s="934"/>
      <c r="AE104" s="934"/>
      <c r="AF104" s="934"/>
      <c r="AG104" s="934"/>
      <c r="AH104" s="934"/>
      <c r="AI104" s="934"/>
      <c r="AJ104" s="934"/>
      <c r="AK104" s="934"/>
      <c r="AL104" s="934"/>
      <c r="AM104" s="1107"/>
      <c r="AN104" s="934"/>
      <c r="AO104" s="934"/>
      <c r="AP104" s="934"/>
      <c r="AQ104" s="934"/>
      <c r="AR104" s="934"/>
      <c r="AS104" s="934"/>
      <c r="AT104" s="934"/>
      <c r="AU104" s="934" t="e">
        <f t="shared" ca="1" si="3"/>
        <v>#VALUE!</v>
      </c>
      <c r="AV104" s="934"/>
      <c r="AW104" s="934"/>
      <c r="AX104" s="1393"/>
      <c r="AY104" s="934"/>
      <c r="AZ104" s="934"/>
    </row>
    <row r="105" spans="1:52" s="1391" customFormat="1" ht="20.149999999999999" hidden="1" customHeight="1" x14ac:dyDescent="0.3">
      <c r="A105" s="934"/>
      <c r="B105" s="1396"/>
      <c r="D105" s="935"/>
      <c r="E105" s="935"/>
      <c r="F105" s="1398" t="str">
        <f>'Administration (2)'!J15</f>
        <v>David Pieris Leasing</v>
      </c>
      <c r="G105" s="935"/>
      <c r="H105" s="935"/>
      <c r="I105" s="935"/>
      <c r="J105" s="935"/>
      <c r="K105" s="935"/>
      <c r="L105" s="935"/>
      <c r="M105" s="1107"/>
      <c r="N105" s="1107"/>
      <c r="O105" s="1401"/>
      <c r="P105" s="1107"/>
      <c r="Q105" s="934"/>
      <c r="R105" s="934"/>
      <c r="S105" s="934"/>
      <c r="T105" s="934"/>
      <c r="U105" s="934"/>
      <c r="V105" s="934"/>
      <c r="W105" s="934"/>
      <c r="X105" s="934"/>
      <c r="Y105" s="934"/>
      <c r="Z105" s="934"/>
      <c r="AA105" s="934"/>
      <c r="AB105" s="934"/>
      <c r="AC105" s="934"/>
      <c r="AD105" s="934"/>
      <c r="AE105" s="934"/>
      <c r="AF105" s="934"/>
      <c r="AG105" s="934"/>
      <c r="AH105" s="934"/>
      <c r="AI105" s="934"/>
      <c r="AJ105" s="934"/>
      <c r="AM105" s="1107"/>
      <c r="AU105" s="934" t="e">
        <f t="shared" ca="1" si="3"/>
        <v>#VALUE!</v>
      </c>
      <c r="AX105" s="1402"/>
    </row>
    <row r="106" spans="1:52" s="1391" customFormat="1" ht="20.149999999999999" hidden="1" customHeight="1" x14ac:dyDescent="0.3">
      <c r="A106" s="934"/>
      <c r="B106" s="1396"/>
      <c r="D106" s="935"/>
      <c r="E106" s="935"/>
      <c r="F106" s="1398" t="str">
        <f>'Administration (2)'!J16</f>
        <v>Dharmasiri Investments (Pvt) Ltd.</v>
      </c>
      <c r="G106" s="935"/>
      <c r="H106" s="935"/>
      <c r="I106" s="935"/>
      <c r="J106" s="935"/>
      <c r="K106" s="935"/>
      <c r="L106" s="935"/>
      <c r="M106" s="1107"/>
      <c r="N106" s="1107"/>
      <c r="O106" s="1107"/>
      <c r="P106" s="1107"/>
      <c r="Q106" s="934"/>
      <c r="R106" s="934"/>
      <c r="S106" s="934"/>
      <c r="T106" s="934"/>
      <c r="U106" s="934"/>
      <c r="V106" s="934"/>
      <c r="W106" s="934"/>
      <c r="X106" s="934"/>
      <c r="Y106" s="934"/>
      <c r="Z106" s="934"/>
      <c r="AA106" s="934"/>
      <c r="AB106" s="934"/>
      <c r="AC106" s="934"/>
      <c r="AD106" s="934"/>
      <c r="AE106" s="934"/>
      <c r="AF106" s="934"/>
      <c r="AG106" s="934"/>
      <c r="AH106" s="934"/>
      <c r="AI106" s="934"/>
      <c r="AJ106" s="934"/>
      <c r="AM106" s="1107"/>
      <c r="AU106" s="934" t="e">
        <f t="shared" ca="1" si="3"/>
        <v>#VALUE!</v>
      </c>
      <c r="AX106" s="1402"/>
    </row>
    <row r="107" spans="1:52" s="1391" customFormat="1" ht="20.149999999999999" hidden="1" customHeight="1" x14ac:dyDescent="0.3">
      <c r="A107" s="934"/>
      <c r="B107" s="1396"/>
      <c r="D107" s="935"/>
      <c r="E107" s="935"/>
      <c r="F107" s="1398" t="str">
        <f>'Administration (2)'!J17</f>
        <v>Indra Finance Ltd.</v>
      </c>
      <c r="G107" s="935"/>
      <c r="H107" s="935"/>
      <c r="I107" s="935"/>
      <c r="J107" s="935"/>
      <c r="K107" s="935"/>
      <c r="L107" s="935"/>
      <c r="M107" s="1107"/>
      <c r="N107" s="1107"/>
      <c r="O107" s="1107"/>
      <c r="P107" s="1107"/>
      <c r="Q107" s="934"/>
      <c r="R107" s="934"/>
      <c r="S107" s="934"/>
      <c r="T107" s="934"/>
      <c r="U107" s="934"/>
      <c r="V107" s="934"/>
      <c r="W107" s="934"/>
      <c r="X107" s="934"/>
      <c r="Y107" s="934"/>
      <c r="Z107" s="934"/>
      <c r="AA107" s="934"/>
      <c r="AB107" s="934"/>
      <c r="AC107" s="934"/>
      <c r="AD107" s="934"/>
      <c r="AE107" s="934"/>
      <c r="AF107" s="934"/>
      <c r="AG107" s="934"/>
      <c r="AH107" s="934"/>
      <c r="AI107" s="934"/>
      <c r="AJ107" s="934"/>
      <c r="AM107" s="1107"/>
      <c r="AU107" s="934" t="e">
        <f t="shared" ca="1" si="3"/>
        <v>#VALUE!</v>
      </c>
      <c r="AX107" s="1402"/>
    </row>
    <row r="108" spans="1:52" s="1391" customFormat="1" ht="20.149999999999999" hidden="1" customHeight="1" x14ac:dyDescent="0.3">
      <c r="A108" s="934"/>
      <c r="B108" s="1396"/>
      <c r="D108" s="935"/>
      <c r="E108" s="935"/>
      <c r="F108" s="1398" t="str">
        <f>'Administration (2)'!J18</f>
        <v>L B Finance PLC</v>
      </c>
      <c r="G108" s="935"/>
      <c r="H108" s="935"/>
      <c r="I108" s="935"/>
      <c r="J108" s="935"/>
      <c r="K108" s="935"/>
      <c r="L108" s="935"/>
      <c r="M108" s="935"/>
      <c r="N108" s="935"/>
      <c r="O108" s="935"/>
      <c r="Q108" s="934"/>
      <c r="R108" s="934"/>
      <c r="S108" s="934"/>
      <c r="T108" s="934"/>
      <c r="U108" s="934"/>
      <c r="V108" s="934"/>
      <c r="W108" s="934"/>
      <c r="X108" s="934"/>
      <c r="Y108" s="934"/>
      <c r="Z108" s="934"/>
      <c r="AA108" s="934"/>
      <c r="AB108" s="934"/>
      <c r="AC108" s="934"/>
      <c r="AD108" s="934"/>
      <c r="AE108" s="934"/>
      <c r="AF108" s="934"/>
      <c r="AG108" s="934"/>
      <c r="AH108" s="934"/>
      <c r="AI108" s="934"/>
      <c r="AJ108" s="934"/>
      <c r="AM108" s="1107"/>
      <c r="AU108" s="934"/>
      <c r="AX108" s="1402"/>
    </row>
    <row r="109" spans="1:52" s="1391" customFormat="1" ht="20.149999999999999" hidden="1" customHeight="1" x14ac:dyDescent="0.3">
      <c r="A109" s="934"/>
      <c r="B109" s="1396"/>
      <c r="D109" s="935"/>
      <c r="E109" s="935"/>
      <c r="F109" s="1398" t="str">
        <f>'Administration (2)'!J19</f>
        <v>Lanka ORIX Finance PLC</v>
      </c>
      <c r="G109" s="935"/>
      <c r="H109" s="935"/>
      <c r="I109" s="935"/>
      <c r="J109" s="935"/>
      <c r="K109" s="935"/>
      <c r="L109" s="935"/>
      <c r="M109" s="935"/>
      <c r="N109" s="935"/>
      <c r="O109" s="935"/>
      <c r="Q109" s="934"/>
      <c r="R109" s="934"/>
      <c r="S109" s="934"/>
      <c r="T109" s="934"/>
      <c r="U109" s="934"/>
      <c r="V109" s="934"/>
      <c r="W109" s="934"/>
      <c r="X109" s="934"/>
      <c r="Y109" s="934"/>
      <c r="Z109" s="934"/>
      <c r="AA109" s="934"/>
      <c r="AB109" s="934"/>
      <c r="AC109" s="934"/>
      <c r="AD109" s="934"/>
      <c r="AE109" s="934"/>
      <c r="AF109" s="934"/>
      <c r="AG109" s="934"/>
      <c r="AH109" s="934"/>
      <c r="AI109" s="934"/>
      <c r="AJ109" s="934"/>
      <c r="AM109" s="1107"/>
      <c r="AU109" s="934" t="e">
        <f ca="1">AU107+1</f>
        <v>#VALUE!</v>
      </c>
      <c r="AX109" s="1402"/>
    </row>
    <row r="110" spans="1:52" s="1391" customFormat="1" ht="28.5" hidden="1" thickTop="1" x14ac:dyDescent="0.3">
      <c r="A110" s="934"/>
      <c r="B110" s="1396"/>
      <c r="D110" s="935"/>
      <c r="E110" s="935"/>
      <c r="F110" s="1398" t="str">
        <f>'Administration (2)'!J20</f>
        <v>Matara District Capital Co-op Society Ltd</v>
      </c>
      <c r="G110" s="935"/>
      <c r="H110" s="935"/>
      <c r="I110" s="935"/>
      <c r="J110" s="935"/>
      <c r="K110" s="935"/>
      <c r="L110" s="935"/>
      <c r="M110" s="935"/>
      <c r="N110" s="935"/>
      <c r="O110" s="935"/>
      <c r="Q110" s="934"/>
      <c r="R110" s="934"/>
      <c r="S110" s="934"/>
      <c r="T110" s="934"/>
      <c r="U110" s="934"/>
      <c r="V110" s="934"/>
      <c r="W110" s="934"/>
      <c r="X110" s="934"/>
      <c r="Y110" s="934"/>
      <c r="Z110" s="934"/>
      <c r="AA110" s="934"/>
      <c r="AB110" s="934"/>
      <c r="AC110" s="934"/>
      <c r="AD110" s="934"/>
      <c r="AE110" s="934"/>
      <c r="AF110" s="934"/>
      <c r="AG110" s="934"/>
      <c r="AH110" s="934"/>
      <c r="AI110" s="934"/>
      <c r="AJ110" s="934"/>
      <c r="AM110" s="1107"/>
      <c r="AU110" s="934" t="e">
        <f t="shared" ref="AU110:AU154" ca="1" si="4">AU109+1</f>
        <v>#VALUE!</v>
      </c>
      <c r="AX110" s="1402"/>
    </row>
    <row r="111" spans="1:52" s="1391" customFormat="1" ht="28.5" hidden="1" thickTop="1" x14ac:dyDescent="0.3">
      <c r="A111" s="934"/>
      <c r="B111" s="1396"/>
      <c r="D111" s="935"/>
      <c r="E111" s="935"/>
      <c r="F111" s="1398" t="str">
        <f>'Administration (2)'!J21</f>
        <v>Mercantile Investments &amp; Finance PLC</v>
      </c>
      <c r="G111" s="935"/>
      <c r="H111" s="935"/>
      <c r="I111" s="935"/>
      <c r="J111" s="935"/>
      <c r="K111" s="935"/>
      <c r="L111" s="935"/>
      <c r="M111" s="935"/>
      <c r="O111" s="935"/>
      <c r="Q111" s="934"/>
      <c r="R111" s="934"/>
      <c r="S111" s="934"/>
      <c r="T111" s="934"/>
      <c r="U111" s="934"/>
      <c r="V111" s="934"/>
      <c r="W111" s="934"/>
      <c r="X111" s="934"/>
      <c r="Y111" s="934"/>
      <c r="Z111" s="934"/>
      <c r="AA111" s="934"/>
      <c r="AB111" s="934"/>
      <c r="AC111" s="934"/>
      <c r="AD111" s="934"/>
      <c r="AE111" s="934"/>
      <c r="AF111" s="934"/>
      <c r="AG111" s="934"/>
      <c r="AH111" s="934"/>
      <c r="AI111" s="934"/>
      <c r="AJ111" s="934"/>
      <c r="AM111" s="1107"/>
      <c r="AU111" s="934" t="e">
        <f t="shared" ca="1" si="4"/>
        <v>#VALUE!</v>
      </c>
      <c r="AX111" s="1402"/>
    </row>
    <row r="112" spans="1:52" s="1391" customFormat="1" ht="14.5" hidden="1" thickTop="1" x14ac:dyDescent="0.3">
      <c r="A112" s="934"/>
      <c r="B112" s="1396"/>
      <c r="D112" s="935"/>
      <c r="E112" s="935"/>
      <c r="F112" s="1398" t="str">
        <f>'Administration (2)'!J22</f>
        <v>Merchant Bank of Sri Lanka PLC</v>
      </c>
      <c r="G112" s="935"/>
      <c r="H112" s="935"/>
      <c r="I112" s="935"/>
      <c r="J112" s="935"/>
      <c r="K112" s="935"/>
      <c r="L112" s="935"/>
      <c r="M112" s="935"/>
      <c r="O112" s="935"/>
      <c r="Q112" s="934"/>
      <c r="R112" s="934"/>
      <c r="S112" s="934"/>
      <c r="T112" s="934"/>
      <c r="U112" s="934"/>
      <c r="V112" s="934"/>
      <c r="W112" s="934"/>
      <c r="X112" s="934"/>
      <c r="Y112" s="934"/>
      <c r="Z112" s="934"/>
      <c r="AA112" s="934"/>
      <c r="AB112" s="934"/>
      <c r="AC112" s="934"/>
      <c r="AD112" s="934"/>
      <c r="AE112" s="934"/>
      <c r="AF112" s="934"/>
      <c r="AG112" s="934"/>
      <c r="AH112" s="934"/>
      <c r="AI112" s="934"/>
      <c r="AJ112" s="934"/>
      <c r="AM112" s="1107"/>
      <c r="AU112" s="934" t="e">
        <f t="shared" ca="1" si="4"/>
        <v>#VALUE!</v>
      </c>
      <c r="AX112" s="1402"/>
    </row>
    <row r="113" spans="1:50" s="1391" customFormat="1" ht="14.5" hidden="1" thickTop="1" x14ac:dyDescent="0.3">
      <c r="A113" s="934"/>
      <c r="B113" s="1396"/>
      <c r="D113" s="935"/>
      <c r="E113" s="935"/>
      <c r="F113" s="1398" t="str">
        <f>'Administration (2)'!J23</f>
        <v>Merchant Credit of Sri Lanka Ltd</v>
      </c>
      <c r="G113" s="935"/>
      <c r="H113" s="935"/>
      <c r="I113" s="935"/>
      <c r="J113" s="935"/>
      <c r="K113" s="935"/>
      <c r="L113" s="935"/>
      <c r="M113" s="935"/>
      <c r="O113" s="935"/>
      <c r="Q113" s="934"/>
      <c r="R113" s="934"/>
      <c r="S113" s="934"/>
      <c r="T113" s="934"/>
      <c r="U113" s="934"/>
      <c r="V113" s="934"/>
      <c r="W113" s="934"/>
      <c r="X113" s="934"/>
      <c r="Y113" s="934"/>
      <c r="Z113" s="934"/>
      <c r="AA113" s="934"/>
      <c r="AB113" s="934"/>
      <c r="AC113" s="934"/>
      <c r="AD113" s="934"/>
      <c r="AE113" s="934"/>
      <c r="AF113" s="934"/>
      <c r="AG113" s="934"/>
      <c r="AH113" s="934"/>
      <c r="AI113" s="934"/>
      <c r="AJ113" s="934"/>
      <c r="AM113" s="1107"/>
      <c r="AU113" s="934" t="e">
        <f t="shared" ca="1" si="4"/>
        <v>#VALUE!</v>
      </c>
      <c r="AX113" s="1402"/>
    </row>
    <row r="114" spans="1:50" s="1391" customFormat="1" ht="14.5" hidden="1" thickTop="1" x14ac:dyDescent="0.3">
      <c r="A114" s="934"/>
      <c r="B114" s="1396"/>
      <c r="D114" s="935"/>
      <c r="E114" s="935"/>
      <c r="F114" s="1398" t="str">
        <f>'Administration (2)'!J24</f>
        <v>Nations Lanka Finance PLC</v>
      </c>
      <c r="G114" s="935"/>
      <c r="H114" s="935"/>
      <c r="I114" s="935"/>
      <c r="J114" s="935"/>
      <c r="K114" s="935"/>
      <c r="L114" s="935"/>
      <c r="M114" s="935"/>
      <c r="O114" s="935"/>
      <c r="Q114" s="934"/>
      <c r="R114" s="934"/>
      <c r="S114" s="934"/>
      <c r="T114" s="934"/>
      <c r="U114" s="934"/>
      <c r="V114" s="934"/>
      <c r="W114" s="934"/>
      <c r="X114" s="934"/>
      <c r="Y114" s="934"/>
      <c r="Z114" s="934"/>
      <c r="AA114" s="934"/>
      <c r="AB114" s="934"/>
      <c r="AC114" s="934"/>
      <c r="AD114" s="934"/>
      <c r="AE114" s="934"/>
      <c r="AF114" s="934"/>
      <c r="AG114" s="934"/>
      <c r="AH114" s="934"/>
      <c r="AI114" s="934"/>
      <c r="AJ114" s="934"/>
      <c r="AM114" s="1107"/>
      <c r="AU114" s="934" t="e">
        <f t="shared" ca="1" si="4"/>
        <v>#VALUE!</v>
      </c>
      <c r="AX114" s="1402"/>
    </row>
    <row r="115" spans="1:50" s="1391" customFormat="1" ht="14.5" hidden="1" thickTop="1" x14ac:dyDescent="0.3">
      <c r="A115" s="934"/>
      <c r="B115" s="1396"/>
      <c r="D115" s="935"/>
      <c r="E115" s="935"/>
      <c r="F115" s="1398" t="str">
        <f>'Administration (2)'!J25</f>
        <v>Omek Investments</v>
      </c>
      <c r="G115" s="935"/>
      <c r="H115" s="935"/>
      <c r="I115" s="935"/>
      <c r="J115" s="935"/>
      <c r="K115" s="935"/>
      <c r="L115" s="935"/>
      <c r="M115" s="935"/>
      <c r="O115" s="935"/>
      <c r="Q115" s="1107"/>
      <c r="AJ115" s="934"/>
      <c r="AM115" s="1107"/>
      <c r="AU115" s="934" t="e">
        <f t="shared" ca="1" si="4"/>
        <v>#VALUE!</v>
      </c>
      <c r="AX115" s="1402"/>
    </row>
    <row r="116" spans="1:50" s="1391" customFormat="1" ht="14.5" hidden="1" thickTop="1" x14ac:dyDescent="0.3">
      <c r="A116" s="934"/>
      <c r="B116" s="1396"/>
      <c r="D116" s="935"/>
      <c r="E116" s="935"/>
      <c r="F116" s="1398" t="str">
        <f>'Administration (2)'!J26</f>
        <v>People's Leasing Company PLC</v>
      </c>
      <c r="G116" s="935"/>
      <c r="H116" s="935"/>
      <c r="I116" s="935"/>
      <c r="J116" s="935"/>
      <c r="K116" s="935"/>
      <c r="L116" s="935"/>
      <c r="M116" s="935"/>
      <c r="O116" s="935"/>
      <c r="Q116" s="1107"/>
      <c r="AJ116" s="934"/>
      <c r="AM116" s="1107"/>
      <c r="AU116" s="934" t="e">
        <f t="shared" ca="1" si="4"/>
        <v>#VALUE!</v>
      </c>
      <c r="AX116" s="1402"/>
    </row>
    <row r="117" spans="1:50" s="1391" customFormat="1" ht="14.5" hidden="1" thickTop="1" x14ac:dyDescent="0.3">
      <c r="A117" s="934"/>
      <c r="B117" s="1396"/>
      <c r="D117" s="935"/>
      <c r="E117" s="935"/>
      <c r="F117" s="1398" t="str">
        <f>'Administration (2)'!J27</f>
        <v>Singer Finance (Lanka) PLC</v>
      </c>
      <c r="G117" s="935"/>
      <c r="H117" s="935"/>
      <c r="I117" s="935"/>
      <c r="J117" s="935"/>
      <c r="K117" s="935"/>
      <c r="L117" s="935"/>
      <c r="M117" s="935"/>
      <c r="O117" s="935"/>
      <c r="Q117" s="1107"/>
      <c r="AJ117" s="934"/>
      <c r="AM117" s="1107"/>
      <c r="AU117" s="934" t="e">
        <f t="shared" ca="1" si="4"/>
        <v>#VALUE!</v>
      </c>
      <c r="AX117" s="1402"/>
    </row>
    <row r="118" spans="1:50" s="1391" customFormat="1" ht="14.5" hidden="1" thickTop="1" x14ac:dyDescent="0.3">
      <c r="A118" s="934"/>
      <c r="B118" s="1396"/>
      <c r="D118" s="935"/>
      <c r="E118" s="935"/>
      <c r="F118" s="1398" t="str">
        <f>'Administration (2)'!J28</f>
        <v>SN Finance</v>
      </c>
      <c r="G118" s="935"/>
      <c r="H118" s="935"/>
      <c r="I118" s="935"/>
      <c r="J118" s="935"/>
      <c r="K118" s="935"/>
      <c r="L118" s="935"/>
      <c r="M118" s="935"/>
      <c r="O118" s="935"/>
      <c r="Q118" s="1107"/>
      <c r="AJ118" s="934"/>
      <c r="AM118" s="1107"/>
      <c r="AU118" s="934" t="e">
        <f t="shared" ca="1" si="4"/>
        <v>#VALUE!</v>
      </c>
      <c r="AX118" s="1402"/>
    </row>
    <row r="119" spans="1:50" s="1391" customFormat="1" ht="14.5" hidden="1" thickTop="1" x14ac:dyDescent="0.3">
      <c r="A119" s="934"/>
      <c r="B119" s="1396"/>
      <c r="F119" s="1398" t="str">
        <f>'Administration (2)'!J29</f>
        <v>Softlogic Finance PLC</v>
      </c>
      <c r="O119" s="935"/>
      <c r="Q119" s="1107"/>
      <c r="AJ119" s="934"/>
      <c r="AM119" s="1107"/>
      <c r="AU119" s="934" t="e">
        <f t="shared" ca="1" si="4"/>
        <v>#VALUE!</v>
      </c>
      <c r="AX119" s="1402"/>
    </row>
    <row r="120" spans="1:50" s="1391" customFormat="1" ht="14.5" hidden="1" thickTop="1" x14ac:dyDescent="0.3">
      <c r="A120" s="934"/>
      <c r="B120" s="1396"/>
      <c r="F120" s="1398" t="str">
        <f>'Administration (2)'!J30</f>
        <v>Thamalu Enterprises</v>
      </c>
      <c r="O120" s="935"/>
      <c r="Q120" s="1107"/>
      <c r="AJ120" s="934"/>
      <c r="AM120" s="1107"/>
      <c r="AU120" s="934" t="e">
        <f t="shared" ca="1" si="4"/>
        <v>#VALUE!</v>
      </c>
      <c r="AX120" s="1402"/>
    </row>
    <row r="121" spans="1:50" s="1391" customFormat="1" ht="14.5" hidden="1" thickTop="1" x14ac:dyDescent="0.3">
      <c r="A121" s="934"/>
      <c r="B121" s="1396"/>
      <c r="F121" s="1398" t="str">
        <f>'Administration (2)'!J31</f>
        <v>Trade Finance</v>
      </c>
      <c r="O121" s="935"/>
      <c r="Q121" s="1107"/>
      <c r="AJ121" s="934"/>
      <c r="AM121" s="1107"/>
      <c r="AU121" s="934" t="e">
        <f t="shared" ca="1" si="4"/>
        <v>#VALUE!</v>
      </c>
      <c r="AX121" s="1402"/>
    </row>
    <row r="122" spans="1:50" s="1391" customFormat="1" ht="14.5" hidden="1" thickTop="1" x14ac:dyDescent="0.3">
      <c r="A122" s="934"/>
      <c r="B122" s="1396"/>
      <c r="F122" s="1398" t="str">
        <f>'Administration (2)'!J32</f>
        <v>UB Finance</v>
      </c>
      <c r="O122" s="935"/>
      <c r="Q122" s="1107"/>
      <c r="AJ122" s="934"/>
      <c r="AM122" s="1107"/>
      <c r="AU122" s="934" t="e">
        <f t="shared" ca="1" si="4"/>
        <v>#VALUE!</v>
      </c>
      <c r="AX122" s="1402"/>
    </row>
    <row r="123" spans="1:50" s="1391" customFormat="1" ht="14.5" hidden="1" thickTop="1" x14ac:dyDescent="0.3">
      <c r="A123" s="934"/>
      <c r="B123" s="1396"/>
      <c r="F123" s="1398" t="str">
        <f>'Administration (2)'!J33</f>
        <v>Vallibel Finance PLC</v>
      </c>
      <c r="O123" s="935"/>
      <c r="Q123" s="1107"/>
      <c r="AJ123" s="934"/>
      <c r="AM123" s="1107"/>
      <c r="AU123" s="934" t="e">
        <f t="shared" ca="1" si="4"/>
        <v>#VALUE!</v>
      </c>
      <c r="AX123" s="1402"/>
    </row>
    <row r="124" spans="1:50" s="1391" customFormat="1" ht="14.5" hidden="1" thickTop="1" x14ac:dyDescent="0.3">
      <c r="A124" s="934"/>
      <c r="B124" s="1396"/>
      <c r="F124" s="1398">
        <f>'Administration (2)'!J34</f>
        <v>0</v>
      </c>
      <c r="O124" s="935"/>
      <c r="Q124" s="1107"/>
      <c r="AJ124" s="934"/>
      <c r="AM124" s="1107"/>
      <c r="AU124" s="934" t="e">
        <f t="shared" ca="1" si="4"/>
        <v>#VALUE!</v>
      </c>
      <c r="AX124" s="1402"/>
    </row>
    <row r="125" spans="1:50" s="1391" customFormat="1" ht="14.5" hidden="1" thickTop="1" x14ac:dyDescent="0.3">
      <c r="A125" s="934"/>
      <c r="B125" s="1396"/>
      <c r="F125" s="1398">
        <f>'Administration (2)'!J35</f>
        <v>0</v>
      </c>
      <c r="O125" s="935"/>
      <c r="Q125" s="1107"/>
      <c r="AJ125" s="934"/>
      <c r="AM125" s="1107"/>
      <c r="AU125" s="934" t="e">
        <f t="shared" ca="1" si="4"/>
        <v>#VALUE!</v>
      </c>
      <c r="AX125" s="1402"/>
    </row>
    <row r="126" spans="1:50" s="1391" customFormat="1" ht="14.5" hidden="1" thickTop="1" x14ac:dyDescent="0.3">
      <c r="A126" s="934"/>
      <c r="B126" s="1396"/>
      <c r="F126" s="1398">
        <f>'Administration (2)'!J36</f>
        <v>0</v>
      </c>
      <c r="O126" s="935"/>
      <c r="Q126" s="1107"/>
      <c r="AJ126" s="934"/>
      <c r="AM126" s="1107"/>
      <c r="AU126" s="934" t="e">
        <f t="shared" ca="1" si="4"/>
        <v>#VALUE!</v>
      </c>
      <c r="AX126" s="1402"/>
    </row>
    <row r="127" spans="1:50" s="1391" customFormat="1" ht="14.5" hidden="1" thickTop="1" x14ac:dyDescent="0.3">
      <c r="A127" s="934"/>
      <c r="B127" s="1396"/>
      <c r="F127" s="1398">
        <f>'Administration (2)'!J37</f>
        <v>0</v>
      </c>
      <c r="O127" s="935"/>
      <c r="Q127" s="1107"/>
      <c r="AJ127" s="934"/>
      <c r="AM127" s="1107"/>
      <c r="AU127" s="934" t="e">
        <f t="shared" ca="1" si="4"/>
        <v>#VALUE!</v>
      </c>
      <c r="AX127" s="1402"/>
    </row>
    <row r="128" spans="1:50" s="1391" customFormat="1" ht="14.5" hidden="1" thickTop="1" x14ac:dyDescent="0.3">
      <c r="A128" s="934"/>
      <c r="B128" s="1396"/>
      <c r="F128" s="1398">
        <f>'Administration (2)'!J38</f>
        <v>0</v>
      </c>
      <c r="O128" s="935"/>
      <c r="Q128" s="1107"/>
      <c r="AJ128" s="934"/>
      <c r="AM128" s="1107"/>
      <c r="AU128" s="934" t="e">
        <f t="shared" ca="1" si="4"/>
        <v>#VALUE!</v>
      </c>
      <c r="AX128" s="1402"/>
    </row>
    <row r="129" spans="1:50" s="1391" customFormat="1" ht="14.5" hidden="1" thickTop="1" x14ac:dyDescent="0.3">
      <c r="A129" s="934"/>
      <c r="B129" s="1396"/>
      <c r="F129" s="1398">
        <f>'Administration (2)'!J39</f>
        <v>0</v>
      </c>
      <c r="O129" s="935"/>
      <c r="Q129" s="1107"/>
      <c r="AJ129" s="934"/>
      <c r="AM129" s="1107"/>
      <c r="AU129" s="934" t="e">
        <f t="shared" ca="1" si="4"/>
        <v>#VALUE!</v>
      </c>
      <c r="AX129" s="1402"/>
    </row>
    <row r="130" spans="1:50" s="1391" customFormat="1" ht="14.5" hidden="1" thickTop="1" x14ac:dyDescent="0.3">
      <c r="A130" s="934"/>
      <c r="B130" s="1396"/>
      <c r="F130" s="1398">
        <f>'Administration (2)'!J40</f>
        <v>0</v>
      </c>
      <c r="O130" s="935"/>
      <c r="Q130" s="1107"/>
      <c r="AJ130" s="934"/>
      <c r="AM130" s="1107"/>
      <c r="AU130" s="934" t="e">
        <f t="shared" ca="1" si="4"/>
        <v>#VALUE!</v>
      </c>
      <c r="AX130" s="1402"/>
    </row>
    <row r="131" spans="1:50" s="1391" customFormat="1" ht="14.5" hidden="1" thickTop="1" x14ac:dyDescent="0.3">
      <c r="A131" s="934"/>
      <c r="B131" s="1396"/>
      <c r="F131" s="1398">
        <f>'Administration (2)'!J41</f>
        <v>0</v>
      </c>
      <c r="O131" s="935"/>
      <c r="Q131" s="1107"/>
      <c r="AJ131" s="934"/>
      <c r="AM131" s="1107"/>
      <c r="AU131" s="934" t="e">
        <f t="shared" ca="1" si="4"/>
        <v>#VALUE!</v>
      </c>
      <c r="AX131" s="1402"/>
    </row>
    <row r="132" spans="1:50" s="1391" customFormat="1" ht="14.5" hidden="1" thickTop="1" x14ac:dyDescent="0.3">
      <c r="A132" s="934"/>
      <c r="B132" s="1396"/>
      <c r="F132" s="1398">
        <f>'Administration (2)'!J42</f>
        <v>0</v>
      </c>
      <c r="O132" s="935"/>
      <c r="Q132" s="1107"/>
      <c r="AJ132" s="934"/>
      <c r="AM132" s="1107"/>
      <c r="AU132" s="934" t="e">
        <f t="shared" ca="1" si="4"/>
        <v>#VALUE!</v>
      </c>
      <c r="AX132" s="1402"/>
    </row>
    <row r="133" spans="1:50" s="1391" customFormat="1" ht="14.5" hidden="1" thickTop="1" x14ac:dyDescent="0.3">
      <c r="A133" s="934"/>
      <c r="B133" s="1396"/>
      <c r="F133" s="1398">
        <f>'Administration (2)'!J43</f>
        <v>0</v>
      </c>
      <c r="O133" s="935"/>
      <c r="Q133" s="1107"/>
      <c r="AJ133" s="934"/>
      <c r="AM133" s="1107"/>
      <c r="AU133" s="934" t="e">
        <f t="shared" ca="1" si="4"/>
        <v>#VALUE!</v>
      </c>
      <c r="AX133" s="1402"/>
    </row>
    <row r="134" spans="1:50" s="1391" customFormat="1" ht="14.5" hidden="1" thickTop="1" x14ac:dyDescent="0.3">
      <c r="A134" s="934"/>
      <c r="B134" s="1396"/>
      <c r="F134" s="1398">
        <f>'Administration (2)'!J44</f>
        <v>0</v>
      </c>
      <c r="O134" s="935"/>
      <c r="Q134" s="1107"/>
      <c r="AJ134" s="934"/>
      <c r="AM134" s="1107"/>
      <c r="AU134" s="934" t="e">
        <f t="shared" ca="1" si="4"/>
        <v>#VALUE!</v>
      </c>
      <c r="AX134" s="1402"/>
    </row>
    <row r="135" spans="1:50" s="1391" customFormat="1" ht="14.5" hidden="1" thickTop="1" x14ac:dyDescent="0.3">
      <c r="A135" s="934"/>
      <c r="B135" s="1396"/>
      <c r="F135" s="1398">
        <f>'Administration (2)'!J45</f>
        <v>0</v>
      </c>
      <c r="O135" s="935"/>
      <c r="Q135" s="1107"/>
      <c r="AJ135" s="934"/>
      <c r="AM135" s="1107"/>
      <c r="AU135" s="934" t="e">
        <f t="shared" ca="1" si="4"/>
        <v>#VALUE!</v>
      </c>
      <c r="AX135" s="1402"/>
    </row>
    <row r="136" spans="1:50" s="1391" customFormat="1" ht="14.5" hidden="1" thickTop="1" x14ac:dyDescent="0.3">
      <c r="A136" s="934"/>
      <c r="B136" s="1396"/>
      <c r="F136" s="1398">
        <f>'Administration (2)'!J46</f>
        <v>0</v>
      </c>
      <c r="O136" s="935"/>
      <c r="Q136" s="1107"/>
      <c r="AJ136" s="934"/>
      <c r="AM136" s="1107"/>
      <c r="AU136" s="934" t="e">
        <f t="shared" ca="1" si="4"/>
        <v>#VALUE!</v>
      </c>
      <c r="AX136" s="1402"/>
    </row>
    <row r="137" spans="1:50" s="1391" customFormat="1" ht="14.5" hidden="1" thickTop="1" x14ac:dyDescent="0.3">
      <c r="A137" s="934"/>
      <c r="B137" s="1396"/>
      <c r="F137" s="1398">
        <f>'Administration (2)'!J47</f>
        <v>0</v>
      </c>
      <c r="O137" s="935"/>
      <c r="Q137" s="1107"/>
      <c r="AJ137" s="934"/>
      <c r="AM137" s="1107"/>
      <c r="AU137" s="934" t="e">
        <f t="shared" ca="1" si="4"/>
        <v>#VALUE!</v>
      </c>
      <c r="AX137" s="1402"/>
    </row>
    <row r="138" spans="1:50" s="1391" customFormat="1" ht="14.5" hidden="1" thickTop="1" x14ac:dyDescent="0.3">
      <c r="A138" s="934"/>
      <c r="B138" s="1396"/>
      <c r="F138" s="1398">
        <f>'Administration (2)'!J48</f>
        <v>0</v>
      </c>
      <c r="O138" s="935"/>
      <c r="Q138" s="1107"/>
      <c r="AJ138" s="934"/>
      <c r="AM138" s="1107"/>
      <c r="AU138" s="934" t="e">
        <f t="shared" ca="1" si="4"/>
        <v>#VALUE!</v>
      </c>
      <c r="AX138" s="1402"/>
    </row>
    <row r="139" spans="1:50" s="1391" customFormat="1" ht="14.5" hidden="1" thickTop="1" x14ac:dyDescent="0.3">
      <c r="A139" s="934"/>
      <c r="B139" s="1396"/>
      <c r="F139" s="1398">
        <f>'Administration (2)'!J49</f>
        <v>0</v>
      </c>
      <c r="O139" s="935"/>
      <c r="Q139" s="1107"/>
      <c r="AJ139" s="934"/>
      <c r="AM139" s="1107"/>
      <c r="AU139" s="934" t="e">
        <f t="shared" ca="1" si="4"/>
        <v>#VALUE!</v>
      </c>
      <c r="AX139" s="1402"/>
    </row>
    <row r="140" spans="1:50" s="1391" customFormat="1" ht="14.5" hidden="1" thickTop="1" x14ac:dyDescent="0.3">
      <c r="A140" s="934"/>
      <c r="B140" s="1396"/>
      <c r="F140" s="1398">
        <f>'Administration (2)'!J50</f>
        <v>0</v>
      </c>
      <c r="O140" s="935"/>
      <c r="Q140" s="1107"/>
      <c r="AJ140" s="934"/>
      <c r="AM140" s="1107"/>
      <c r="AU140" s="934" t="e">
        <f t="shared" ca="1" si="4"/>
        <v>#VALUE!</v>
      </c>
      <c r="AX140" s="1402"/>
    </row>
    <row r="141" spans="1:50" s="1391" customFormat="1" ht="14.5" hidden="1" thickTop="1" x14ac:dyDescent="0.3">
      <c r="A141" s="934"/>
      <c r="B141" s="1396"/>
      <c r="F141" s="1398">
        <f>'Administration (2)'!J51</f>
        <v>0</v>
      </c>
      <c r="O141" s="935"/>
      <c r="Q141" s="1107"/>
      <c r="AJ141" s="934"/>
      <c r="AM141" s="1107"/>
      <c r="AU141" s="934" t="e">
        <f t="shared" ca="1" si="4"/>
        <v>#VALUE!</v>
      </c>
      <c r="AX141" s="1402"/>
    </row>
    <row r="142" spans="1:50" s="1391" customFormat="1" ht="14.5" hidden="1" thickTop="1" x14ac:dyDescent="0.3">
      <c r="A142" s="934"/>
      <c r="B142" s="1396"/>
      <c r="F142" s="1398">
        <f>'Administration (2)'!J52</f>
        <v>0</v>
      </c>
      <c r="O142" s="935"/>
      <c r="Q142" s="1107"/>
      <c r="AJ142" s="934"/>
      <c r="AM142" s="1107"/>
      <c r="AU142" s="934" t="e">
        <f t="shared" ca="1" si="4"/>
        <v>#VALUE!</v>
      </c>
      <c r="AX142" s="1402"/>
    </row>
    <row r="143" spans="1:50" s="1391" customFormat="1" ht="14.5" hidden="1" thickTop="1" x14ac:dyDescent="0.3">
      <c r="A143" s="934"/>
      <c r="B143" s="1396"/>
      <c r="F143" s="1398">
        <f>'Administration (2)'!J53</f>
        <v>0</v>
      </c>
      <c r="O143" s="935"/>
      <c r="Q143" s="1107"/>
      <c r="AJ143" s="934"/>
      <c r="AM143" s="1107"/>
      <c r="AU143" s="934" t="e">
        <f t="shared" ca="1" si="4"/>
        <v>#VALUE!</v>
      </c>
      <c r="AX143" s="1402"/>
    </row>
    <row r="144" spans="1:50" s="1391" customFormat="1" ht="14.5" hidden="1" thickTop="1" x14ac:dyDescent="0.3">
      <c r="A144" s="934"/>
      <c r="B144" s="1396"/>
      <c r="F144" s="1398">
        <f>'Administration (2)'!J54</f>
        <v>0</v>
      </c>
      <c r="O144" s="935"/>
      <c r="Q144" s="1107"/>
      <c r="AJ144" s="934"/>
      <c r="AM144" s="1107"/>
      <c r="AU144" s="934" t="e">
        <f t="shared" ca="1" si="4"/>
        <v>#VALUE!</v>
      </c>
      <c r="AX144" s="1402"/>
    </row>
    <row r="145" spans="1:50" s="1391" customFormat="1" ht="14.5" hidden="1" thickTop="1" x14ac:dyDescent="0.3">
      <c r="A145" s="934"/>
      <c r="B145" s="1396"/>
      <c r="F145" s="1398">
        <f>'Administration (2)'!J55</f>
        <v>0</v>
      </c>
      <c r="O145" s="935"/>
      <c r="Q145" s="1107"/>
      <c r="AJ145" s="934"/>
      <c r="AM145" s="1107"/>
      <c r="AU145" s="934" t="e">
        <f t="shared" ca="1" si="4"/>
        <v>#VALUE!</v>
      </c>
      <c r="AX145" s="1402"/>
    </row>
    <row r="146" spans="1:50" s="1391" customFormat="1" ht="14.5" hidden="1" thickTop="1" x14ac:dyDescent="0.3">
      <c r="A146" s="934"/>
      <c r="B146" s="1396"/>
      <c r="F146" s="1398">
        <f>'Administration (2)'!J56</f>
        <v>0</v>
      </c>
      <c r="O146" s="935"/>
      <c r="Q146" s="1107"/>
      <c r="AJ146" s="934"/>
      <c r="AM146" s="1107"/>
      <c r="AU146" s="934" t="e">
        <f t="shared" ca="1" si="4"/>
        <v>#VALUE!</v>
      </c>
      <c r="AX146" s="1402"/>
    </row>
    <row r="147" spans="1:50" s="1391" customFormat="1" ht="14.5" hidden="1" thickTop="1" x14ac:dyDescent="0.3">
      <c r="A147" s="934"/>
      <c r="B147" s="1396"/>
      <c r="F147" s="1398">
        <f>'Administration (2)'!J57</f>
        <v>0</v>
      </c>
      <c r="O147" s="935"/>
      <c r="Q147" s="1107"/>
      <c r="AJ147" s="934"/>
      <c r="AM147" s="1107"/>
      <c r="AU147" s="934" t="e">
        <f t="shared" ca="1" si="4"/>
        <v>#VALUE!</v>
      </c>
      <c r="AX147" s="1402"/>
    </row>
    <row r="148" spans="1:50" s="1391" customFormat="1" ht="14.5" hidden="1" thickTop="1" x14ac:dyDescent="0.3">
      <c r="A148" s="934"/>
      <c r="B148" s="1396"/>
      <c r="F148" s="1398">
        <f>'Administration (2)'!J58</f>
        <v>0</v>
      </c>
      <c r="O148" s="935"/>
      <c r="Q148" s="1107"/>
      <c r="AJ148" s="934"/>
      <c r="AM148" s="1107"/>
      <c r="AU148" s="934" t="e">
        <f t="shared" ca="1" si="4"/>
        <v>#VALUE!</v>
      </c>
      <c r="AX148" s="1402"/>
    </row>
    <row r="149" spans="1:50" s="1391" customFormat="1" ht="14.5" hidden="1" thickTop="1" x14ac:dyDescent="0.3">
      <c r="A149" s="934"/>
      <c r="B149" s="1396"/>
      <c r="F149" s="1398">
        <f>'Administration (2)'!J59</f>
        <v>0</v>
      </c>
      <c r="O149" s="935"/>
      <c r="Q149" s="1107"/>
      <c r="AJ149" s="934"/>
      <c r="AM149" s="1107"/>
      <c r="AU149" s="934" t="e">
        <f t="shared" ca="1" si="4"/>
        <v>#VALUE!</v>
      </c>
      <c r="AX149" s="1402"/>
    </row>
    <row r="150" spans="1:50" s="1391" customFormat="1" ht="14.5" hidden="1" thickTop="1" x14ac:dyDescent="0.3">
      <c r="A150" s="934"/>
      <c r="B150" s="1396"/>
      <c r="F150" s="1398">
        <f>'Administration (2)'!J60</f>
        <v>0</v>
      </c>
      <c r="O150" s="935"/>
      <c r="Q150" s="1107"/>
      <c r="AJ150" s="934"/>
      <c r="AM150" s="1107"/>
      <c r="AU150" s="934" t="e">
        <f t="shared" ca="1" si="4"/>
        <v>#VALUE!</v>
      </c>
      <c r="AX150" s="1402"/>
    </row>
    <row r="151" spans="1:50" s="1391" customFormat="1" ht="14.5" hidden="1" thickTop="1" x14ac:dyDescent="0.3">
      <c r="A151" s="934"/>
      <c r="B151" s="1396"/>
      <c r="F151" s="1398">
        <f>'Administration (2)'!J61</f>
        <v>0</v>
      </c>
      <c r="O151" s="935"/>
      <c r="Q151" s="1107"/>
      <c r="AJ151" s="934"/>
      <c r="AM151" s="1107"/>
      <c r="AU151" s="934" t="e">
        <f t="shared" ca="1" si="4"/>
        <v>#VALUE!</v>
      </c>
      <c r="AX151" s="1402"/>
    </row>
    <row r="152" spans="1:50" s="1391" customFormat="1" ht="14.5" hidden="1" thickTop="1" x14ac:dyDescent="0.3">
      <c r="A152" s="934"/>
      <c r="B152" s="1396"/>
      <c r="F152" s="1398">
        <f>'Administration (2)'!J62</f>
        <v>0</v>
      </c>
      <c r="O152" s="935"/>
      <c r="Q152" s="1107"/>
      <c r="AJ152" s="934"/>
      <c r="AM152" s="1107"/>
      <c r="AU152" s="934" t="e">
        <f t="shared" ca="1" si="4"/>
        <v>#VALUE!</v>
      </c>
      <c r="AX152" s="1402"/>
    </row>
    <row r="153" spans="1:50" s="1391" customFormat="1" ht="14.5" hidden="1" thickTop="1" x14ac:dyDescent="0.3">
      <c r="A153" s="934"/>
      <c r="B153" s="1396"/>
      <c r="F153" s="1398">
        <f>'Administration (2)'!J63</f>
        <v>0</v>
      </c>
      <c r="O153" s="935"/>
      <c r="Q153" s="1107"/>
      <c r="AJ153" s="934"/>
      <c r="AM153" s="1107"/>
      <c r="AU153" s="934" t="e">
        <f t="shared" ca="1" si="4"/>
        <v>#VALUE!</v>
      </c>
      <c r="AX153" s="1402"/>
    </row>
    <row r="154" spans="1:50" s="1391" customFormat="1" ht="14.5" hidden="1" thickTop="1" x14ac:dyDescent="0.3">
      <c r="A154" s="934"/>
      <c r="B154" s="1396"/>
      <c r="O154" s="935"/>
      <c r="Q154" s="1107"/>
      <c r="AJ154" s="934"/>
      <c r="AM154" s="1107"/>
      <c r="AU154" s="934" t="e">
        <f t="shared" ca="1" si="4"/>
        <v>#VALUE!</v>
      </c>
      <c r="AX154" s="1402"/>
    </row>
    <row r="155" spans="1:50" ht="14.25" customHeight="1" thickTop="1" x14ac:dyDescent="0.3"/>
  </sheetData>
  <sheetProtection algorithmName="SHA-512" hashValue="teZB2GJcrTwyv7bAgwfHYIC5yEY1UZ+wbUObUl0IbwCr7riCJE/CAXvdWlN+Dx4kSCGOhn1EBrxN8l6sc5+CPQ==" saltValue="Q7Fvw5+2/GhTBJLNAocg9g==" spinCount="100000" sheet="1" selectLockedCells="1" selectUnlockedCells="1"/>
  <dataConsolidate/>
  <mergeCells count="46">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J55:K55"/>
    <mergeCell ref="I25:K25"/>
    <mergeCell ref="F27:H28"/>
    <mergeCell ref="I28:K28"/>
    <mergeCell ref="I30:J30"/>
    <mergeCell ref="R96:T96"/>
    <mergeCell ref="I37:K37"/>
    <mergeCell ref="O40:V41"/>
    <mergeCell ref="H46:K46"/>
    <mergeCell ref="I49:K49"/>
    <mergeCell ref="I52:K52"/>
    <mergeCell ref="F59:G59"/>
    <mergeCell ref="E61:F68"/>
    <mergeCell ref="N68:O68"/>
    <mergeCell ref="M71:M72"/>
    <mergeCell ref="F72:H73"/>
  </mergeCells>
  <conditionalFormatting sqref="E54 E50">
    <cfRule type="expression" dxfId="356" priority="13" stopIfTrue="1">
      <formula>H50&gt;0</formula>
    </cfRule>
  </conditionalFormatting>
  <conditionalFormatting sqref="E56 E45">
    <cfRule type="expression" dxfId="355" priority="14" stopIfTrue="1">
      <formula>O45=1</formula>
    </cfRule>
  </conditionalFormatting>
  <conditionalFormatting sqref="F56:G56">
    <cfRule type="expression" dxfId="354" priority="16" stopIfTrue="1">
      <formula>O56=1</formula>
    </cfRule>
  </conditionalFormatting>
  <conditionalFormatting sqref="G40">
    <cfRule type="expression" dxfId="353" priority="17" stopIfTrue="1">
      <formula>R40=1</formula>
    </cfRule>
  </conditionalFormatting>
  <conditionalFormatting sqref="E44">
    <cfRule type="expression" dxfId="352" priority="18" stopIfTrue="1">
      <formula>M44&gt;1</formula>
    </cfRule>
  </conditionalFormatting>
  <conditionalFormatting sqref="E46">
    <cfRule type="expression" dxfId="351" priority="19" stopIfTrue="1">
      <formula>OR(T46=1,Q48=0)</formula>
    </cfRule>
  </conditionalFormatting>
  <conditionalFormatting sqref="F46:G46">
    <cfRule type="expression" dxfId="350" priority="20" stopIfTrue="1">
      <formula>OR(T46=1,Q48=0)</formula>
    </cfRule>
  </conditionalFormatting>
  <conditionalFormatting sqref="F39:G39">
    <cfRule type="expression" dxfId="349" priority="22" stopIfTrue="1">
      <formula>B39="Yes"</formula>
    </cfRule>
  </conditionalFormatting>
  <conditionalFormatting sqref="E39">
    <cfRule type="expression" dxfId="348" priority="23" stopIfTrue="1">
      <formula>B39="Yes"</formula>
    </cfRule>
  </conditionalFormatting>
  <conditionalFormatting sqref="F23">
    <cfRule type="expression" dxfId="347" priority="24" stopIfTrue="1">
      <formula>M23&lt;0</formula>
    </cfRule>
  </conditionalFormatting>
  <conditionalFormatting sqref="E23">
    <cfRule type="expression" dxfId="346" priority="25" stopIfTrue="1">
      <formula>M23&lt;0</formula>
    </cfRule>
  </conditionalFormatting>
  <conditionalFormatting sqref="F48:G48">
    <cfRule type="expression" dxfId="345" priority="26" stopIfTrue="1">
      <formula>T48=1</formula>
    </cfRule>
  </conditionalFormatting>
  <conditionalFormatting sqref="E48">
    <cfRule type="expression" dxfId="344" priority="27" stopIfTrue="1">
      <formula>T48=1</formula>
    </cfRule>
  </conditionalFormatting>
  <conditionalFormatting sqref="F44:G44">
    <cfRule type="expression" dxfId="343" priority="28" stopIfTrue="1">
      <formula>AND(O45=1,R45=1)</formula>
    </cfRule>
  </conditionalFormatting>
  <conditionalFormatting sqref="F45:G45">
    <cfRule type="expression" dxfId="342" priority="29" stopIfTrue="1">
      <formula>AND(O45=1,R45=1)</formula>
    </cfRule>
  </conditionalFormatting>
  <conditionalFormatting sqref="E20">
    <cfRule type="expression" dxfId="341" priority="30" stopIfTrue="1">
      <formula>H20&gt;0</formula>
    </cfRule>
  </conditionalFormatting>
  <conditionalFormatting sqref="F20:G20">
    <cfRule type="expression" dxfId="340" priority="31" stopIfTrue="1">
      <formula>H20&gt;0</formula>
    </cfRule>
  </conditionalFormatting>
  <conditionalFormatting sqref="F36:F37">
    <cfRule type="expression" dxfId="339" priority="32" stopIfTrue="1">
      <formula>AND(H36&gt;0%,M36&lt;0)</formula>
    </cfRule>
  </conditionalFormatting>
  <conditionalFormatting sqref="E36:E37">
    <cfRule type="expression" dxfId="338" priority="33" stopIfTrue="1">
      <formula>AND(H36&gt;0%,M36&lt;0)</formula>
    </cfRule>
  </conditionalFormatting>
  <conditionalFormatting sqref="E47">
    <cfRule type="expression" dxfId="337" priority="34" stopIfTrue="1">
      <formula>R65=1</formula>
    </cfRule>
  </conditionalFormatting>
  <conditionalFormatting sqref="F51:G51">
    <cfRule type="expression" dxfId="336" priority="36" stopIfTrue="1">
      <formula>AND($H$51&gt;0,Z49=1,Y49=1)</formula>
    </cfRule>
  </conditionalFormatting>
  <conditionalFormatting sqref="E51">
    <cfRule type="expression" dxfId="335" priority="37" stopIfTrue="1">
      <formula>AND($H$51&gt;0,Z49=1,Y49=1)</formula>
    </cfRule>
  </conditionalFormatting>
  <conditionalFormatting sqref="E60">
    <cfRule type="expression" dxfId="334" priority="38" stopIfTrue="1">
      <formula>C60=1</formula>
    </cfRule>
  </conditionalFormatting>
  <conditionalFormatting sqref="M19:M20 M22 M30 M36 M39:M54 M56:M57">
    <cfRule type="expression" dxfId="333" priority="39" stopIfTrue="1">
      <formula>L19=1</formula>
    </cfRule>
  </conditionalFormatting>
  <conditionalFormatting sqref="M29 M23 M25">
    <cfRule type="expression" dxfId="332" priority="40" stopIfTrue="1">
      <formula>O23=1</formula>
    </cfRule>
  </conditionalFormatting>
  <conditionalFormatting sqref="E58:E59">
    <cfRule type="expression" dxfId="331" priority="41" stopIfTrue="1">
      <formula>O58=1</formula>
    </cfRule>
  </conditionalFormatting>
  <conditionalFormatting sqref="E21">
    <cfRule type="expression" dxfId="330" priority="42" stopIfTrue="1">
      <formula>OR(B21="Free",Q21=1)</formula>
    </cfRule>
  </conditionalFormatting>
  <conditionalFormatting sqref="E25">
    <cfRule type="expression" dxfId="329" priority="44" stopIfTrue="1">
      <formula>OR($R$25&gt;1,AA25=1)</formula>
    </cfRule>
  </conditionalFormatting>
  <conditionalFormatting sqref="I36">
    <cfRule type="expression" dxfId="328" priority="45" stopIfTrue="1">
      <formula>OR(H36&gt;R36,I36="NCB Not Allowed")</formula>
    </cfRule>
  </conditionalFormatting>
  <conditionalFormatting sqref="E57">
    <cfRule type="expression" dxfId="327" priority="48" stopIfTrue="1">
      <formula>M57&gt;1</formula>
    </cfRule>
  </conditionalFormatting>
  <conditionalFormatting sqref="H53">
    <cfRule type="expression" dxfId="326" priority="49" stopIfTrue="1">
      <formula>T48=0</formula>
    </cfRule>
  </conditionalFormatting>
  <conditionalFormatting sqref="F25">
    <cfRule type="expression" dxfId="325" priority="50" stopIfTrue="1">
      <formula>OR($R$25&gt;1,AA25=1)</formula>
    </cfRule>
  </conditionalFormatting>
  <conditionalFormatting sqref="F26">
    <cfRule type="expression" dxfId="324" priority="51" stopIfTrue="1">
      <formula>H25&gt;0</formula>
    </cfRule>
  </conditionalFormatting>
  <conditionalFormatting sqref="H26">
    <cfRule type="expression" dxfId="323" priority="52" stopIfTrue="1">
      <formula>H25&gt;0</formula>
    </cfRule>
  </conditionalFormatting>
  <conditionalFormatting sqref="K26">
    <cfRule type="expression" dxfId="322" priority="53" stopIfTrue="1">
      <formula>H25&gt;0</formula>
    </cfRule>
  </conditionalFormatting>
  <conditionalFormatting sqref="I29:J29">
    <cfRule type="expression" dxfId="321" priority="54" stopIfTrue="1">
      <formula>M29=0</formula>
    </cfRule>
  </conditionalFormatting>
  <conditionalFormatting sqref="I27">
    <cfRule type="expression" dxfId="320" priority="55" stopIfTrue="1">
      <formula>OR($R$25&gt;1,AA25=1)</formula>
    </cfRule>
  </conditionalFormatting>
  <conditionalFormatting sqref="L25">
    <cfRule type="expression" dxfId="319" priority="56" stopIfTrue="1">
      <formula>OR($R$25&gt;1,AA25=1)</formula>
    </cfRule>
  </conditionalFormatting>
  <conditionalFormatting sqref="G42">
    <cfRule type="expression" dxfId="318" priority="57" stopIfTrue="1">
      <formula>AND(R41=1,R40=1)</formula>
    </cfRule>
  </conditionalFormatting>
  <conditionalFormatting sqref="E40">
    <cfRule type="expression" dxfId="317" priority="58" stopIfTrue="1">
      <formula>Q38=1</formula>
    </cfRule>
  </conditionalFormatting>
  <conditionalFormatting sqref="F40">
    <cfRule type="expression" dxfId="316" priority="59" stopIfTrue="1">
      <formula>Q38=1</formula>
    </cfRule>
  </conditionalFormatting>
  <conditionalFormatting sqref="E42">
    <cfRule type="expression" dxfId="315" priority="60" stopIfTrue="1">
      <formula>AND(Q39=1,Q38=1)</formula>
    </cfRule>
  </conditionalFormatting>
  <conditionalFormatting sqref="F42">
    <cfRule type="expression" dxfId="314" priority="61" stopIfTrue="1">
      <formula>AND(Q39=1,Q38=1)</formula>
    </cfRule>
  </conditionalFormatting>
  <conditionalFormatting sqref="E53">
    <cfRule type="expression" dxfId="313" priority="62" stopIfTrue="1">
      <formula>AND(H53&gt;1000,T48=1,Z50=1,O53=1)</formula>
    </cfRule>
  </conditionalFormatting>
  <conditionalFormatting sqref="G4">
    <cfRule type="expression" dxfId="312" priority="66" stopIfTrue="1">
      <formula>D3=1</formula>
    </cfRule>
  </conditionalFormatting>
  <conditionalFormatting sqref="H4">
    <cfRule type="expression" dxfId="311" priority="67" stopIfTrue="1">
      <formula>D3=1</formula>
    </cfRule>
  </conditionalFormatting>
  <conditionalFormatting sqref="I4:J4">
    <cfRule type="expression" dxfId="310" priority="68" stopIfTrue="1">
      <formula>D3=1</formula>
    </cfRule>
  </conditionalFormatting>
  <conditionalFormatting sqref="G5">
    <cfRule type="expression" dxfId="309" priority="69" stopIfTrue="1">
      <formula>D3=1</formula>
    </cfRule>
  </conditionalFormatting>
  <conditionalFormatting sqref="I5:J5">
    <cfRule type="expression" dxfId="308" priority="70" stopIfTrue="1">
      <formula>D3=1</formula>
    </cfRule>
  </conditionalFormatting>
  <conditionalFormatting sqref="H5">
    <cfRule type="expression" dxfId="307" priority="71" stopIfTrue="1">
      <formula>D3=1</formula>
    </cfRule>
  </conditionalFormatting>
  <conditionalFormatting sqref="M5">
    <cfRule type="expression" dxfId="306" priority="72" stopIfTrue="1">
      <formula>D3=1</formula>
    </cfRule>
  </conditionalFormatting>
  <conditionalFormatting sqref="I3:J3">
    <cfRule type="expression" dxfId="305" priority="73" stopIfTrue="1">
      <formula>D3=1</formula>
    </cfRule>
  </conditionalFormatting>
  <conditionalFormatting sqref="E22">
    <cfRule type="expression" dxfId="304" priority="74" stopIfTrue="1">
      <formula>I22&gt;1000</formula>
    </cfRule>
  </conditionalFormatting>
  <conditionalFormatting sqref="F22">
    <cfRule type="expression" dxfId="303" priority="76" stopIfTrue="1">
      <formula>I22&gt;1</formula>
    </cfRule>
  </conditionalFormatting>
  <conditionalFormatting sqref="K8">
    <cfRule type="expression" dxfId="302" priority="65" stopIfTrue="1">
      <formula>M8=L8</formula>
    </cfRule>
  </conditionalFormatting>
  <conditionalFormatting sqref="I24:J24">
    <cfRule type="expression" dxfId="301" priority="93" stopIfTrue="1">
      <formula>AND(C24=1,U23=0)</formula>
    </cfRule>
  </conditionalFormatting>
  <conditionalFormatting sqref="F49:G49">
    <cfRule type="expression" dxfId="300" priority="21" stopIfTrue="1">
      <formula>OR(Q49&gt;0,H49&gt;0)</formula>
    </cfRule>
  </conditionalFormatting>
  <conditionalFormatting sqref="F47:G47">
    <cfRule type="expression" dxfId="299" priority="35" stopIfTrue="1">
      <formula>AND(H47&gt;1,T47=1,Z49=1)</formula>
    </cfRule>
  </conditionalFormatting>
  <conditionalFormatting sqref="F21:G21">
    <cfRule type="expression" dxfId="298" priority="43" stopIfTrue="1">
      <formula>OR(B21="Free",Q21=1)</formula>
    </cfRule>
  </conditionalFormatting>
  <conditionalFormatting sqref="E29">
    <cfRule type="expression" dxfId="297" priority="46" stopIfTrue="1">
      <formula>AND(R29&gt;1,Z49=1,Y49=1)</formula>
    </cfRule>
  </conditionalFormatting>
  <conditionalFormatting sqref="F29:G29">
    <cfRule type="expression" dxfId="296" priority="47" stopIfTrue="1">
      <formula>AND(R29&gt;1,Z49=1,Y49=1)</formula>
    </cfRule>
  </conditionalFormatting>
  <conditionalFormatting sqref="E41">
    <cfRule type="expression" dxfId="295" priority="94" stopIfTrue="1">
      <formula>AND($C$40=1,D41=1)</formula>
    </cfRule>
  </conditionalFormatting>
  <conditionalFormatting sqref="G41">
    <cfRule type="expression" dxfId="294" priority="95" stopIfTrue="1">
      <formula>AND($C$40=1,M30&gt;0)</formula>
    </cfRule>
  </conditionalFormatting>
  <conditionalFormatting sqref="F41">
    <cfRule type="expression" dxfId="293" priority="96" stopIfTrue="1">
      <formula>E41=1</formula>
    </cfRule>
  </conditionalFormatting>
  <conditionalFormatting sqref="K41">
    <cfRule type="expression" dxfId="292" priority="97" stopIfTrue="1">
      <formula>AND(Z42&gt;0,J41=1)</formula>
    </cfRule>
  </conditionalFormatting>
  <conditionalFormatting sqref="J41">
    <cfRule type="expression" dxfId="291" priority="98" stopIfTrue="1">
      <formula>AND($C$40=1,OR(H50&gt;0,H51&gt;0))</formula>
    </cfRule>
  </conditionalFormatting>
  <conditionalFormatting sqref="F43 K43">
    <cfRule type="expression" dxfId="290" priority="99" stopIfTrue="1">
      <formula>AND(E43=1,E41=1)</formula>
    </cfRule>
  </conditionalFormatting>
  <conditionalFormatting sqref="G43">
    <cfRule type="expression" dxfId="289" priority="100" stopIfTrue="1">
      <formula>AND($C$40=1,$C$42=1,M30&gt;0)</formula>
    </cfRule>
  </conditionalFormatting>
  <conditionalFormatting sqref="E43">
    <cfRule type="expression" dxfId="288" priority="101" stopIfTrue="1">
      <formula>AND($C$40=1,$C$42=1,D41=1)</formula>
    </cfRule>
  </conditionalFormatting>
  <conditionalFormatting sqref="J43">
    <cfRule type="expression" dxfId="287" priority="102" stopIfTrue="1">
      <formula>AND($C$40=1,$C$42=1,OR(H50&gt;0,H51&gt;0))</formula>
    </cfRule>
  </conditionalFormatting>
  <conditionalFormatting sqref="H58:H59">
    <cfRule type="expression" dxfId="286" priority="103" stopIfTrue="1">
      <formula>AND(C58=1,F58="")</formula>
    </cfRule>
  </conditionalFormatting>
  <conditionalFormatting sqref="H24">
    <cfRule type="expression" dxfId="285" priority="104" stopIfTrue="1">
      <formula>U23=0</formula>
    </cfRule>
  </conditionalFormatting>
  <conditionalFormatting sqref="I16:M17">
    <cfRule type="expression" dxfId="284" priority="105" stopIfTrue="1">
      <formula>R15=0</formula>
    </cfRule>
  </conditionalFormatting>
  <conditionalFormatting sqref="H41">
    <cfRule type="expression" dxfId="283" priority="106" stopIfTrue="1">
      <formula>AND($C$40=1,M30&gt;0,G41=1)</formula>
    </cfRule>
  </conditionalFormatting>
  <conditionalFormatting sqref="H43">
    <cfRule type="expression" dxfId="282" priority="107" stopIfTrue="1">
      <formula>AND($C$40=1,M30&gt;0,G43=1,G41=1)</formula>
    </cfRule>
  </conditionalFormatting>
  <conditionalFormatting sqref="O25 L22 L36:L37 L30 O23 L19:L20 O29 L39:L54 L56:L59">
    <cfRule type="expression" dxfId="281" priority="79" stopIfTrue="1">
      <formula>$C$2="Yes"</formula>
    </cfRule>
  </conditionalFormatting>
  <conditionalFormatting sqref="I41">
    <cfRule type="expression" dxfId="280" priority="63" stopIfTrue="1">
      <formula>AND(B40="Yes",T42="Yes",H25&gt;0,L27&gt;0)</formula>
    </cfRule>
  </conditionalFormatting>
  <conditionalFormatting sqref="I43">
    <cfRule type="expression" dxfId="279" priority="64" stopIfTrue="1">
      <formula>AND(B40="Yes",T42="Yes",H25&gt;0,L27&gt;0,B41="Yes",T43="Yes")</formula>
    </cfRule>
  </conditionalFormatting>
  <conditionalFormatting sqref="E30">
    <cfRule type="expression" dxfId="278" priority="77" stopIfTrue="1">
      <formula>AND(H30&gt;1,C30="Yes",AA2=1,Z49=1,Y49=1)</formula>
    </cfRule>
  </conditionalFormatting>
  <conditionalFormatting sqref="H42 I49:J49 H44 K42 K44">
    <cfRule type="cellIs" dxfId="277" priority="83" stopIfTrue="1" operator="equal">
      <formula>0</formula>
    </cfRule>
  </conditionalFormatting>
  <conditionalFormatting sqref="K47">
    <cfRule type="cellIs" dxfId="276" priority="78" stopIfTrue="1" operator="equal">
      <formula>0</formula>
    </cfRule>
  </conditionalFormatting>
  <conditionalFormatting sqref="F54:G54">
    <cfRule type="expression" dxfId="275" priority="81" stopIfTrue="1">
      <formula>$H$54&gt;0</formula>
    </cfRule>
  </conditionalFormatting>
  <conditionalFormatting sqref="F50:G50">
    <cfRule type="expression" dxfId="274" priority="82" stopIfTrue="1">
      <formula>$H$50&gt;0</formula>
    </cfRule>
  </conditionalFormatting>
  <conditionalFormatting sqref="F57:G60">
    <cfRule type="cellIs" dxfId="273" priority="84" stopIfTrue="1" operator="equal">
      <formula>"."</formula>
    </cfRule>
  </conditionalFormatting>
  <conditionalFormatting sqref="K48">
    <cfRule type="cellIs" dxfId="272" priority="85" stopIfTrue="1" operator="equal">
      <formula>0</formula>
    </cfRule>
  </conditionalFormatting>
  <conditionalFormatting sqref="I52:K53">
    <cfRule type="cellIs" dxfId="271" priority="91" stopIfTrue="1" operator="equal">
      <formula>"Enter Number of Air Bags"</formula>
    </cfRule>
  </conditionalFormatting>
  <conditionalFormatting sqref="K15">
    <cfRule type="cellIs" dxfId="270" priority="108" stopIfTrue="1" operator="equal">
      <formula>"Chinese Vehicles Covered"</formula>
    </cfRule>
  </conditionalFormatting>
  <conditionalFormatting sqref="K9:M9">
    <cfRule type="expression" dxfId="269" priority="90" stopIfTrue="1">
      <formula>OR($T$2=3,$W$2=0)</formula>
    </cfRule>
  </conditionalFormatting>
  <conditionalFormatting sqref="G22:G23">
    <cfRule type="expression" dxfId="268" priority="75" stopIfTrue="1">
      <formula>#REF!&gt;1</formula>
    </cfRule>
  </conditionalFormatting>
  <conditionalFormatting sqref="N25 N19:N20 N22:N23 N29:N30 N36:N37 N39:N57">
    <cfRule type="expression" dxfId="267" priority="80" stopIfTrue="1">
      <formula>$C$2="Yes"</formula>
    </cfRule>
  </conditionalFormatting>
  <conditionalFormatting sqref="H19">
    <cfRule type="cellIs" dxfId="266" priority="86" stopIfTrue="1" operator="equal">
      <formula>"This Quotation system is not valid anymore"</formula>
    </cfRule>
  </conditionalFormatting>
  <conditionalFormatting sqref="E26 G26 L26">
    <cfRule type="expression" dxfId="265" priority="87" stopIfTrue="1">
      <formula>$H$25&gt;0</formula>
    </cfRule>
  </conditionalFormatting>
  <conditionalFormatting sqref="I31:I34">
    <cfRule type="expression" dxfId="264" priority="88" stopIfTrue="1">
      <formula>$H$30=0</formula>
    </cfRule>
  </conditionalFormatting>
  <conditionalFormatting sqref="E32:E34">
    <cfRule type="expression" dxfId="263" priority="89" stopIfTrue="1">
      <formula>AND($H$30&gt;0,$O$31=1)</formula>
    </cfRule>
  </conditionalFormatting>
  <conditionalFormatting sqref="K22">
    <cfRule type="expression" dxfId="262" priority="92" stopIfTrue="1">
      <formula>$C$2="Yes"</formula>
    </cfRule>
  </conditionalFormatting>
  <conditionalFormatting sqref="K14:M14">
    <cfRule type="expression" dxfId="261" priority="109" stopIfTrue="1">
      <formula>$H$14="Yes"</formula>
    </cfRule>
  </conditionalFormatting>
  <conditionalFormatting sqref="K30">
    <cfRule type="expression" dxfId="260" priority="110" stopIfTrue="1">
      <formula>AND($H$30&gt;0,$O$31&gt;0)</formula>
    </cfRule>
  </conditionalFormatting>
  <conditionalFormatting sqref="F30">
    <cfRule type="expression" dxfId="259" priority="111" stopIfTrue="1">
      <formula>AND(H30&gt;1,C30="Yes",AA2=1,Z49=1,Y49=1)</formula>
    </cfRule>
  </conditionalFormatting>
  <conditionalFormatting sqref="I30:J30">
    <cfRule type="expression" dxfId="258" priority="112" stopIfTrue="1">
      <formula>AND($H$30&gt;0,$O$31&gt;0)</formula>
    </cfRule>
  </conditionalFormatting>
  <conditionalFormatting sqref="I25:K25">
    <cfRule type="expression" dxfId="257" priority="12" stopIfTrue="1">
      <formula>$H$25=0</formula>
    </cfRule>
  </conditionalFormatting>
  <conditionalFormatting sqref="E16:H17">
    <cfRule type="notContainsBlanks" dxfId="256" priority="113" stopIfTrue="1">
      <formula>LEN(TRIM(E16))&gt;0</formula>
    </cfRule>
  </conditionalFormatting>
  <conditionalFormatting sqref="E15:F15">
    <cfRule type="cellIs" dxfId="255" priority="11" stopIfTrue="1" operator="equal">
      <formula>"SUM COVERED - Above Retention"</formula>
    </cfRule>
  </conditionalFormatting>
  <conditionalFormatting sqref="M13">
    <cfRule type="expression" dxfId="254" priority="114" stopIfTrue="1">
      <formula>OR(L13="",L13=0)</formula>
    </cfRule>
  </conditionalFormatting>
  <conditionalFormatting sqref="AA1">
    <cfRule type="expression" dxfId="253" priority="10" stopIfTrue="1">
      <formula>AND($H$12="HYBRID",$H$14="No")</formula>
    </cfRule>
  </conditionalFormatting>
  <conditionalFormatting sqref="M12">
    <cfRule type="expression" dxfId="252" priority="9" stopIfTrue="1">
      <formula>AND(H12="Hybrid",H14="No")</formula>
    </cfRule>
  </conditionalFormatting>
  <conditionalFormatting sqref="M12">
    <cfRule type="expression" dxfId="251" priority="8" stopIfTrue="1">
      <formula>AND(H12="Hybrid",H14="No")</formula>
    </cfRule>
  </conditionalFormatting>
  <conditionalFormatting sqref="M12">
    <cfRule type="expression" dxfId="250" priority="7" stopIfTrue="1">
      <formula>H8="Motor Cycle"</formula>
    </cfRule>
  </conditionalFormatting>
  <conditionalFormatting sqref="K50">
    <cfRule type="expression" dxfId="249" priority="115" stopIfTrue="1">
      <formula>T47=0</formula>
    </cfRule>
  </conditionalFormatting>
  <conditionalFormatting sqref="F52:F53">
    <cfRule type="expression" dxfId="248" priority="116" stopIfTrue="1">
      <formula>AND($K$50&gt;0,T47=1,Z49=1,O52=1)</formula>
    </cfRule>
  </conditionalFormatting>
  <conditionalFormatting sqref="E52">
    <cfRule type="expression" dxfId="247" priority="117" stopIfTrue="1">
      <formula>Q38=1</formula>
    </cfRule>
  </conditionalFormatting>
  <conditionalFormatting sqref="I54">
    <cfRule type="expression" dxfId="246" priority="6" stopIfTrue="1">
      <formula>P54=1</formula>
    </cfRule>
  </conditionalFormatting>
  <conditionalFormatting sqref="M37">
    <cfRule type="expression" dxfId="245" priority="5" stopIfTrue="1">
      <formula>L37=1</formula>
    </cfRule>
  </conditionalFormatting>
  <conditionalFormatting sqref="E55">
    <cfRule type="expression" dxfId="244" priority="1" stopIfTrue="1">
      <formula>Q55=1</formula>
    </cfRule>
  </conditionalFormatting>
  <conditionalFormatting sqref="F55:G55">
    <cfRule type="expression" dxfId="243" priority="2" stopIfTrue="1">
      <formula>Q55=1</formula>
    </cfRule>
  </conditionalFormatting>
  <conditionalFormatting sqref="M55">
    <cfRule type="expression" dxfId="242" priority="3" stopIfTrue="1">
      <formula>L55=1</formula>
    </cfRule>
  </conditionalFormatting>
  <conditionalFormatting sqref="L55">
    <cfRule type="expression" dxfId="241" priority="4" stopIfTrue="1">
      <formula>$C$2="Yes"</formula>
    </cfRule>
  </conditionalFormatting>
  <dataValidations count="60">
    <dataValidation type="list" allowBlank="1" showInputMessage="1" showErrorMessage="1" sqref="K14:M14" xr:uid="{00000000-0002-0000-0600-000000000000}">
      <formula1>$F$96:$F$123</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G31:G34 I43 E20:E23 E25 E39:E40 I41 E29:E30 E36:E37 T28:V28 E44:E60"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G43 E43 J43 E41 C39:C40 G41 L30 L22 O23 L36:L37 O29 E32:E34 L19:L20 C42 J41 C45:C46 L39:L59 C55:C56"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80" r:id="rId1" display="mailto:info@amanabank.lk" xr:uid="{00000000-0004-0000-0600-000000000000}"/>
    <hyperlink ref="AZ83" r:id="rId2" display="mailto:boc@boc.lk" xr:uid="{00000000-0004-0000-0600-000001000000}"/>
    <hyperlink ref="AZ86" r:id="rId3" display="mailto:email@combank.net" xr:uid="{00000000-0004-0000-0600-000002000000}"/>
    <hyperlink ref="AZ90" r:id="rId4" display="mailto:info@dfccvardhanabank.com" xr:uid="{00000000-0004-0000-0600-000003000000}"/>
    <hyperlink ref="AZ91" r:id="rId5" display="http://www.dfccvardhanabank.com/" xr:uid="{00000000-0004-0000-0600-000004000000}"/>
    <hyperlink ref="AZ93" r:id="rId6" display="mailto:moreinfo@hnb.net" xr:uid="{00000000-0004-0000-0600-000005000000}"/>
    <hyperlink ref="AZ94" r:id="rId7" display="http://www.hnb.net/" xr:uid="{00000000-0004-0000-0600-000006000000}"/>
    <hyperlink ref="AZ96" r:id="rId8" display="mailto:azfar.nomani@mcb.com.lk" xr:uid="{00000000-0004-0000-0600-000007000000}"/>
    <hyperlink ref="AZ99" r:id="rId9" display="mailto:contact@ndbbank.com" xr:uid="{00000000-0004-0000-0600-000008000000}"/>
    <hyperlink ref="AZ100" r:id="rId10" display="http://www.ndbbank.com/" xr:uid="{00000000-0004-0000-0600-000009000000}"/>
    <hyperlink ref="AZ102" r:id="rId11" display="mailto:info@nationstrust.com" xr:uid="{00000000-0004-0000-0600-00000A000000}"/>
    <hyperlink ref="AZ105" r:id="rId12" display="mailto:pabc@pabcbank.com" xr:uid="{00000000-0004-0000-0600-00000B000000}"/>
    <hyperlink ref="AZ106" r:id="rId13" display="http://www.pabcbank.com/" xr:uid="{00000000-0004-0000-0600-00000C000000}"/>
    <hyperlink ref="AZ108" r:id="rId14" display="mailto:info@peoplesbank.lk" xr:uid="{00000000-0004-0000-0600-00000D000000}"/>
    <hyperlink ref="AZ111" r:id="rId15" display="mailto:oper.mgr@sampath.lk" xr:uid="{00000000-0004-0000-0600-00000E000000}"/>
    <hyperlink ref="AZ114" r:id="rId16" display="mailto:info@seylan.lk" xr:uid="{00000000-0004-0000-0600-00000F000000}"/>
    <hyperlink ref="AZ115" r:id="rId17" display="http://www.eseylan.com/" xr:uid="{00000000-0004-0000-0600-000010000000}"/>
    <hyperlink ref="AZ117" r:id="rId18" display="mailto:ubc@unionb.com" xr:uid="{00000000-0004-0000-0600-000011000000}"/>
    <hyperlink ref="AZ120" r:id="rId19" display="mailto:info@dfccbank.com" xr:uid="{00000000-0004-0000-0600-000012000000}"/>
    <hyperlink ref="AZ123" r:id="rId20" display="mailto:info@lankaputhra.lk" xr:uid="{00000000-0004-0000-0600-000013000000}"/>
    <hyperlink ref="AZ124" r:id="rId21" display="http://www.lankaputhra.lk/" xr:uid="{00000000-0004-0000-0600-000014000000}"/>
    <hyperlink ref="AZ126" r:id="rId22" display="mailto:savingsbank@mbslsavingsbank.com" xr:uid="{00000000-0004-0000-0600-000015000000}"/>
    <hyperlink ref="AZ127" r:id="rId23" display="http://www.mbslsavingsbank.com/" xr:uid="{00000000-0004-0000-0600-000016000000}"/>
    <hyperlink ref="AZ129" r:id="rId24" display="mailto:siriwardener@rdb.lk" xr:uid="{00000000-0004-0000-0600-000017000000}"/>
    <hyperlink ref="AZ130" r:id="rId25" display="http://www.rdb.lk/" xr:uid="{00000000-0004-0000-0600-000018000000}"/>
    <hyperlink ref="AZ132" r:id="rId26" display="mailto:info@sdb.lk" xr:uid="{00000000-0004-0000-0600-000019000000}"/>
    <hyperlink ref="AZ133" r:id="rId27" display="http://www.sdb.lk/" xr:uid="{00000000-0004-0000-0600-00001A000000}"/>
    <hyperlink ref="AZ135" r:id="rId28" display="mailto:slsbl@sltnet.lk" xr:uid="{00000000-0004-0000-0600-00001B000000}"/>
    <hyperlink ref="AZ136" r:id="rId29" display="http://www.sdb.lk/" xr:uid="{00000000-0004-0000-0600-00001C000000}"/>
    <hyperlink ref="AZ138" r:id="rId30" display="mailto:aban@abansgroup.com" xr:uid="{00000000-0004-0000-0600-00001D000000}"/>
    <hyperlink ref="AZ139" r:id="rId31" display="http://www.abansgroup.com/" xr:uid="{00000000-0004-0000-0600-00001E000000}"/>
    <hyperlink ref="AZ141" r:id="rId32" display="mailto:info@alliancefinance.lk" xr:uid="{00000000-0004-0000-0600-00001F000000}"/>
    <hyperlink ref="AZ142" r:id="rId33" display="http://www.alliancefinance.lk/" xr:uid="{00000000-0004-0000-0600-000020000000}"/>
    <hyperlink ref="AZ145" r:id="rId34" display="http://www.amwltd.lk/" xr:uid="{00000000-0004-0000-0600-000021000000}"/>
    <hyperlink ref="AZ147" r:id="rId35" display="mailto:bedej@arpicofinance.com" xr:uid="{00000000-0004-0000-0600-000022000000}"/>
    <hyperlink ref="AZ148" r:id="rId36" display="http://www.arpicofinance.lk/" xr:uid="{00000000-0004-0000-0600-000023000000}"/>
    <hyperlink ref="AZ150" r:id="rId37" display="mailto:info@asiaassetfinance.lk" xr:uid="{00000000-0004-0000-0600-000024000000}"/>
    <hyperlink ref="AZ153" r:id="rId38" display="mailto:afl@asianfinance.lk" xr:uid="{00000000-0004-0000-0600-000025000000}"/>
    <hyperlink ref="AZ156" r:id="rId39" display="mailto:amfcoltd@sltnet.lk" xr:uid="{00000000-0004-0000-0600-000026000000}"/>
    <hyperlink ref="AZ159" r:id="rId40" display="mailto:bartfsl@bartleet.com" xr:uid="{00000000-0004-0000-0600-000027000000}"/>
    <hyperlink ref="AZ160" r:id="rId41" display="http://www.batrleetgroup.com/" xr:uid="{00000000-0004-0000-0600-000028000000}"/>
    <hyperlink ref="AZ162" r:id="rId42" display="mailto:bimputhlanka@daya-group.com" xr:uid="{00000000-0004-0000-0600-000029000000}"/>
    <hyperlink ref="AZ163" r:id="rId43" display="http://www.dayagroupofcompanies.com/" xr:uid="{00000000-0004-0000-0600-00002A000000}"/>
    <hyperlink ref="AZ165" r:id="rId44" display="mailto:silvereenkandy@sltnet.lk" xr:uid="{00000000-0004-0000-0600-00002B000000}"/>
    <hyperlink ref="AZ166" r:id="rId45" display="http://www.cbsl.gov.lk/htm/english/05_fss/popup/" xr:uid="{00000000-0004-0000-0600-00002C000000}"/>
    <hyperlink ref="AZ168" r:id="rId46" display="mailto:cenfin@cf.lk" xr:uid="{00000000-0004-0000-0600-00002D000000}"/>
    <hyperlink ref="AZ169" r:id="rId47" display="http://www.cf.lk/" xr:uid="{00000000-0004-0000-0600-00002E000000}"/>
    <hyperlink ref="AZ171" r:id="rId48" display="mailto:cifl@cifl.lk" xr:uid="{00000000-0004-0000-0600-00002F000000}"/>
    <hyperlink ref="AZ172" r:id="rId49" display="http://www.cifl.lk/" xr:uid="{00000000-0004-0000-0600-000030000000}"/>
    <hyperlink ref="AZ174" r:id="rId50" display="mailto:chifinco@gmail.com" xr:uid="{00000000-0004-0000-0600-000031000000}"/>
    <hyperlink ref="AZ177" r:id="rId51" display="mailto:cdb@cdb.lk" xr:uid="{00000000-0004-0000-0600-000032000000}"/>
    <hyperlink ref="AZ178" r:id="rId52" display="http://www.cdb.lk/" xr:uid="{00000000-0004-0000-0600-000033000000}"/>
    <hyperlink ref="AZ180" r:id="rId53" display="mailto:infoifl@infinltd.lk" xr:uid="{00000000-0004-0000-0600-000034000000}"/>
    <hyperlink ref="AZ181" r:id="rId54" display="http://www.ifl.lk/" xr:uid="{00000000-0004-0000-0600-000035000000}"/>
    <hyperlink ref="AZ183" r:id="rId55" display="mailto:ccl@cclk.lk" xr:uid="{00000000-0004-0000-0600-000036000000}"/>
    <hyperlink ref="AZ184" r:id="rId56" display="http://www.cclk.lk/" xr:uid="{00000000-0004-0000-0600-000037000000}"/>
    <hyperlink ref="AZ186" r:id="rId57" display="mailto:clc@.lk" xr:uid="{00000000-0004-0000-0600-000038000000}"/>
    <hyperlink ref="AZ187" r:id="rId58" display="http://www.clc.lk/" xr:uid="{00000000-0004-0000-0600-000039000000}"/>
    <hyperlink ref="AZ189" r:id="rId59" display="mailto:info@divasafinance.lk" xr:uid="{00000000-0004-0000-0600-00003A000000}"/>
    <hyperlink ref="AZ190" r:id="rId60" display="http://www.divasafinance.lk/" xr:uid="{00000000-0004-0000-0600-00003B000000}"/>
    <hyperlink ref="AZ192" r:id="rId61" display="mailto:info@eti.lk" xr:uid="{00000000-0004-0000-0600-00003C000000}"/>
    <hyperlink ref="AZ193" r:id="rId62" display="http://www.eti.lk/" xr:uid="{00000000-0004-0000-0600-00003D000000}"/>
    <hyperlink ref="AZ195" r:id="rId63" display="mailto:chandrin@kanrich.lk" xr:uid="{00000000-0004-0000-0600-00003E000000}"/>
    <hyperlink ref="AZ196" r:id="rId64" display="http://www.kanrich.lk/" xr:uid="{00000000-0004-0000-0600-00003F000000}"/>
    <hyperlink ref="AZ198" r:id="rId65" display="mailto:mail@lbfinance.lk" xr:uid="{00000000-0004-0000-0600-000040000000}"/>
    <hyperlink ref="AZ199" r:id="rId66" display="http://www.lbfinance.com/" xr:uid="{00000000-0004-0000-0600-000041000000}"/>
    <hyperlink ref="AZ201" r:id="rId67" display="mailto:lofin@lankaorix.com" xr:uid="{00000000-0004-0000-0600-000042000000}"/>
    <hyperlink ref="AZ202" r:id="rId68" display="http://www.lankaorix.com/" xr:uid="{00000000-0004-0000-0600-000043000000}"/>
    <hyperlink ref="AZ204" r:id="rId69" display="mailto:mercantile@mi.com.lk" xr:uid="{00000000-0004-0000-0600-000044000000}"/>
    <hyperlink ref="AZ205" r:id="rId70" display="http://www.mi.com.lk/" xr:uid="{00000000-0004-0000-0600-000045000000}"/>
    <hyperlink ref="AZ207" r:id="rId71" display="mailto:mcsl@mbslbank.com" xr:uid="{00000000-0004-0000-0600-000046000000}"/>
    <hyperlink ref="AZ208" r:id="rId72" display="http://www.mcsl.lk/" xr:uid="{00000000-0004-0000-0600-000047000000}"/>
    <hyperlink ref="AZ210" r:id="rId73" display="mailto:info@themultifinance.com" xr:uid="{00000000-0004-0000-0600-000048000000}"/>
    <hyperlink ref="AZ211" r:id="rId74" display="http://www.mcsl.lk/" xr:uid="{00000000-0004-0000-0600-000049000000}"/>
    <hyperlink ref="AZ213" r:id="rId75" display="mailto:info@nifl.lk" xr:uid="{00000000-0004-0000-0600-00004A000000}"/>
    <hyperlink ref="AZ216" r:id="rId76" display="mailto:bede@nflplc.com" xr:uid="{00000000-0004-0000-0600-00004B000000}"/>
    <hyperlink ref="AZ217" r:id="rId77" display="http://www.cbsl.gov.lk/htm/english/05_fss/popup/www.nflplc.lk/" xr:uid="{00000000-0004-0000-0600-00004C000000}"/>
    <hyperlink ref="AZ219" r:id="rId78" display="mailto:dinindus@plc.lk" xr:uid="{00000000-0004-0000-0600-00004D000000}"/>
    <hyperlink ref="AZ222" r:id="rId79" display="mailto:senk@senfin.com" xr:uid="{00000000-0004-0000-0600-00004E000000}"/>
    <hyperlink ref="AZ223" r:id="rId80" display="http://www.senfin.com/" xr:uid="{00000000-0004-0000-0600-00004F000000}"/>
    <hyperlink ref="AZ225" r:id="rId81" display="mailto:financecompany@singersl.com" xr:uid="{00000000-0004-0000-0600-000050000000}"/>
    <hyperlink ref="AZ226" r:id="rId82" display="http://www.singersl.com/" xr:uid="{00000000-0004-0000-0600-000051000000}"/>
    <hyperlink ref="AZ228" r:id="rId83" display="mailto:info@sinhaputhra.lk" xr:uid="{00000000-0004-0000-0600-000052000000}"/>
    <hyperlink ref="AZ229" r:id="rId84" display="http://www.sinhaputhra.lk/" xr:uid="{00000000-0004-0000-0600-000053000000}"/>
    <hyperlink ref="AZ231" r:id="rId85" display="mailto:info@softlogicfinance.lk" xr:uid="{00000000-0004-0000-0600-000054000000}"/>
    <hyperlink ref="AZ232" r:id="rId86" display="http://www.softlogicfinance.lk/" xr:uid="{00000000-0004-0000-0600-000055000000}"/>
    <hyperlink ref="AZ234" r:id="rId87" display="mailto:info@sfs.lk" xr:uid="{00000000-0004-0000-0600-000056000000}"/>
    <hyperlink ref="AZ235" r:id="rId88" display="http://www.sfs.lk/" xr:uid="{00000000-0004-0000-0600-000057000000}"/>
    <hyperlink ref="AZ237" r:id="rId89" display="mailto:info@fglk.com" xr:uid="{00000000-0004-0000-0600-000058000000}"/>
    <hyperlink ref="AZ238" r:id="rId90" display="http://www.fglk.com/" xr:uid="{00000000-0004-0000-0600-000059000000}"/>
    <hyperlink ref="AZ240" r:id="rId91" display="mailto:smi@thefinance.lk" xr:uid="{00000000-0004-0000-0600-00005A000000}"/>
    <hyperlink ref="AZ241" r:id="rId92" display="http://www.thefinance.lk/" xr:uid="{00000000-0004-0000-0600-00005B000000}"/>
    <hyperlink ref="AZ244" r:id="rId93" display="mailto:infomail@cir.lk" xr:uid="{00000000-0004-0000-0600-00005C000000}"/>
    <hyperlink ref="AZ247" r:id="rId94" display="mailto:tradefi@lankabiz.net" xr:uid="{00000000-0004-0000-0600-00005D000000}"/>
    <hyperlink ref="AZ250" r:id="rId95" display="mailto:info@vallibelfinance.com" xr:uid="{00000000-0004-0000-0600-00005E000000}"/>
    <hyperlink ref="AZ253" r:id="rId96" display="mailto:kushantha@dpmco.com" xr:uid="{00000000-0004-0000-0600-00005F000000}"/>
    <hyperlink ref="AZ254" r:id="rId97" display="http://www.assetline.lk/" xr:uid="{00000000-0004-0000-0600-000060000000}"/>
    <hyperlink ref="AZ256" r:id="rId98" display="mailto:%20ceylease@ceylease.lk" xr:uid="{00000000-0004-0000-0600-000061000000}"/>
    <hyperlink ref="AZ259" r:id="rId99" display="mailto:info@cooplease.com" xr:uid="{00000000-0004-0000-0600-000062000000}"/>
    <hyperlink ref="AZ260" r:id="rId100" display="http://www.cooplease.com./" xr:uid="{00000000-0004-0000-0600-000063000000}"/>
    <hyperlink ref="AZ262" r:id="rId101" display="mailto:indrafinance@sltnet.lk" xr:uid="{00000000-0004-0000-0600-000064000000}"/>
    <hyperlink ref="AZ265" r:id="rId102" display="mailto:lmewijesuriya@gmail.lk" xr:uid="{00000000-0004-0000-0600-000065000000}"/>
    <hyperlink ref="AZ268" r:id="rId103" display="mailto:koshilea@sltnet.lk" xr:uid="{00000000-0004-0000-0600-000066000000}"/>
    <hyperlink ref="AZ271" r:id="rId104" display="mailto:lisvin@lisvin.com" xr:uid="{00000000-0004-0000-0600-000067000000}"/>
    <hyperlink ref="AZ274" r:id="rId105" display="mailto:chrishathi@lankaorix.com" xr:uid="{00000000-0004-0000-0600-000068000000}"/>
    <hyperlink ref="AZ277" r:id="rId106" display="mailto:mbslbank@mbslbank.com" xr:uid="{00000000-0004-0000-0600-000069000000}"/>
    <hyperlink ref="AZ280" r:id="rId107" display="mailto:orientleasing@sltnet.lk" xr:uid="{00000000-0004-0000-0600-00006A000000}"/>
    <hyperlink ref="AZ283" r:id="rId108" display="mailto:dpkumarage@plc.lk" xr:uid="{00000000-0004-0000-0600-00006B000000}"/>
    <hyperlink ref="AZ286" r:id="rId109" display="mailto:info@pmb.lk" xr:uid="{00000000-0004-0000-0600-00006C000000}"/>
    <hyperlink ref="AZ287" r:id="rId110" display="http://www.peoplesmerchantbank.lk/" xr:uid="{00000000-0004-0000-0600-00006D000000}"/>
    <hyperlink ref="AZ289" r:id="rId111" display="mailto:roshan@sampath-slfl.lk" xr:uid="{00000000-0004-0000-0600-00006E000000}"/>
    <hyperlink ref="AZ292" r:id="rId112" display="mailto:smbhed@sltnet.lk" xr:uid="{00000000-0004-0000-0600-00006F000000}"/>
    <hyperlink ref="AZ293" r:id="rId113" display="http://www.smblk.com/" xr:uid="{00000000-0004-0000-0600-000070000000}"/>
    <hyperlink ref="AZ295"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4"/>
  <sheetViews>
    <sheetView showGridLines="0" showOutlineSymbols="0" topLeftCell="A11" zoomScale="85" zoomScaleNormal="85" workbookViewId="0">
      <selection activeCell="N21" sqref="N21"/>
    </sheetView>
  </sheetViews>
  <sheetFormatPr defaultColWidth="0" defaultRowHeight="12.75" customHeight="1" zeroHeight="1" x14ac:dyDescent="0.25"/>
  <cols>
    <col min="1" max="1" width="2.453125" style="934" customWidth="1"/>
    <col min="2" max="2" width="1.26953125" style="934" customWidth="1"/>
    <col min="3" max="3" width="4.26953125" style="934" customWidth="1"/>
    <col min="4" max="4" width="10.453125" style="934" customWidth="1"/>
    <col min="5" max="5" width="4.453125" style="934" customWidth="1"/>
    <col min="6" max="6" width="13.26953125" style="934" customWidth="1"/>
    <col min="7" max="7" width="4.26953125" style="934" customWidth="1"/>
    <col min="8" max="8" width="1.54296875" style="934" customWidth="1"/>
    <col min="9" max="9" width="16.1796875" style="934" customWidth="1"/>
    <col min="10" max="11" width="1.81640625" style="934" customWidth="1"/>
    <col min="12" max="12" width="4.81640625" style="934" customWidth="1"/>
    <col min="13" max="13" width="9.81640625" style="934" customWidth="1"/>
    <col min="14" max="14" width="5.1796875" style="934" customWidth="1"/>
    <col min="15" max="15" width="8.7265625" style="934" customWidth="1"/>
    <col min="16" max="16" width="3.7265625" style="934" customWidth="1"/>
    <col min="17" max="17" width="14.26953125" style="934" customWidth="1"/>
    <col min="18" max="18" width="24.81640625" style="934" customWidth="1"/>
    <col min="19" max="19" width="4.7265625" style="934" customWidth="1"/>
    <col min="20" max="20" width="8.7265625" style="934" customWidth="1"/>
    <col min="21" max="21" width="3.54296875" style="934" hidden="1" customWidth="1"/>
    <col min="22" max="22" width="6.81640625" style="937" hidden="1" customWidth="1"/>
    <col min="23" max="24" width="6.453125" style="937" hidden="1" customWidth="1"/>
    <col min="25" max="25" width="4.453125" style="937" hidden="1" customWidth="1"/>
    <col min="26" max="26" width="6.81640625" style="937" hidden="1" customWidth="1"/>
    <col min="27" max="27" width="3.453125" style="937" hidden="1" customWidth="1"/>
    <col min="28" max="28" width="8.81640625" style="937" hidden="1" customWidth="1"/>
    <col min="29" max="29" width="10.1796875" style="937" hidden="1" customWidth="1"/>
    <col min="30" max="253" width="8.81640625" style="934" hidden="1" customWidth="1"/>
    <col min="254" max="254" width="5.7265625" style="934" hidden="1" customWidth="1"/>
    <col min="255" max="255" width="5.1796875" style="934" hidden="1" customWidth="1"/>
    <col min="256" max="16384" width="0.1796875" style="934" hidden="1"/>
  </cols>
  <sheetData>
    <row r="1" spans="1:28" ht="45" customHeight="1" thickTop="1" x14ac:dyDescent="0.45">
      <c r="A1" s="931"/>
      <c r="B1" s="932"/>
      <c r="C1" s="720" t="s">
        <v>597</v>
      </c>
      <c r="D1" s="933"/>
      <c r="E1" s="933"/>
      <c r="F1" s="933"/>
      <c r="G1" s="933"/>
      <c r="H1" s="933"/>
      <c r="I1" s="933"/>
      <c r="J1" s="933"/>
      <c r="K1" s="933"/>
      <c r="L1" s="933"/>
      <c r="M1" s="1749" t="str">
        <f ca="1">CONCATENATE('TW-Working'!H2," - (QI Code - ", X4,"-",W4,"-",Y4,"-",Z4,"-",AA4,"-", AB4)</f>
        <v>GUD/2019/SRC/001 - (QI Code - 0-50-000-128.915653150348-0-ATI)</v>
      </c>
      <c r="N1" s="1749"/>
      <c r="O1" s="1749"/>
      <c r="P1" s="1749"/>
      <c r="Q1" s="1749"/>
      <c r="R1" s="1749"/>
      <c r="S1" s="1750"/>
      <c r="U1" s="935"/>
      <c r="V1" s="936"/>
      <c r="W1" s="936"/>
      <c r="X1" s="936"/>
      <c r="Y1" s="936"/>
      <c r="Z1" s="936"/>
      <c r="AA1" s="936"/>
      <c r="AB1" s="936"/>
    </row>
    <row r="2" spans="1:28" ht="33.75" customHeight="1" x14ac:dyDescent="0.25">
      <c r="A2" s="938"/>
      <c r="B2" s="939"/>
      <c r="C2" s="940"/>
      <c r="D2" s="940"/>
      <c r="E2" s="940"/>
      <c r="F2" s="940"/>
      <c r="G2" s="940"/>
      <c r="H2" s="940"/>
      <c r="I2" s="940"/>
      <c r="J2" s="940"/>
      <c r="K2" s="940"/>
      <c r="L2" s="940"/>
      <c r="M2" s="1751" t="str">
        <f>IF(U3=0,CONCATENATE("Print  ",'TW-Working'!Y48,"  Sheet"),"")</f>
        <v/>
      </c>
      <c r="N2" s="1751"/>
      <c r="O2" s="1751"/>
      <c r="P2" s="1751"/>
      <c r="Q2" s="1751"/>
      <c r="R2" s="1751"/>
      <c r="S2" s="942"/>
      <c r="U2" s="935"/>
      <c r="V2" s="936"/>
      <c r="W2" s="936"/>
      <c r="X2" s="936"/>
      <c r="Y2" s="936"/>
      <c r="Z2" s="936"/>
      <c r="AA2" s="936"/>
      <c r="AB2" s="936"/>
    </row>
    <row r="3" spans="1:28" ht="13" customHeight="1" x14ac:dyDescent="0.25">
      <c r="A3" s="938"/>
      <c r="B3" s="939"/>
      <c r="C3" s="940"/>
      <c r="D3" s="940"/>
      <c r="E3" s="940"/>
      <c r="F3" s="940"/>
      <c r="G3" s="940"/>
      <c r="H3" s="940"/>
      <c r="I3" s="940"/>
      <c r="J3" s="940"/>
      <c r="K3" s="940"/>
      <c r="L3" s="940"/>
      <c r="M3" s="941"/>
      <c r="N3" s="941"/>
      <c r="O3" s="941"/>
      <c r="P3" s="941"/>
      <c r="Q3" s="941"/>
      <c r="R3" s="941"/>
      <c r="S3" s="942"/>
      <c r="U3" s="934">
        <v>1</v>
      </c>
      <c r="V3" s="936"/>
      <c r="W3" s="936"/>
      <c r="X3" s="936"/>
      <c r="Y3" s="936"/>
      <c r="Z3" s="936"/>
      <c r="AA3" s="936"/>
      <c r="AB3" s="936"/>
    </row>
    <row r="4" spans="1:28" ht="20.25" customHeight="1" x14ac:dyDescent="0.35">
      <c r="A4" s="938"/>
      <c r="B4" s="943"/>
      <c r="C4" s="944" t="s">
        <v>524</v>
      </c>
      <c r="D4" s="945"/>
      <c r="E4" s="946"/>
      <c r="F4" s="947"/>
      <c r="G4" s="943"/>
      <c r="H4" s="945"/>
      <c r="I4" s="945"/>
      <c r="J4" s="945"/>
      <c r="K4" s="945"/>
      <c r="L4" s="948"/>
      <c r="M4" s="949"/>
      <c r="N4" s="949"/>
      <c r="O4" s="944"/>
      <c r="P4" s="1752">
        <f ca="1">TODAY()</f>
        <v>45348</v>
      </c>
      <c r="Q4" s="1752"/>
      <c r="R4" s="1752"/>
      <c r="S4" s="950"/>
      <c r="W4" s="951">
        <f ca="1">IF('TW-Working'!$M$37&lt;0,'TW-Working'!$G$37*2,0)</f>
        <v>50</v>
      </c>
      <c r="X4" s="951">
        <f ca="1">IF('TW-Working'!$M$36&lt;0,'TW-Working'!$H$36*2,0)</f>
        <v>0</v>
      </c>
      <c r="Y4" s="952" t="str">
        <f>IF('TW-Working'!$B$21="Free","000","111")</f>
        <v>000</v>
      </c>
      <c r="Z4" s="953">
        <f ca="1">IF('TW-Working'!$M$23&lt;0,'TW-Working'!$H$23*2,0)</f>
        <v>128.91565315034822</v>
      </c>
      <c r="AA4" s="954">
        <f>'TW-Working'!$N$60</f>
        <v>0</v>
      </c>
      <c r="AB4" s="937" t="str">
        <f>IF('TW-Working'!$C$2="Yes","GUD)","ATI)")</f>
        <v>ATI)</v>
      </c>
    </row>
    <row r="5" spans="1:28" ht="13.5" customHeight="1" x14ac:dyDescent="0.3">
      <c r="A5" s="938"/>
      <c r="B5" s="943"/>
      <c r="C5" s="947" t="s">
        <v>422</v>
      </c>
      <c r="D5" s="946"/>
      <c r="E5" s="946"/>
      <c r="F5" s="947"/>
      <c r="G5" s="943"/>
      <c r="H5" s="943"/>
      <c r="I5" s="943"/>
      <c r="J5" s="943"/>
      <c r="K5" s="943"/>
      <c r="L5" s="943"/>
      <c r="M5" s="949"/>
      <c r="N5" s="949"/>
      <c r="O5" s="944"/>
      <c r="P5" s="944"/>
      <c r="Q5" s="955"/>
      <c r="R5" s="956"/>
      <c r="S5" s="957"/>
      <c r="W5" s="936"/>
      <c r="X5" s="958"/>
      <c r="Y5" s="959"/>
      <c r="Z5" s="960"/>
      <c r="AA5" s="961"/>
      <c r="AB5" s="936"/>
    </row>
    <row r="6" spans="1:28" ht="5.15" customHeight="1" x14ac:dyDescent="0.35">
      <c r="A6" s="938"/>
      <c r="B6" s="943"/>
      <c r="C6" s="962"/>
      <c r="D6" s="963"/>
      <c r="E6" s="963"/>
      <c r="F6" s="963"/>
      <c r="G6" s="963"/>
      <c r="H6" s="963"/>
      <c r="I6" s="963"/>
      <c r="J6" s="963"/>
      <c r="K6" s="963"/>
      <c r="L6" s="963"/>
      <c r="M6" s="964"/>
      <c r="N6" s="964"/>
      <c r="O6" s="964"/>
      <c r="P6" s="964"/>
      <c r="Q6" s="964"/>
      <c r="R6" s="964"/>
      <c r="S6" s="957"/>
    </row>
    <row r="7" spans="1:28" ht="18" customHeight="1" x14ac:dyDescent="0.3">
      <c r="A7" s="938"/>
      <c r="B7" s="943"/>
      <c r="C7" s="965" t="s">
        <v>293</v>
      </c>
      <c r="D7" s="966"/>
      <c r="E7" s="966"/>
      <c r="F7" s="966"/>
      <c r="G7" s="966"/>
      <c r="H7" s="966"/>
      <c r="I7" s="966"/>
      <c r="J7" s="966"/>
      <c r="K7" s="945"/>
      <c r="L7" s="967" t="s">
        <v>23</v>
      </c>
      <c r="M7" s="968"/>
      <c r="N7" s="945"/>
      <c r="O7" s="969"/>
      <c r="P7" s="970" t="str">
        <f>IF(AND(U3=1,'TW-Working'!U2=1),UPPER('TW-Working'!H8),"")</f>
        <v>THREE WHEELER</v>
      </c>
      <c r="Q7" s="971"/>
      <c r="R7" s="971"/>
      <c r="S7" s="972"/>
    </row>
    <row r="8" spans="1:28" ht="18" customHeight="1" x14ac:dyDescent="0.25">
      <c r="A8" s="938"/>
      <c r="B8" s="943"/>
      <c r="C8" s="1732" t="s">
        <v>520</v>
      </c>
      <c r="D8" s="1733"/>
      <c r="E8" s="1733"/>
      <c r="F8" s="1733"/>
      <c r="G8" s="1733"/>
      <c r="H8" s="1733"/>
      <c r="I8" s="1733"/>
      <c r="J8" s="1734"/>
      <c r="K8" s="973"/>
      <c r="L8" s="967" t="s">
        <v>106</v>
      </c>
      <c r="M8" s="974"/>
      <c r="N8" s="969"/>
      <c r="O8" s="969"/>
      <c r="P8" s="1732" t="s">
        <v>520</v>
      </c>
      <c r="Q8" s="1733"/>
      <c r="R8" s="1734"/>
      <c r="S8" s="975"/>
    </row>
    <row r="9" spans="1:28" ht="18" customHeight="1" x14ac:dyDescent="0.3">
      <c r="A9" s="938"/>
      <c r="B9" s="943"/>
      <c r="C9" s="976" t="str">
        <f>IF(AND('TW-Working'!H12="HYBRID",'TW-Working'!H14="No",'TW-Working'!B12="Corporate"),CONCATENATE("(",'TW-Working'!B12," CUSTOMER)"),"")</f>
        <v/>
      </c>
      <c r="D9" s="977"/>
      <c r="E9" s="977"/>
      <c r="F9" s="977"/>
      <c r="G9" s="977"/>
      <c r="H9" s="977"/>
      <c r="I9" s="977"/>
      <c r="J9" s="977"/>
      <c r="K9" s="973"/>
      <c r="L9" s="967" t="s">
        <v>373</v>
      </c>
      <c r="M9" s="978"/>
      <c r="N9" s="969"/>
      <c r="O9" s="969"/>
      <c r="P9" s="1732" t="s">
        <v>516</v>
      </c>
      <c r="Q9" s="1733"/>
      <c r="R9" s="1734"/>
      <c r="S9" s="979"/>
    </row>
    <row r="10" spans="1:28" ht="18" customHeight="1" x14ac:dyDescent="0.3">
      <c r="A10" s="938"/>
      <c r="B10" s="943"/>
      <c r="C10" s="965" t="s">
        <v>292</v>
      </c>
      <c r="D10" s="966"/>
      <c r="E10" s="966"/>
      <c r="F10" s="966"/>
      <c r="G10" s="980"/>
      <c r="H10" s="980"/>
      <c r="I10" s="980"/>
      <c r="J10" s="980"/>
      <c r="K10" s="981"/>
      <c r="L10" s="967" t="s">
        <v>353</v>
      </c>
      <c r="M10" s="978"/>
      <c r="N10" s="982"/>
      <c r="O10" s="982"/>
      <c r="P10" s="1730" t="s">
        <v>519</v>
      </c>
      <c r="Q10" s="1731"/>
      <c r="R10" s="1731"/>
      <c r="S10" s="983"/>
      <c r="X10" s="984" t="s">
        <v>522</v>
      </c>
    </row>
    <row r="11" spans="1:28" ht="18" customHeight="1" x14ac:dyDescent="0.25">
      <c r="A11" s="938"/>
      <c r="B11" s="943"/>
      <c r="C11" s="1732" t="s">
        <v>520</v>
      </c>
      <c r="D11" s="1733"/>
      <c r="E11" s="1733"/>
      <c r="F11" s="1733"/>
      <c r="G11" s="1733"/>
      <c r="H11" s="1733"/>
      <c r="I11" s="1733"/>
      <c r="J11" s="1734"/>
      <c r="K11" s="973"/>
      <c r="L11" s="967" t="s">
        <v>32</v>
      </c>
      <c r="M11" s="974"/>
      <c r="N11" s="985"/>
      <c r="O11" s="982"/>
      <c r="P11" s="1732" t="s">
        <v>523</v>
      </c>
      <c r="Q11" s="1733"/>
      <c r="R11" s="1734"/>
      <c r="S11" s="986"/>
    </row>
    <row r="12" spans="1:28" ht="18" customHeight="1" x14ac:dyDescent="0.3">
      <c r="A12" s="938"/>
      <c r="B12" s="943"/>
      <c r="C12" s="987" t="s">
        <v>294</v>
      </c>
      <c r="D12" s="966"/>
      <c r="E12" s="966"/>
      <c r="F12" s="966"/>
      <c r="G12" s="988"/>
      <c r="H12" s="988"/>
      <c r="I12" s="988"/>
      <c r="J12" s="988"/>
      <c r="K12" s="989"/>
      <c r="L12" s="967" t="s">
        <v>33</v>
      </c>
      <c r="M12" s="974"/>
      <c r="N12" s="990"/>
      <c r="O12" s="990"/>
      <c r="P12" s="1735" t="str">
        <f>IF('TW-Working'!U2=1,UPPER(V12),"")</f>
        <v>HIRING</v>
      </c>
      <c r="Q12" s="1735"/>
      <c r="R12" s="1735"/>
      <c r="S12" s="992"/>
      <c r="V12" s="937" t="str">
        <f>IF('TW-Working'!H9="Private Use","Private Use Only",'TW-Working'!H9)</f>
        <v>Hiring</v>
      </c>
    </row>
    <row r="13" spans="1:28" ht="19.899999999999999" customHeight="1" x14ac:dyDescent="0.3">
      <c r="A13" s="938"/>
      <c r="B13" s="993">
        <f>IF(OR(C13=I87,C13=I88,C13=I89,C13=I90,C13=I91,C13=I92,C13=I93,C13=I94,C13=I95,C13=I96,C13=I97,C13=I98,C13=I99),1,0)</f>
        <v>0</v>
      </c>
      <c r="C13" s="1736" t="s">
        <v>540</v>
      </c>
      <c r="D13" s="1737"/>
      <c r="E13" s="1737"/>
      <c r="F13" s="1737"/>
      <c r="G13" s="1737"/>
      <c r="H13" s="1737"/>
      <c r="I13" s="1737"/>
      <c r="J13" s="1738"/>
      <c r="K13" s="994"/>
      <c r="L13" s="967" t="s">
        <v>405</v>
      </c>
      <c r="M13" s="974"/>
      <c r="N13" s="990"/>
      <c r="O13" s="990"/>
      <c r="P13" s="1730">
        <v>2021</v>
      </c>
      <c r="Q13" s="1739"/>
      <c r="R13" s="995">
        <f>IF(U3=1,'TW-Working'!T12,"")</f>
        <v>4</v>
      </c>
      <c r="S13" s="992"/>
      <c r="T13" s="996">
        <f>IF(I13="Ijarah","Ijarah",I13)</f>
        <v>0</v>
      </c>
      <c r="V13" s="937" t="str">
        <f>IF(AND('TW-Working'!K14="",'TW-Working'!B21="No"),"NOT APPLICABLE",IF(AND('TW-Working'!K14="",OR('TW-Working'!B21="Yes",'TW-Working'!B21="Free")),"APPLICABLE  - TO BE ADVISED",'TW-Working'!K14))</f>
        <v>RICHARD PIERIS FINANCE</v>
      </c>
    </row>
    <row r="14" spans="1:28" ht="14.5" customHeight="1" x14ac:dyDescent="0.3">
      <c r="A14" s="938"/>
      <c r="B14" s="943"/>
      <c r="C14" s="896"/>
      <c r="D14" s="896"/>
      <c r="E14" s="896"/>
      <c r="F14" s="896"/>
      <c r="G14" s="896"/>
      <c r="H14" s="896"/>
      <c r="I14" s="997"/>
      <c r="J14" s="998"/>
      <c r="K14" s="998"/>
      <c r="L14" s="896"/>
      <c r="M14" s="896"/>
      <c r="N14" s="896"/>
      <c r="O14" s="896"/>
      <c r="P14" s="896"/>
      <c r="Q14" s="896"/>
      <c r="R14" s="896"/>
      <c r="S14" s="999"/>
    </row>
    <row r="15" spans="1:28" ht="6.75" customHeight="1" thickBot="1" x14ac:dyDescent="0.35">
      <c r="A15" s="938"/>
      <c r="B15" s="943"/>
      <c r="C15" s="943"/>
      <c r="D15" s="943"/>
      <c r="E15" s="943"/>
      <c r="F15" s="943"/>
      <c r="G15" s="943"/>
      <c r="H15" s="943"/>
      <c r="I15" s="943"/>
      <c r="J15" s="945"/>
      <c r="K15" s="945"/>
      <c r="L15" s="943"/>
      <c r="M15" s="943"/>
      <c r="N15" s="943"/>
      <c r="O15" s="943"/>
      <c r="P15" s="943"/>
      <c r="Q15" s="943"/>
      <c r="R15" s="943"/>
      <c r="S15" s="1000"/>
    </row>
    <row r="16" spans="1:28" ht="13.15" customHeight="1" x14ac:dyDescent="0.3">
      <c r="A16" s="938"/>
      <c r="B16" s="943"/>
      <c r="C16" s="1001" t="s">
        <v>297</v>
      </c>
      <c r="D16" s="943"/>
      <c r="E16" s="943"/>
      <c r="F16" s="1002" t="str">
        <f>IF('TW-Working'!H3="One Year",": One Year",CONCATENATE(": ",'Calculation (2)'!H9," Days"))</f>
        <v>: One Year</v>
      </c>
      <c r="G16" s="943"/>
      <c r="H16" s="943"/>
      <c r="I16" s="991" t="str">
        <f>IF('TW-Working'!H3="One Year","",CONCATENATE("(",'TW-Working'!H3," Basis)"))</f>
        <v/>
      </c>
      <c r="J16" s="945"/>
      <c r="K16" s="945"/>
      <c r="L16" s="943"/>
      <c r="M16" s="943"/>
      <c r="N16" s="943"/>
      <c r="O16" s="943"/>
      <c r="P16" s="1003"/>
      <c r="Q16" s="1740">
        <v>500000</v>
      </c>
      <c r="R16" s="1741"/>
      <c r="S16" s="1000"/>
    </row>
    <row r="17" spans="1:32" ht="13.15" customHeight="1" thickBot="1" x14ac:dyDescent="0.35">
      <c r="A17" s="938"/>
      <c r="B17" s="943"/>
      <c r="C17" s="1744" t="str">
        <f>IF('TW-Working'!H3="One Year","",CONCATENATE("(From ",'TW-Working'!G4," ",'TW-Working'!H4," ",'TW-Working'!I4," to ",'TW-Working'!G5," ",'TW-Working'!H5," ",'TW-Working'!I5,")"))</f>
        <v/>
      </c>
      <c r="D17" s="1744"/>
      <c r="E17" s="1744"/>
      <c r="F17" s="1744"/>
      <c r="G17" s="1744"/>
      <c r="H17" s="1744"/>
      <c r="I17" s="1744"/>
      <c r="J17" s="945"/>
      <c r="K17" s="945"/>
      <c r="L17" s="1004" t="s">
        <v>598</v>
      </c>
      <c r="M17" s="978"/>
      <c r="N17" s="943"/>
      <c r="O17" s="943"/>
      <c r="P17" s="1003"/>
      <c r="Q17" s="1742"/>
      <c r="R17" s="1743"/>
      <c r="S17" s="1000"/>
    </row>
    <row r="18" spans="1:32" ht="17.149999999999999" customHeight="1" x14ac:dyDescent="0.3">
      <c r="A18" s="938"/>
      <c r="B18" s="943"/>
      <c r="C18" s="1744"/>
      <c r="D18" s="1744"/>
      <c r="E18" s="1744"/>
      <c r="F18" s="1744"/>
      <c r="G18" s="1744"/>
      <c r="H18" s="1744"/>
      <c r="I18" s="1744"/>
      <c r="J18" s="945"/>
      <c r="K18" s="945"/>
      <c r="L18" s="1005" t="s">
        <v>599</v>
      </c>
      <c r="M18" s="943"/>
      <c r="N18" s="943"/>
      <c r="O18" s="943"/>
      <c r="P18" s="943"/>
      <c r="Q18" s="1006" t="s">
        <v>24</v>
      </c>
      <c r="R18" s="1007">
        <f>IF(U3=1,'TW-Working'!O61,"")</f>
        <v>8460.4627212660125</v>
      </c>
      <c r="S18" s="1000"/>
    </row>
    <row r="19" spans="1:32" ht="15" customHeight="1" x14ac:dyDescent="0.3">
      <c r="A19" s="938"/>
      <c r="B19" s="943"/>
      <c r="C19" s="1008" t="s">
        <v>513</v>
      </c>
      <c r="D19" s="1009"/>
      <c r="E19" s="1009"/>
      <c r="F19" s="1009"/>
      <c r="G19" s="1009"/>
      <c r="H19" s="1009"/>
      <c r="I19" s="1009"/>
      <c r="J19" s="945"/>
      <c r="K19" s="945"/>
      <c r="L19" s="1005" t="s">
        <v>600</v>
      </c>
      <c r="M19" s="978"/>
      <c r="N19" s="943"/>
      <c r="O19" s="943"/>
      <c r="P19" s="943"/>
      <c r="Q19" s="1006" t="s">
        <v>24</v>
      </c>
      <c r="R19" s="1007">
        <f>IF(U3=1,'TW-Working'!M40+'TW-Working'!M41,"")</f>
        <v>1250</v>
      </c>
      <c r="S19" s="1000"/>
      <c r="T19" s="1010" t="s">
        <v>56</v>
      </c>
    </row>
    <row r="20" spans="1:32" ht="17.149999999999999" customHeight="1" x14ac:dyDescent="0.3">
      <c r="A20" s="938"/>
      <c r="B20" s="943"/>
      <c r="C20" s="1745" t="s">
        <v>593</v>
      </c>
      <c r="D20" s="1745"/>
      <c r="E20" s="1745"/>
      <c r="F20" s="1745"/>
      <c r="G20" s="1745"/>
      <c r="H20" s="1745"/>
      <c r="I20" s="1745"/>
      <c r="J20" s="1745"/>
      <c r="K20" s="945"/>
      <c r="L20" s="1011" t="s">
        <v>601</v>
      </c>
      <c r="M20" s="943"/>
      <c r="N20" s="943"/>
      <c r="O20" s="943"/>
      <c r="P20" s="943"/>
      <c r="Q20" s="1006" t="s">
        <v>24</v>
      </c>
      <c r="R20" s="1007">
        <f>IF(U3=1,'TW-Working'!M42+'TW-Working'!M43,"")</f>
        <v>312.5</v>
      </c>
      <c r="S20" s="1000"/>
      <c r="T20" s="1418" t="s">
        <v>76</v>
      </c>
    </row>
    <row r="21" spans="1:32" ht="17.149999999999999" customHeight="1" x14ac:dyDescent="0.3">
      <c r="A21" s="938"/>
      <c r="B21" s="943"/>
      <c r="C21" s="1745"/>
      <c r="D21" s="1745"/>
      <c r="E21" s="1745"/>
      <c r="F21" s="1745"/>
      <c r="G21" s="1745"/>
      <c r="H21" s="1745"/>
      <c r="I21" s="1745"/>
      <c r="J21" s="1745"/>
      <c r="K21" s="945"/>
      <c r="L21" s="1011" t="s">
        <v>143</v>
      </c>
      <c r="M21" s="943"/>
      <c r="N21" s="943"/>
      <c r="O21" s="943"/>
      <c r="P21" s="943"/>
      <c r="Q21" s="1006" t="s">
        <v>24</v>
      </c>
      <c r="R21" s="1007">
        <f>SUM('TW-Working'!M62:M66)</f>
        <v>7836.3838180316507</v>
      </c>
      <c r="S21" s="1000"/>
    </row>
    <row r="22" spans="1:32" ht="17.149999999999999" customHeight="1" thickBot="1" x14ac:dyDescent="0.35">
      <c r="A22" s="938"/>
      <c r="B22" s="943"/>
      <c r="C22" s="1745"/>
      <c r="D22" s="1745"/>
      <c r="E22" s="1745"/>
      <c r="F22" s="1745"/>
      <c r="G22" s="1745"/>
      <c r="H22" s="1745"/>
      <c r="I22" s="1745"/>
      <c r="J22" s="1745"/>
      <c r="K22" s="945"/>
      <c r="L22" s="1011" t="str">
        <f>IF('Rates (2)'!$F$20="Yes","Nation Building Levy (NBL)","VAT")</f>
        <v>VAT</v>
      </c>
      <c r="M22" s="943"/>
      <c r="N22" s="943"/>
      <c r="O22" s="943"/>
      <c r="P22" s="943"/>
      <c r="Q22" s="1006" t="s">
        <v>24</v>
      </c>
      <c r="R22" s="1007">
        <f ca="1">IF(AND('Rates (2)'!$F$20="Yes",$U$3=1),'TW-Working'!$M$65*'TW-Working'!$C$71,IF($U$3=1,'TW-Working'!$M$67*'TW-Working'!$C$71,""))</f>
        <v>3214.6823770735796</v>
      </c>
      <c r="S22" s="1000"/>
    </row>
    <row r="23" spans="1:32" ht="17.149999999999999" customHeight="1" thickTop="1" thickBot="1" x14ac:dyDescent="0.35">
      <c r="A23" s="938"/>
      <c r="B23" s="943"/>
      <c r="C23" s="1745"/>
      <c r="D23" s="1745"/>
      <c r="E23" s="1745"/>
      <c r="F23" s="1745"/>
      <c r="G23" s="1745"/>
      <c r="H23" s="1745"/>
      <c r="I23" s="1745"/>
      <c r="J23" s="1745"/>
      <c r="K23" s="945"/>
      <c r="L23" s="1005" t="str">
        <f>IF('Rates (2)'!$F$20="Yes","VAT","Total Premium")</f>
        <v>Total Premium</v>
      </c>
      <c r="M23" s="943"/>
      <c r="N23" s="943"/>
      <c r="O23" s="943"/>
      <c r="P23" s="943"/>
      <c r="Q23" s="1006" t="s">
        <v>24</v>
      </c>
      <c r="R23" s="1012">
        <f ca="1">IF(AND('Rates (2)'!$F$20="Yes",U3=1),'TW-Working'!$M$67*'TW-Working'!$C$71,IF(U3=1,'TW-Working'!$M$68,""))</f>
        <v>21074.028916371244</v>
      </c>
      <c r="S23" s="1000"/>
      <c r="Y23" s="1013"/>
    </row>
    <row r="24" spans="1:32" ht="17.149999999999999" customHeight="1" thickTop="1" x14ac:dyDescent="0.3">
      <c r="A24" s="938"/>
      <c r="B24" s="943"/>
      <c r="C24" s="1745"/>
      <c r="D24" s="1745"/>
      <c r="E24" s="1745"/>
      <c r="F24" s="1745"/>
      <c r="G24" s="1745"/>
      <c r="H24" s="1745"/>
      <c r="I24" s="1745"/>
      <c r="J24" s="1745"/>
      <c r="K24" s="945"/>
      <c r="L24" s="1014" t="str">
        <f>IF('Rates (2)'!$F$20="Yes","Total Premium","")</f>
        <v/>
      </c>
      <c r="M24" s="943"/>
      <c r="N24" s="943"/>
      <c r="O24" s="943"/>
      <c r="P24" s="943"/>
      <c r="Q24" s="1015" t="str">
        <f>IF('Rates (2)'!$F$20="Yes","Rs.","")</f>
        <v/>
      </c>
      <c r="R24" s="1016" t="str">
        <f>IF(AND($U$3=1,'Rates (2)'!$F$20="Yes"),'TW-Working'!$M$68,"")</f>
        <v/>
      </c>
      <c r="S24" s="1000"/>
    </row>
    <row r="25" spans="1:32" ht="25.15" customHeight="1" x14ac:dyDescent="0.3">
      <c r="A25" s="938"/>
      <c r="B25" s="943"/>
      <c r="C25" s="1017"/>
      <c r="D25" s="1017"/>
      <c r="E25" s="1017"/>
      <c r="F25" s="1017"/>
      <c r="G25" s="1017"/>
      <c r="H25" s="1017"/>
      <c r="I25" s="1017"/>
      <c r="J25" s="1017"/>
      <c r="K25" s="945"/>
      <c r="L25" s="1746"/>
      <c r="M25" s="1746"/>
      <c r="N25" s="1746"/>
      <c r="O25" s="1746"/>
      <c r="P25" s="1746"/>
      <c r="Q25" s="1746"/>
      <c r="R25" s="1746"/>
      <c r="S25" s="1747"/>
      <c r="X25" s="1013"/>
      <c r="AB25" s="1018"/>
    </row>
    <row r="26" spans="1:32" ht="14.25" hidden="1" customHeight="1" x14ac:dyDescent="0.3">
      <c r="A26" s="938"/>
      <c r="B26" s="943"/>
      <c r="C26" s="1019"/>
      <c r="D26" s="1019"/>
      <c r="E26" s="1019"/>
      <c r="F26" s="1019"/>
      <c r="G26" s="1019"/>
      <c r="H26" s="1019"/>
      <c r="I26" s="1019"/>
      <c r="J26" s="1019"/>
      <c r="K26" s="1019"/>
      <c r="L26" s="1019"/>
      <c r="M26" s="1019"/>
      <c r="N26" s="1019"/>
      <c r="O26" s="1019"/>
      <c r="P26" s="1019"/>
      <c r="Q26" s="1019"/>
      <c r="R26" s="1019"/>
      <c r="S26" s="1000"/>
    </row>
    <row r="27" spans="1:32" ht="14.25" hidden="1" customHeight="1" x14ac:dyDescent="0.3">
      <c r="A27" s="938"/>
      <c r="B27" s="943"/>
      <c r="C27" s="1019"/>
      <c r="D27" s="1019"/>
      <c r="E27" s="1019"/>
      <c r="F27" s="1019"/>
      <c r="G27" s="1019"/>
      <c r="H27" s="1019"/>
      <c r="I27" s="1019"/>
      <c r="J27" s="1019"/>
      <c r="K27" s="1019"/>
      <c r="L27" s="1019"/>
      <c r="M27" s="1019"/>
      <c r="N27" s="1019"/>
      <c r="O27" s="1019"/>
      <c r="P27" s="1019"/>
      <c r="Q27" s="1019"/>
      <c r="R27" s="1019"/>
      <c r="S27" s="1020"/>
    </row>
    <row r="28" spans="1:32" ht="18" customHeight="1" x14ac:dyDescent="0.3">
      <c r="A28" s="938"/>
      <c r="B28" s="943"/>
      <c r="C28" s="1021" t="s">
        <v>289</v>
      </c>
      <c r="D28" s="1022"/>
      <c r="E28" s="1022"/>
      <c r="F28" s="1022"/>
      <c r="G28" s="1022"/>
      <c r="H28" s="1022"/>
      <c r="I28" s="1022"/>
      <c r="J28" s="1022"/>
      <c r="K28" s="1022"/>
      <c r="L28" s="1022"/>
      <c r="M28" s="1022"/>
      <c r="N28" s="1022"/>
      <c r="O28" s="1022"/>
      <c r="P28" s="1022"/>
      <c r="Q28" s="1022"/>
      <c r="R28" s="1023"/>
      <c r="S28" s="1020"/>
      <c r="V28" s="1024"/>
      <c r="W28" s="1024"/>
      <c r="X28" s="1024"/>
      <c r="Y28" s="1024"/>
      <c r="Z28" s="1024"/>
      <c r="AA28" s="1024"/>
      <c r="AB28" s="1024"/>
      <c r="AC28" s="1024"/>
      <c r="AD28" s="1025"/>
      <c r="AE28" s="1025"/>
      <c r="AF28" s="1025"/>
    </row>
    <row r="29" spans="1:32" ht="18" customHeight="1" x14ac:dyDescent="0.3">
      <c r="A29" s="938"/>
      <c r="B29" s="943"/>
      <c r="C29" s="1026" t="s">
        <v>287</v>
      </c>
      <c r="D29" s="1027" t="s">
        <v>315</v>
      </c>
      <c r="E29" s="1019"/>
      <c r="F29" s="1019"/>
      <c r="G29" s="1019"/>
      <c r="H29" s="1019"/>
      <c r="I29" s="1019"/>
      <c r="J29" s="1019"/>
      <c r="K29" s="1019"/>
      <c r="L29" s="1019"/>
      <c r="M29" s="1019"/>
      <c r="N29" s="1019"/>
      <c r="O29" s="1019"/>
      <c r="P29" s="1019"/>
      <c r="Q29" s="1019"/>
      <c r="R29" s="1028"/>
      <c r="S29" s="1020"/>
      <c r="V29" s="1024"/>
      <c r="W29" s="1029"/>
      <c r="X29" s="1024"/>
      <c r="Y29" s="1024"/>
      <c r="Z29" s="1024"/>
      <c r="AA29" s="1024"/>
      <c r="AB29" s="1030"/>
      <c r="AC29" s="1024"/>
      <c r="AD29" s="1025"/>
      <c r="AE29" s="1025"/>
      <c r="AF29" s="1025"/>
    </row>
    <row r="30" spans="1:32" ht="18" customHeight="1" x14ac:dyDescent="0.3">
      <c r="A30" s="938"/>
      <c r="B30" s="943"/>
      <c r="C30" s="1026" t="s">
        <v>288</v>
      </c>
      <c r="D30" s="1027" t="str">
        <f>CONCATENATE("Third Party Liability"," (Property Damage limited to Rs.",FIXED(MAX('Rates (2)'!B55,R33),0),")")</f>
        <v>Third Party Liability (Property Damage limited to Rs.1,000,000)</v>
      </c>
      <c r="E30" s="1019"/>
      <c r="F30" s="1019"/>
      <c r="G30" s="1019"/>
      <c r="H30" s="1019"/>
      <c r="I30" s="1019"/>
      <c r="J30" s="1019"/>
      <c r="K30" s="1019"/>
      <c r="L30" s="1019"/>
      <c r="M30" s="1019"/>
      <c r="N30" s="1019"/>
      <c r="O30" s="1019"/>
      <c r="P30" s="1019"/>
      <c r="Q30" s="1019"/>
      <c r="R30" s="1028"/>
      <c r="S30" s="1020"/>
      <c r="V30" s="1024"/>
      <c r="W30" s="1024"/>
      <c r="X30" s="1024"/>
      <c r="Y30" s="1024"/>
      <c r="Z30" s="1024"/>
      <c r="AA30" s="1024"/>
      <c r="AB30" s="1024"/>
      <c r="AC30" s="1024"/>
      <c r="AD30" s="1025"/>
      <c r="AE30" s="1025"/>
      <c r="AF30" s="1025"/>
    </row>
    <row r="31" spans="1:32" ht="18" customHeight="1" x14ac:dyDescent="0.3">
      <c r="A31" s="938"/>
      <c r="B31" s="943"/>
      <c r="C31" s="1026" t="s">
        <v>286</v>
      </c>
      <c r="D31" s="1027" t="s">
        <v>295</v>
      </c>
      <c r="E31" s="1019"/>
      <c r="F31" s="1019"/>
      <c r="G31" s="1019"/>
      <c r="H31" s="1019"/>
      <c r="I31" s="1019"/>
      <c r="J31" s="1019"/>
      <c r="K31" s="1019"/>
      <c r="L31" s="1019"/>
      <c r="M31" s="1019"/>
      <c r="N31" s="1019"/>
      <c r="O31" s="1019"/>
      <c r="P31" s="1019"/>
      <c r="Q31" s="1019"/>
      <c r="R31" s="1031"/>
      <c r="S31" s="1020"/>
      <c r="V31" s="1024"/>
      <c r="W31" s="1024"/>
      <c r="X31" s="1024"/>
      <c r="Y31" s="1024"/>
      <c r="Z31" s="1024"/>
      <c r="AA31" s="1024"/>
      <c r="AB31" s="1024"/>
      <c r="AC31" s="1024"/>
      <c r="AD31" s="1025"/>
      <c r="AE31" s="1025"/>
      <c r="AF31" s="1025"/>
    </row>
    <row r="32" spans="1:32" ht="19" customHeight="1" thickBot="1" x14ac:dyDescent="0.45">
      <c r="A32" s="938"/>
      <c r="B32" s="943"/>
      <c r="C32" s="1032"/>
      <c r="D32" s="1032"/>
      <c r="E32" s="1033"/>
      <c r="F32" s="1033"/>
      <c r="G32" s="1033"/>
      <c r="H32" s="1034" t="str">
        <f>IF('TW-Working'!B21="Free","FREE",IF('TW-Working'!B21="No","N/A","Yes"))</f>
        <v>FREE</v>
      </c>
      <c r="I32" s="1035"/>
      <c r="J32" s="1036"/>
      <c r="K32" s="945"/>
      <c r="L32" s="1037"/>
      <c r="M32" s="1032"/>
      <c r="N32" s="1038"/>
      <c r="O32" s="1039"/>
      <c r="P32" s="945"/>
      <c r="Q32" s="943"/>
      <c r="R32" s="1032"/>
      <c r="S32" s="1040"/>
      <c r="T32" s="1041" t="s">
        <v>514</v>
      </c>
      <c r="U32" s="1042" t="str">
        <f>'TW-Working'!B21</f>
        <v>Free</v>
      </c>
      <c r="V32" s="1024" t="s">
        <v>17</v>
      </c>
      <c r="W32" s="1043">
        <f>IF(OR('TW-Working'!R25=2,'TW-Working'!AA25=1),1,0)</f>
        <v>1</v>
      </c>
      <c r="X32" s="1024"/>
      <c r="Y32" s="1024"/>
      <c r="Z32" s="1044">
        <f>IF(AND('TW-Working'!AA25=1,'TW-Working'!R25=2),MAX('TW-Working'!H25,'Rates (2)'!C40),IF(AND('TW-Working'!AA25=1,'TW-Working'!R25&lt;2),'Rates (2)'!C40,IF(AND('TW-Working'!AA25=0,'TW-Working'!R25=2),'TW-Working'!H25,0)))</f>
        <v>1000000</v>
      </c>
      <c r="AA32" s="1024"/>
      <c r="AB32" s="1024"/>
      <c r="AC32" s="1024"/>
      <c r="AD32" s="1025"/>
      <c r="AE32" s="1025"/>
      <c r="AF32" s="1025"/>
    </row>
    <row r="33" spans="1:32" ht="19" customHeight="1" thickBot="1" x14ac:dyDescent="0.4">
      <c r="A33" s="938"/>
      <c r="B33" s="943"/>
      <c r="C33" s="1045" t="s">
        <v>10</v>
      </c>
      <c r="D33" s="1005" t="s">
        <v>553</v>
      </c>
      <c r="E33" s="1046"/>
      <c r="F33" s="1046"/>
      <c r="G33" s="1046"/>
      <c r="H33" s="945"/>
      <c r="I33" s="945"/>
      <c r="J33" s="1036"/>
      <c r="K33" s="945"/>
      <c r="L33" s="1045" t="s">
        <v>10</v>
      </c>
      <c r="M33" s="1047" t="s">
        <v>6</v>
      </c>
      <c r="N33" s="1048"/>
      <c r="O33" s="948"/>
      <c r="P33" s="948"/>
      <c r="Q33" s="948"/>
      <c r="R33" s="1415">
        <v>1000000</v>
      </c>
      <c r="S33" s="1417">
        <v>300000</v>
      </c>
      <c r="T33" s="1049" t="s">
        <v>0</v>
      </c>
      <c r="U33" s="1042" t="str">
        <f>'TW-Working'!B39</f>
        <v>Yes</v>
      </c>
      <c r="V33" s="1024" t="s">
        <v>36</v>
      </c>
      <c r="W33" s="1043">
        <f>'TW-Working'!R29</f>
        <v>2</v>
      </c>
      <c r="X33" s="1024"/>
      <c r="Y33" s="1024"/>
      <c r="Z33" s="1024"/>
      <c r="AA33" s="1024"/>
      <c r="AB33" s="1024"/>
      <c r="AC33" s="1024"/>
      <c r="AD33" s="1025"/>
      <c r="AE33" s="1025"/>
      <c r="AF33" s="1025"/>
    </row>
    <row r="34" spans="1:32" ht="19" customHeight="1" thickBot="1" x14ac:dyDescent="0.4">
      <c r="A34" s="938"/>
      <c r="B34" s="943"/>
      <c r="C34" s="1045" t="s">
        <v>10</v>
      </c>
      <c r="D34" s="1005" t="s">
        <v>261</v>
      </c>
      <c r="E34" s="1046"/>
      <c r="F34" s="1046"/>
      <c r="G34" s="1046"/>
      <c r="H34" s="945"/>
      <c r="I34" s="945"/>
      <c r="J34" s="1036"/>
      <c r="K34" s="945"/>
      <c r="L34" s="1045" t="s">
        <v>10</v>
      </c>
      <c r="M34" s="610" t="s">
        <v>550</v>
      </c>
      <c r="N34" s="948"/>
      <c r="O34" s="948"/>
      <c r="P34" s="1050"/>
      <c r="Q34" s="948"/>
      <c r="R34" s="1435">
        <v>1000000</v>
      </c>
      <c r="S34" s="999"/>
      <c r="T34" s="1051">
        <v>0</v>
      </c>
      <c r="U34" s="1042" t="str">
        <f>'TW-Working'!B40</f>
        <v>Yes</v>
      </c>
      <c r="V34" s="1024" t="s">
        <v>35</v>
      </c>
      <c r="W34" s="1043">
        <f>'TW-Working'!T48</f>
        <v>1</v>
      </c>
      <c r="X34" s="1024"/>
      <c r="Y34" s="1024"/>
      <c r="Z34" s="1024"/>
      <c r="AA34" s="1024"/>
      <c r="AB34" s="1024"/>
      <c r="AC34" s="1024"/>
      <c r="AD34" s="1025"/>
      <c r="AE34" s="1025"/>
      <c r="AF34" s="1025"/>
    </row>
    <row r="35" spans="1:32" ht="19" customHeight="1" thickBot="1" x14ac:dyDescent="0.4">
      <c r="A35" s="938"/>
      <c r="B35" s="943"/>
      <c r="C35" s="1045" t="s">
        <v>10</v>
      </c>
      <c r="D35" s="1005" t="s">
        <v>262</v>
      </c>
      <c r="E35" s="1052"/>
      <c r="F35" s="1053"/>
      <c r="G35" s="1054"/>
      <c r="H35" s="1055"/>
      <c r="I35" s="1054"/>
      <c r="J35" s="1036"/>
      <c r="K35" s="945"/>
      <c r="L35" s="1045" t="s">
        <v>10</v>
      </c>
      <c r="M35" s="1005" t="s">
        <v>13</v>
      </c>
      <c r="N35" s="948"/>
      <c r="O35" s="948"/>
      <c r="P35" s="948"/>
      <c r="Q35" s="948"/>
      <c r="R35" s="1435">
        <v>10000</v>
      </c>
      <c r="S35" s="999"/>
      <c r="U35" s="1042">
        <f>IF('TW-Working'!Y42&gt;0,1,0)</f>
        <v>0</v>
      </c>
      <c r="V35" s="1024" t="s">
        <v>18</v>
      </c>
      <c r="W35" s="1043">
        <f>IF('TW-Working'!Z42&gt;0,1,0)</f>
        <v>0</v>
      </c>
      <c r="X35" s="1024" t="s">
        <v>16</v>
      </c>
      <c r="Y35" s="1043">
        <f>IF('TW-Working'!X42&gt;0,1,0)</f>
        <v>0</v>
      </c>
      <c r="Z35" s="1024" t="s">
        <v>31</v>
      </c>
      <c r="AA35" s="1043">
        <f>IF('TW-Working'!T47=0,0,'TW-Working'!O47)</f>
        <v>1</v>
      </c>
      <c r="AB35" s="1024"/>
      <c r="AC35" s="1024"/>
      <c r="AD35" s="1025"/>
      <c r="AE35" s="1025"/>
      <c r="AF35" s="1025"/>
    </row>
    <row r="36" spans="1:32" ht="19" customHeight="1" thickBot="1" x14ac:dyDescent="0.4">
      <c r="A36" s="938"/>
      <c r="B36" s="943">
        <f>IF('TW-Working'!M50&gt;0,1,0)</f>
        <v>1</v>
      </c>
      <c r="C36" s="1045" t="s">
        <v>10</v>
      </c>
      <c r="D36" s="1005" t="s">
        <v>554</v>
      </c>
      <c r="E36" s="1056"/>
      <c r="F36" s="1053"/>
      <c r="G36" s="1057"/>
      <c r="H36" s="1015" t="s">
        <v>555</v>
      </c>
      <c r="I36" s="1014"/>
      <c r="J36" s="1036"/>
      <c r="K36" s="945"/>
      <c r="L36" s="1045" t="s">
        <v>10</v>
      </c>
      <c r="M36" s="1047" t="s">
        <v>45</v>
      </c>
      <c r="N36" s="948"/>
      <c r="O36" s="948"/>
      <c r="P36" s="948"/>
      <c r="Q36" s="948"/>
      <c r="R36" s="1435">
        <v>500000</v>
      </c>
      <c r="S36" s="1020"/>
      <c r="U36" s="1042" t="str">
        <f>'TW-Working'!B41</f>
        <v>Yes</v>
      </c>
      <c r="V36" s="1024" t="s">
        <v>30</v>
      </c>
      <c r="W36" s="1043">
        <f>'TW-Working'!O52</f>
        <v>0</v>
      </c>
      <c r="X36" s="1024"/>
      <c r="Y36" s="1043"/>
      <c r="Z36" s="1024"/>
      <c r="AA36" s="1043"/>
      <c r="AB36" s="1024"/>
      <c r="AC36" s="1024"/>
      <c r="AD36" s="1025"/>
      <c r="AE36" s="1025"/>
      <c r="AF36" s="1025"/>
    </row>
    <row r="37" spans="1:32" ht="19" customHeight="1" thickBot="1" x14ac:dyDescent="0.4">
      <c r="A37" s="938"/>
      <c r="B37" s="943"/>
      <c r="C37" s="21" t="s">
        <v>10</v>
      </c>
      <c r="D37" s="218" t="s">
        <v>604</v>
      </c>
      <c r="E37" s="1503"/>
      <c r="F37" s="1504"/>
      <c r="G37" s="1505"/>
      <c r="H37" s="1506"/>
      <c r="I37" s="1505"/>
      <c r="J37" s="1507"/>
      <c r="K37" s="1508"/>
      <c r="L37" s="21" t="s">
        <v>10</v>
      </c>
      <c r="M37" s="253" t="s">
        <v>609</v>
      </c>
      <c r="N37" s="1501"/>
      <c r="O37" s="1501"/>
      <c r="P37" s="1501"/>
      <c r="Q37" s="1501"/>
      <c r="R37" s="1413">
        <v>100000</v>
      </c>
      <c r="S37" s="1020"/>
      <c r="U37" s="1042"/>
      <c r="V37" s="1024"/>
      <c r="W37" s="1043"/>
      <c r="X37" s="1024"/>
      <c r="Y37" s="1043"/>
      <c r="Z37" s="1024"/>
      <c r="AA37" s="1043"/>
      <c r="AB37" s="1024"/>
      <c r="AC37" s="1024"/>
      <c r="AD37" s="1025"/>
      <c r="AE37" s="1025"/>
      <c r="AF37" s="1025"/>
    </row>
    <row r="38" spans="1:32" ht="19" customHeight="1" x14ac:dyDescent="0.35">
      <c r="A38" s="938"/>
      <c r="B38" s="943"/>
      <c r="C38" s="1045" t="s">
        <v>10</v>
      </c>
      <c r="D38" s="1005" t="s">
        <v>552</v>
      </c>
      <c r="E38" s="1005"/>
      <c r="F38" s="1005"/>
      <c r="G38" s="1058"/>
      <c r="H38" s="1058"/>
      <c r="I38" s="1014"/>
      <c r="J38" s="1036"/>
      <c r="K38" s="945"/>
      <c r="L38" s="21" t="s">
        <v>10</v>
      </c>
      <c r="M38" s="117" t="s">
        <v>558</v>
      </c>
      <c r="N38" s="1059"/>
      <c r="O38" s="945"/>
      <c r="P38" s="945"/>
      <c r="Q38" s="1060"/>
      <c r="R38" s="1429"/>
      <c r="S38" s="1020"/>
      <c r="T38" s="934">
        <f>IF('TW-Working'!M54&gt;0,1,0)</f>
        <v>1</v>
      </c>
      <c r="U38" s="1042">
        <f>IF('TW-Working'!Y43&gt;0,1,0)</f>
        <v>0</v>
      </c>
      <c r="V38" s="1024" t="s">
        <v>18</v>
      </c>
      <c r="W38" s="1043">
        <f>IF('TW-Working'!Z43&gt;0,1,0)</f>
        <v>0</v>
      </c>
      <c r="X38" s="1024" t="s">
        <v>16</v>
      </c>
      <c r="Y38" s="1043">
        <f>IF('TW-Working'!X43&gt;0,1,0)</f>
        <v>0</v>
      </c>
      <c r="Z38" s="1024" t="s">
        <v>29</v>
      </c>
      <c r="AA38" s="1043">
        <f>IF(OR('TW-Working'!Q49&gt;0,'TW-Working'!H49&gt;0),1,0)</f>
        <v>1</v>
      </c>
      <c r="AB38" s="1024">
        <f>IF(AND('TW-Working'!T47=1,'TW-Working'!H49&lt;7500),7500,'TW-Working'!H49)</f>
        <v>7500</v>
      </c>
      <c r="AC38" s="1024"/>
      <c r="AD38" s="1025"/>
      <c r="AE38" s="1025"/>
      <c r="AF38" s="1025"/>
    </row>
    <row r="39" spans="1:32" ht="19" hidden="1" customHeight="1" x14ac:dyDescent="0.35">
      <c r="A39" s="938"/>
      <c r="B39" s="943"/>
      <c r="C39" s="1005"/>
      <c r="D39" s="1005"/>
      <c r="E39" s="1005"/>
      <c r="F39" s="1005"/>
      <c r="G39" s="1046"/>
      <c r="H39" s="945"/>
      <c r="I39" s="945"/>
      <c r="J39" s="1036"/>
      <c r="K39" s="1061" t="str">
        <f ca="1">IF('TW-Working'!M37&lt;0,"No Claim Bonus (*)","Earned NCB")</f>
        <v>No Claim Bonus (*)</v>
      </c>
      <c r="L39" s="1045" t="s">
        <v>10</v>
      </c>
      <c r="M39" s="1005"/>
      <c r="N39" s="1059"/>
      <c r="O39" s="1035"/>
      <c r="P39" s="1035"/>
      <c r="Q39" s="1062"/>
      <c r="R39" s="1428"/>
      <c r="S39" s="1020"/>
      <c r="U39" s="1042">
        <f>'TW-Working'!O50</f>
        <v>1</v>
      </c>
      <c r="V39" s="1043" t="s">
        <v>28</v>
      </c>
      <c r="W39" s="1043">
        <f ca="1">'TW-Working'!P23</f>
        <v>1</v>
      </c>
      <c r="X39" s="1024"/>
      <c r="Y39" s="1024"/>
      <c r="Z39" s="1024"/>
      <c r="AA39" s="1024"/>
      <c r="AB39" s="1024"/>
      <c r="AC39" s="1024"/>
      <c r="AD39" s="1025"/>
      <c r="AE39" s="1025"/>
      <c r="AF39" s="1025"/>
    </row>
    <row r="40" spans="1:32" ht="19" hidden="1" customHeight="1" x14ac:dyDescent="0.35">
      <c r="A40" s="938"/>
      <c r="B40" s="943"/>
      <c r="C40" s="1005"/>
      <c r="D40" s="1005"/>
      <c r="E40" s="1005"/>
      <c r="F40" s="1005"/>
      <c r="G40" s="1063"/>
      <c r="H40" s="1063"/>
      <c r="I40" s="1015"/>
      <c r="J40" s="1036"/>
      <c r="K40" s="945"/>
      <c r="L40" s="1054" t="s">
        <v>10</v>
      </c>
      <c r="M40" s="1064" t="str">
        <f>IF(U43=1,"Duty Free Cover","")</f>
        <v>Duty Free Cover</v>
      </c>
      <c r="N40" s="948"/>
      <c r="O40" s="948"/>
      <c r="P40" s="948"/>
      <c r="Q40" s="948"/>
      <c r="R40" s="948"/>
      <c r="S40" s="1020"/>
      <c r="T40" s="934" t="s">
        <v>18</v>
      </c>
      <c r="U40" s="1042">
        <f>'TW-Working'!O51</f>
        <v>1</v>
      </c>
      <c r="V40" s="1024" t="s">
        <v>27</v>
      </c>
      <c r="W40" s="1043">
        <f>'TW-Working'!O22</f>
        <v>0</v>
      </c>
      <c r="X40" s="1024"/>
      <c r="Y40" s="1024"/>
      <c r="Z40" s="1024"/>
      <c r="AA40" s="1024"/>
      <c r="AB40" s="1024"/>
      <c r="AC40" s="1024"/>
      <c r="AD40" s="1025"/>
      <c r="AE40" s="1025"/>
      <c r="AF40" s="1025"/>
    </row>
    <row r="41" spans="1:32" ht="19" hidden="1" customHeight="1" x14ac:dyDescent="0.35">
      <c r="A41" s="938"/>
      <c r="B41" s="943"/>
      <c r="C41" s="1065" t="s">
        <v>10</v>
      </c>
      <c r="D41" s="1015" t="str">
        <f>IF($T$41=1,PROPER('TW-Working'!$F$58),"")</f>
        <v/>
      </c>
      <c r="E41" s="1038"/>
      <c r="F41" s="1066"/>
      <c r="G41" s="1038"/>
      <c r="H41" s="1038"/>
      <c r="I41" s="1015"/>
      <c r="J41" s="1036"/>
      <c r="K41" s="945"/>
      <c r="L41" s="1054" t="s">
        <v>10</v>
      </c>
      <c r="M41" s="1015" t="str">
        <f>IF($U$41=1,PROPER('TW-Working'!$F$59),"")</f>
        <v/>
      </c>
      <c r="N41" s="948"/>
      <c r="O41" s="948"/>
      <c r="P41" s="948"/>
      <c r="Q41" s="943"/>
      <c r="R41" s="943"/>
      <c r="S41" s="1020"/>
      <c r="T41" s="1067">
        <f>'TW-Working'!$O$58</f>
        <v>0</v>
      </c>
      <c r="U41" s="1067">
        <f>'TW-Working'!$O$59</f>
        <v>0</v>
      </c>
      <c r="V41" s="1024"/>
      <c r="W41" s="1043"/>
      <c r="X41" s="1024"/>
      <c r="Y41" s="1024"/>
      <c r="Z41" s="1024"/>
      <c r="AA41" s="1024"/>
      <c r="AB41" s="1024"/>
      <c r="AC41" s="1024"/>
      <c r="AD41" s="1025"/>
      <c r="AE41" s="1025"/>
      <c r="AF41" s="1025"/>
    </row>
    <row r="42" spans="1:32" ht="12.75" hidden="1" customHeight="1" x14ac:dyDescent="0.35">
      <c r="A42" s="938"/>
      <c r="B42" s="943"/>
      <c r="C42" s="943"/>
      <c r="D42" s="1748"/>
      <c r="E42" s="1748"/>
      <c r="F42" s="943"/>
      <c r="G42" s="943"/>
      <c r="H42" s="943"/>
      <c r="I42" s="943"/>
      <c r="J42" s="945"/>
      <c r="K42" s="945"/>
      <c r="L42" s="948"/>
      <c r="M42" s="948"/>
      <c r="N42" s="948"/>
      <c r="O42" s="948"/>
      <c r="P42" s="948"/>
      <c r="Q42" s="948"/>
      <c r="R42" s="1060"/>
      <c r="S42" s="1020"/>
      <c r="T42" s="934" t="s">
        <v>25</v>
      </c>
      <c r="U42" s="1042">
        <f>'TW-Working'!O54</f>
        <v>1</v>
      </c>
      <c r="V42" s="1068" t="s">
        <v>0</v>
      </c>
      <c r="W42" s="1043">
        <f ca="1">'TW-Working'!O36</f>
        <v>1</v>
      </c>
      <c r="X42" s="1024"/>
      <c r="Y42" s="1024"/>
      <c r="Z42" s="1024"/>
      <c r="AA42" s="1024"/>
      <c r="AB42" s="1024"/>
    </row>
    <row r="43" spans="1:32" ht="21.75" customHeight="1" x14ac:dyDescent="0.3">
      <c r="A43" s="938"/>
      <c r="B43" s="943"/>
      <c r="C43" s="1069"/>
      <c r="D43" s="1069"/>
      <c r="E43" s="1069"/>
      <c r="F43" s="1069"/>
      <c r="G43" s="1069"/>
      <c r="H43" s="1069"/>
      <c r="I43" s="1069"/>
      <c r="J43" s="1069"/>
      <c r="K43" s="1069"/>
      <c r="L43" s="1069"/>
      <c r="M43" s="1440" t="str">
        <f>IF('MC-Working'!H54&gt;0,CONCATENATE("(for Insured's Spouce &amp; Children above 18 yrs)","")," (for Insured's Spouce &amp; Children above 18 Yrs)")</f>
        <v>(for Insured's Spouce &amp; Children above 18 yrs)</v>
      </c>
      <c r="N43" s="1069"/>
      <c r="O43" s="1069"/>
      <c r="P43" s="1069"/>
      <c r="Q43" s="1069"/>
      <c r="R43" s="1069"/>
      <c r="S43" s="999"/>
      <c r="T43" s="934" t="s">
        <v>41</v>
      </c>
      <c r="U43" s="1042">
        <f>IF('TW-Working'!B55="Yes",1,0)</f>
        <v>1</v>
      </c>
      <c r="V43" s="1024" t="s">
        <v>39</v>
      </c>
      <c r="W43" s="1043">
        <v>1</v>
      </c>
      <c r="X43" s="1024" t="s">
        <v>40</v>
      </c>
      <c r="Y43" s="1024">
        <f>'TW-Working'!O45</f>
        <v>0</v>
      </c>
      <c r="Z43" s="1024"/>
      <c r="AA43" s="1024"/>
      <c r="AB43" s="1024"/>
    </row>
    <row r="44" spans="1:32" ht="13.5" customHeight="1" x14ac:dyDescent="0.3">
      <c r="A44" s="938"/>
      <c r="B44" s="943"/>
      <c r="C44" s="1729" t="s">
        <v>606</v>
      </c>
      <c r="D44" s="1729"/>
      <c r="E44" s="1729"/>
      <c r="F44" s="1729"/>
      <c r="G44" s="1729"/>
      <c r="H44" s="1729"/>
      <c r="I44" s="1729"/>
      <c r="J44" s="1729"/>
      <c r="K44" s="1729"/>
      <c r="L44" s="1729"/>
      <c r="M44" s="1729"/>
      <c r="N44" s="1729"/>
      <c r="O44" s="1729"/>
      <c r="P44" s="1729"/>
      <c r="Q44" s="1729"/>
      <c r="R44" s="1729"/>
      <c r="S44" s="999"/>
      <c r="T44" s="934" t="s">
        <v>16</v>
      </c>
      <c r="U44" s="1042">
        <f>'TW-Working'!O30</f>
        <v>0</v>
      </c>
      <c r="V44" s="1024" t="s">
        <v>42</v>
      </c>
      <c r="W44" s="1043">
        <f>'TW-Working'!E34</f>
        <v>1</v>
      </c>
      <c r="X44" s="1024" t="s">
        <v>46</v>
      </c>
      <c r="Y44" s="1024" t="str">
        <f>'TW-Working'!B46</f>
        <v>No</v>
      </c>
      <c r="Z44" s="1024" t="s">
        <v>46</v>
      </c>
      <c r="AA44" s="1024">
        <f>IF('TW-Working'!Q48=0,1,'TW-Working'!T46)</f>
        <v>0</v>
      </c>
      <c r="AB44" s="1024">
        <f>IF(AND('TW-Working'!M8="Motor Coach",'TW-Working'!H9="SLTB Route"),1,0)</f>
        <v>0</v>
      </c>
    </row>
    <row r="45" spans="1:32" ht="18" customHeight="1" x14ac:dyDescent="0.3">
      <c r="A45" s="938"/>
      <c r="B45" s="943"/>
      <c r="C45" s="1070" t="s">
        <v>320</v>
      </c>
      <c r="D45" s="1071"/>
      <c r="E45" s="1071"/>
      <c r="F45" s="1071"/>
      <c r="G45" s="966" t="s">
        <v>321</v>
      </c>
      <c r="H45" s="1071"/>
      <c r="I45" s="1071"/>
      <c r="J45" s="1071"/>
      <c r="K45" s="1071"/>
      <c r="L45" s="1071"/>
      <c r="M45" s="1071"/>
      <c r="N45" s="1071"/>
      <c r="O45" s="1071"/>
      <c r="P45" s="1071"/>
      <c r="Q45" s="1071"/>
      <c r="R45" s="1071"/>
      <c r="S45" s="999"/>
      <c r="U45" s="1042"/>
      <c r="V45" s="1024"/>
      <c r="W45" s="1043"/>
      <c r="X45" s="1024"/>
      <c r="Y45" s="1024"/>
      <c r="Z45" s="1024"/>
      <c r="AA45" s="1024"/>
      <c r="AB45" s="1024"/>
    </row>
    <row r="46" spans="1:32" ht="18" customHeight="1" x14ac:dyDescent="0.3">
      <c r="A46" s="938"/>
      <c r="B46" s="943">
        <f>IF(AND('Rates (2)'!D71="Yes",'TW-Working'!H12="Hybrid"),1,0)</f>
        <v>0</v>
      </c>
      <c r="C46" s="1072" t="s">
        <v>402</v>
      </c>
      <c r="D46" s="1071"/>
      <c r="E46" s="1071"/>
      <c r="F46" s="1071"/>
      <c r="G46" s="1071"/>
      <c r="H46" s="1073" t="s">
        <v>49</v>
      </c>
      <c r="I46" s="1074" t="s">
        <v>539</v>
      </c>
      <c r="J46" s="1075"/>
      <c r="K46" s="1071"/>
      <c r="L46" s="1076" t="str">
        <f>IF(U33="Yes","• Flood &amp; Natural Disaster","")</f>
        <v>• Flood &amp; Natural Disaster</v>
      </c>
      <c r="M46" s="1071"/>
      <c r="N46" s="1071"/>
      <c r="O46" s="1071"/>
      <c r="P46" s="1071"/>
      <c r="Q46" s="1071" t="str">
        <f>IF(U33="Yes","-","")</f>
        <v>-</v>
      </c>
      <c r="R46" s="1074" t="s">
        <v>535</v>
      </c>
      <c r="S46" s="999"/>
      <c r="U46" s="1042"/>
      <c r="W46" s="1077"/>
    </row>
    <row r="47" spans="1:32" ht="18" customHeight="1" x14ac:dyDescent="0.3">
      <c r="A47" s="938"/>
      <c r="B47" s="943"/>
      <c r="C47" s="1407" t="s">
        <v>536</v>
      </c>
      <c r="D47" s="1408"/>
      <c r="E47" s="1408"/>
      <c r="F47" s="1408"/>
      <c r="G47" s="1408"/>
      <c r="H47" s="1409" t="s">
        <v>49</v>
      </c>
      <c r="I47" s="1410" t="s">
        <v>537</v>
      </c>
      <c r="J47" s="1075"/>
      <c r="K47" s="1071"/>
      <c r="L47" s="1078"/>
      <c r="M47" s="1079"/>
      <c r="N47" s="946"/>
      <c r="O47" s="946"/>
      <c r="P47" s="1071"/>
      <c r="Q47" s="1071"/>
      <c r="R47" s="1071"/>
      <c r="S47" s="999"/>
      <c r="U47" s="1042"/>
      <c r="W47" s="1077"/>
    </row>
    <row r="48" spans="1:32" ht="18" customHeight="1" x14ac:dyDescent="0.3">
      <c r="A48" s="938"/>
      <c r="B48" s="943"/>
      <c r="C48" s="1080" t="str">
        <f>IF(AND('Rates (2)'!D67="Yes",OR('TW-Working'!H12="Hybrid",'TW-Working'!H12="Electric")),CONCATENATE("• Excess on Inverter 25%; Excess on Battery : ",'Rates (2)'!A68),"")</f>
        <v/>
      </c>
      <c r="D48" s="1081"/>
      <c r="E48" s="1081"/>
      <c r="F48" s="1081"/>
      <c r="G48" s="1081"/>
      <c r="H48" s="1081"/>
      <c r="I48" s="1081"/>
      <c r="J48" s="1082"/>
      <c r="K48" s="1083"/>
      <c r="L48" s="1083"/>
      <c r="M48" s="1083"/>
      <c r="N48" s="1083"/>
      <c r="O48" s="1083"/>
      <c r="P48" s="1083"/>
      <c r="Q48" s="1071"/>
      <c r="R48" s="1071"/>
      <c r="S48" s="999"/>
      <c r="U48" s="1042"/>
      <c r="W48" s="1077"/>
    </row>
    <row r="49" spans="1:24" ht="18" customHeight="1" x14ac:dyDescent="0.3">
      <c r="A49" s="938"/>
      <c r="B49" s="943"/>
      <c r="C49" s="1722" t="s">
        <v>296</v>
      </c>
      <c r="D49" s="1723"/>
      <c r="E49" s="1723"/>
      <c r="F49" s="1723"/>
      <c r="G49" s="1723"/>
      <c r="H49" s="1723"/>
      <c r="I49" s="1723"/>
      <c r="J49" s="1723"/>
      <c r="K49" s="1723"/>
      <c r="L49" s="1723"/>
      <c r="M49" s="1723"/>
      <c r="N49" s="1723"/>
      <c r="O49" s="1723"/>
      <c r="P49" s="1723"/>
      <c r="Q49" s="1723"/>
      <c r="R49" s="1723"/>
      <c r="S49" s="999"/>
      <c r="U49" s="1042"/>
      <c r="W49" s="1077"/>
    </row>
    <row r="50" spans="1:24" ht="40.5" customHeight="1" x14ac:dyDescent="0.3">
      <c r="A50" s="938"/>
      <c r="B50" s="943"/>
      <c r="C50" s="1724" t="str">
        <f ca="1">CONCATENATE(A66,X50)</f>
        <v xml:space="preserve">This quotation is offered based on the information provided by the Proposer and is subject to revision upon changes to the risk. Further, this quotation is valid only for 30 days from the date of issue and is subject to revision of government taxes. </v>
      </c>
      <c r="D50" s="1724"/>
      <c r="E50" s="1724"/>
      <c r="F50" s="1724"/>
      <c r="G50" s="1724"/>
      <c r="H50" s="1724"/>
      <c r="I50" s="1724"/>
      <c r="J50" s="1724"/>
      <c r="K50" s="1724"/>
      <c r="L50" s="1724"/>
      <c r="M50" s="1724"/>
      <c r="N50" s="1724"/>
      <c r="O50" s="1724"/>
      <c r="P50" s="1724"/>
      <c r="Q50" s="1724"/>
      <c r="R50" s="1724"/>
      <c r="S50" s="999"/>
      <c r="T50" s="934" t="s">
        <v>129</v>
      </c>
      <c r="U50" s="1084">
        <f>IF(AND('TW-Working'!M8="Motor Coach",'TW-Working'!H9="SLTB Route"),1,0)</f>
        <v>0</v>
      </c>
      <c r="V50" s="937" t="s">
        <v>26</v>
      </c>
      <c r="W50" s="1077">
        <f>'TW-Working'!O56</f>
        <v>0</v>
      </c>
      <c r="X50" s="937" t="str">
        <f ca="1">IF('TW-Working'!M36&lt;0,"NCB allowed is subject to documentary evidence.","")</f>
        <v/>
      </c>
    </row>
    <row r="51" spans="1:24" ht="17.25" hidden="1" customHeight="1" x14ac:dyDescent="0.3">
      <c r="A51" s="938"/>
      <c r="B51" s="943"/>
      <c r="C51" s="1085" t="s">
        <v>9</v>
      </c>
      <c r="D51" s="966"/>
      <c r="E51" s="966"/>
      <c r="F51" s="966"/>
      <c r="G51" s="966"/>
      <c r="H51" s="966"/>
      <c r="I51" s="966"/>
      <c r="J51" s="966"/>
      <c r="K51" s="966"/>
      <c r="L51" s="966"/>
      <c r="M51" s="966"/>
      <c r="N51" s="966"/>
      <c r="O51" s="966"/>
      <c r="P51" s="966"/>
      <c r="Q51" s="966"/>
      <c r="R51" s="966"/>
      <c r="S51" s="999"/>
    </row>
    <row r="52" spans="1:24" ht="14.25" hidden="1" customHeight="1" x14ac:dyDescent="0.3">
      <c r="A52" s="938"/>
      <c r="B52" s="943"/>
      <c r="C52" s="1725" t="s">
        <v>594</v>
      </c>
      <c r="D52" s="1725"/>
      <c r="E52" s="1725"/>
      <c r="F52" s="1725"/>
      <c r="G52" s="1725"/>
      <c r="H52" s="1725"/>
      <c r="I52" s="1725"/>
      <c r="J52" s="1725"/>
      <c r="K52" s="1725"/>
      <c r="L52" s="1725"/>
      <c r="M52" s="1725"/>
      <c r="N52" s="1725"/>
      <c r="O52" s="1725"/>
      <c r="P52" s="1725"/>
      <c r="Q52" s="1725"/>
      <c r="R52" s="1725"/>
      <c r="S52" s="999"/>
    </row>
    <row r="53" spans="1:24" ht="29.25" hidden="1" customHeight="1" x14ac:dyDescent="0.3">
      <c r="A53" s="938"/>
      <c r="B53" s="943"/>
      <c r="C53" s="1725"/>
      <c r="D53" s="1725"/>
      <c r="E53" s="1725"/>
      <c r="F53" s="1725"/>
      <c r="G53" s="1725"/>
      <c r="H53" s="1725"/>
      <c r="I53" s="1725"/>
      <c r="J53" s="1725"/>
      <c r="K53" s="1725"/>
      <c r="L53" s="1725"/>
      <c r="M53" s="1725"/>
      <c r="N53" s="1725"/>
      <c r="O53" s="1725"/>
      <c r="P53" s="1725"/>
      <c r="Q53" s="1725"/>
      <c r="R53" s="1725"/>
      <c r="S53" s="1020"/>
    </row>
    <row r="54" spans="1:24" ht="20.149999999999999" customHeight="1" x14ac:dyDescent="0.3">
      <c r="A54" s="938"/>
      <c r="B54" s="943"/>
      <c r="C54" s="1086" t="s">
        <v>521</v>
      </c>
      <c r="D54" s="1087"/>
      <c r="E54" s="1087"/>
      <c r="F54" s="1087"/>
      <c r="G54" s="1087"/>
      <c r="H54" s="1087"/>
      <c r="I54" s="1087"/>
      <c r="J54" s="1088"/>
      <c r="K54" s="1088"/>
      <c r="L54" s="1088"/>
      <c r="M54" s="1088"/>
      <c r="N54" s="1088"/>
      <c r="O54" s="1088"/>
      <c r="P54" s="1088"/>
      <c r="Q54" s="1088"/>
      <c r="R54" s="1088"/>
      <c r="S54" s="1020"/>
    </row>
    <row r="55" spans="1:24" ht="29.25" customHeight="1" x14ac:dyDescent="0.3">
      <c r="A55" s="938"/>
      <c r="B55" s="943"/>
      <c r="C55" s="1726" t="s">
        <v>595</v>
      </c>
      <c r="D55" s="1726"/>
      <c r="E55" s="1726"/>
      <c r="F55" s="1726"/>
      <c r="G55" s="1726"/>
      <c r="H55" s="1726"/>
      <c r="I55" s="1726"/>
      <c r="J55" s="1726"/>
      <c r="K55" s="1726"/>
      <c r="L55" s="1726"/>
      <c r="M55" s="1726"/>
      <c r="N55" s="1089"/>
      <c r="O55" s="1089"/>
      <c r="P55" s="1089"/>
      <c r="Q55" s="1089"/>
      <c r="R55" s="1089"/>
      <c r="S55" s="1020"/>
    </row>
    <row r="56" spans="1:24" ht="26.25" customHeight="1" x14ac:dyDescent="0.3">
      <c r="A56" s="938"/>
      <c r="B56" s="943"/>
      <c r="C56" s="1726"/>
      <c r="D56" s="1726"/>
      <c r="E56" s="1726"/>
      <c r="F56" s="1726"/>
      <c r="G56" s="1726"/>
      <c r="H56" s="1726"/>
      <c r="I56" s="1726"/>
      <c r="J56" s="1726"/>
      <c r="K56" s="1726"/>
      <c r="L56" s="1726"/>
      <c r="M56" s="1726"/>
      <c r="N56" s="1089"/>
      <c r="O56" s="1089"/>
      <c r="P56" s="1089"/>
      <c r="Q56" s="1089"/>
      <c r="R56" s="1089"/>
      <c r="S56" s="1020"/>
      <c r="V56" s="937">
        <f>IF(OR('TW-Working'!E61=0,'TW-Working'!E61=""),1,0)</f>
        <v>1</v>
      </c>
    </row>
    <row r="57" spans="1:24" ht="18" customHeight="1" x14ac:dyDescent="0.3">
      <c r="A57" s="938"/>
      <c r="B57" s="943"/>
      <c r="C57" s="1090"/>
      <c r="D57" s="1091"/>
      <c r="E57" s="1091"/>
      <c r="F57" s="1091"/>
      <c r="G57" s="1091"/>
      <c r="H57" s="1091"/>
      <c r="I57" s="1091"/>
      <c r="J57" s="1091"/>
      <c r="K57" s="1091"/>
      <c r="L57" s="1091"/>
      <c r="M57" s="1091"/>
      <c r="N57" s="1727"/>
      <c r="O57" s="1727"/>
      <c r="P57" s="1727"/>
      <c r="Q57" s="1727"/>
      <c r="R57" s="1727"/>
      <c r="S57" s="1020"/>
    </row>
    <row r="58" spans="1:24" ht="30.75" hidden="1" customHeight="1" x14ac:dyDescent="0.3">
      <c r="A58" s="938"/>
      <c r="B58" s="943"/>
      <c r="C58" s="1092"/>
      <c r="D58" s="1091"/>
      <c r="E58" s="1091"/>
      <c r="F58" s="1091"/>
      <c r="G58" s="1091"/>
      <c r="H58" s="1091"/>
      <c r="I58" s="1091"/>
      <c r="J58" s="1091"/>
      <c r="K58" s="1091"/>
      <c r="L58" s="1091"/>
      <c r="M58" s="1091"/>
      <c r="N58" s="1091"/>
      <c r="O58" s="1091"/>
      <c r="P58" s="1091"/>
      <c r="Q58" s="1091"/>
      <c r="R58" s="1091"/>
      <c r="S58" s="1020"/>
    </row>
    <row r="59" spans="1:24" ht="15.75" hidden="1" customHeight="1" x14ac:dyDescent="0.3">
      <c r="A59" s="938"/>
      <c r="B59" s="943"/>
      <c r="C59" s="1728"/>
      <c r="D59" s="1728"/>
      <c r="E59" s="1728"/>
      <c r="F59" s="1728"/>
      <c r="G59" s="1728"/>
      <c r="H59" s="1728"/>
      <c r="I59" s="1728"/>
      <c r="J59" s="1093"/>
      <c r="K59" s="1093"/>
      <c r="L59" s="1093"/>
      <c r="M59" s="1094"/>
      <c r="N59" s="946"/>
      <c r="O59" s="946"/>
      <c r="P59" s="946"/>
      <c r="Q59" s="946"/>
      <c r="R59" s="946"/>
      <c r="S59" s="1095"/>
    </row>
    <row r="60" spans="1:24" ht="15.75" customHeight="1" x14ac:dyDescent="0.3">
      <c r="A60" s="938"/>
      <c r="B60" s="943"/>
      <c r="C60" s="1720" t="str">
        <f ca="1">CONCATENATE("MNIS-",'TW-Working'!H23," - ",'TW-Working'!H37," - I (",'TW-Working'!M64,") - S (",'TW-Working'!M65,")")</f>
        <v>MNIS-64.4578265751741 - 25 - I (2500) - S (2000)</v>
      </c>
      <c r="D60" s="1720"/>
      <c r="E60" s="1720"/>
      <c r="F60" s="1720"/>
      <c r="G60" s="1720"/>
      <c r="H60" s="1720"/>
      <c r="I60" s="1720"/>
      <c r="J60" s="943"/>
      <c r="K60" s="943"/>
      <c r="L60" s="1094"/>
      <c r="M60" s="1094"/>
      <c r="N60" s="1096"/>
      <c r="O60" s="1096"/>
      <c r="P60" s="1096"/>
      <c r="Q60" s="1096"/>
      <c r="R60" s="1096"/>
      <c r="S60" s="1095"/>
    </row>
    <row r="61" spans="1:24" ht="7.15" customHeight="1" thickBot="1" x14ac:dyDescent="0.3">
      <c r="A61" s="576"/>
      <c r="B61" s="577"/>
      <c r="C61" s="578"/>
      <c r="D61" s="577"/>
      <c r="E61" s="577"/>
      <c r="F61" s="577"/>
      <c r="G61" s="577"/>
      <c r="H61" s="577"/>
      <c r="I61" s="577"/>
      <c r="J61" s="577"/>
      <c r="K61" s="577"/>
      <c r="L61" s="577"/>
      <c r="M61" s="577"/>
      <c r="N61" s="577"/>
      <c r="O61" s="579"/>
      <c r="P61" s="580"/>
      <c r="Q61" s="581"/>
      <c r="R61" s="582"/>
      <c r="S61" s="583"/>
    </row>
    <row r="62" spans="1:24" ht="16" hidden="1" thickTop="1" x14ac:dyDescent="0.35">
      <c r="A62" s="1097"/>
      <c r="D62" s="1098"/>
      <c r="E62" s="1098"/>
      <c r="F62" s="1098"/>
      <c r="G62" s="1098"/>
      <c r="H62" s="1098"/>
      <c r="J62" s="1099"/>
      <c r="K62" s="1099"/>
      <c r="L62" s="1099"/>
      <c r="M62" s="1099"/>
      <c r="N62" s="1099"/>
      <c r="O62" s="1099"/>
      <c r="P62" s="1099"/>
      <c r="S62" s="1099"/>
    </row>
    <row r="63" spans="1:24" ht="13" hidden="1" thickTop="1" x14ac:dyDescent="0.25"/>
    <row r="64" spans="1:24" ht="13" hidden="1" thickTop="1" x14ac:dyDescent="0.25"/>
    <row r="65" spans="1:19" ht="13" hidden="1" thickTop="1" x14ac:dyDescent="0.25"/>
    <row r="66" spans="1:19" ht="13" hidden="1" thickTop="1" x14ac:dyDescent="0.25">
      <c r="A66" s="1721" t="s">
        <v>397</v>
      </c>
      <c r="B66" s="1721"/>
      <c r="C66" s="1721"/>
      <c r="D66" s="1721"/>
      <c r="E66" s="1721"/>
      <c r="F66" s="1721"/>
      <c r="G66" s="1721"/>
      <c r="H66" s="1721"/>
      <c r="I66" s="1721"/>
      <c r="J66" s="1721"/>
      <c r="K66" s="1721"/>
      <c r="L66" s="1721"/>
      <c r="M66" s="1721"/>
      <c r="N66" s="1721"/>
      <c r="O66" s="1721"/>
      <c r="P66" s="1721"/>
      <c r="Q66" s="1721"/>
      <c r="R66" s="1721"/>
      <c r="S66" s="1721"/>
    </row>
    <row r="67" spans="1:19" ht="13" hidden="1" thickTop="1" x14ac:dyDescent="0.25">
      <c r="A67" s="1721"/>
      <c r="B67" s="1721"/>
      <c r="C67" s="1721"/>
      <c r="D67" s="1721"/>
      <c r="E67" s="1721"/>
      <c r="F67" s="1721"/>
      <c r="G67" s="1721"/>
      <c r="H67" s="1721"/>
      <c r="I67" s="1721"/>
      <c r="J67" s="1721"/>
      <c r="K67" s="1721"/>
      <c r="L67" s="1721"/>
      <c r="M67" s="1721"/>
      <c r="N67" s="1721"/>
      <c r="O67" s="1721"/>
      <c r="P67" s="1721"/>
      <c r="Q67" s="1721"/>
      <c r="R67" s="1721"/>
      <c r="S67" s="1721"/>
    </row>
    <row r="68" spans="1:19" ht="13" hidden="1" thickTop="1" x14ac:dyDescent="0.25">
      <c r="A68" s="1721"/>
      <c r="B68" s="1721"/>
      <c r="C68" s="1721"/>
      <c r="D68" s="1721"/>
      <c r="E68" s="1721"/>
      <c r="F68" s="1721"/>
      <c r="G68" s="1721"/>
      <c r="H68" s="1721"/>
      <c r="I68" s="1721"/>
      <c r="J68" s="1721"/>
      <c r="K68" s="1721"/>
      <c r="L68" s="1721"/>
      <c r="M68" s="1721"/>
      <c r="N68" s="1721"/>
      <c r="O68" s="1721"/>
      <c r="P68" s="1721"/>
      <c r="Q68" s="1721"/>
      <c r="R68" s="1721"/>
      <c r="S68" s="1721"/>
    </row>
    <row r="69" spans="1:19" ht="13" hidden="1" thickTop="1" x14ac:dyDescent="0.25">
      <c r="A69" s="1721"/>
      <c r="B69" s="1721"/>
      <c r="C69" s="1721"/>
      <c r="D69" s="1721"/>
      <c r="E69" s="1721"/>
      <c r="F69" s="1721"/>
      <c r="G69" s="1721"/>
      <c r="H69" s="1721"/>
      <c r="I69" s="1721"/>
      <c r="J69" s="1721"/>
      <c r="K69" s="1721"/>
      <c r="L69" s="1721"/>
      <c r="M69" s="1721"/>
      <c r="N69" s="1721"/>
      <c r="O69" s="1721"/>
      <c r="P69" s="1721"/>
      <c r="Q69" s="1721"/>
      <c r="R69" s="1721"/>
      <c r="S69" s="1721"/>
    </row>
    <row r="70" spans="1:19" ht="13" hidden="1" thickTop="1" x14ac:dyDescent="0.25">
      <c r="A70" s="1721"/>
      <c r="B70" s="1721"/>
      <c r="C70" s="1721"/>
      <c r="D70" s="1721"/>
      <c r="E70" s="1721"/>
      <c r="F70" s="1721"/>
      <c r="G70" s="1721"/>
      <c r="H70" s="1721"/>
      <c r="I70" s="1721"/>
      <c r="J70" s="1721"/>
      <c r="K70" s="1721"/>
      <c r="L70" s="1721"/>
      <c r="M70" s="1721"/>
      <c r="N70" s="1721"/>
      <c r="O70" s="1721"/>
      <c r="P70" s="1721"/>
      <c r="Q70" s="1721"/>
      <c r="R70" s="1721"/>
      <c r="S70" s="1721"/>
    </row>
    <row r="71" spans="1:19" ht="13" hidden="1" thickTop="1" x14ac:dyDescent="0.25">
      <c r="A71" s="1721"/>
      <c r="B71" s="1721"/>
      <c r="C71" s="1721"/>
      <c r="D71" s="1721"/>
      <c r="E71" s="1721"/>
      <c r="F71" s="1721"/>
      <c r="G71" s="1721"/>
      <c r="H71" s="1721"/>
      <c r="I71" s="1721"/>
      <c r="J71" s="1721"/>
      <c r="K71" s="1721"/>
      <c r="L71" s="1721"/>
      <c r="M71" s="1721"/>
      <c r="N71" s="1721"/>
      <c r="O71" s="1721"/>
      <c r="P71" s="1721"/>
      <c r="Q71" s="1721"/>
      <c r="R71" s="1721"/>
      <c r="S71" s="1721"/>
    </row>
    <row r="72" spans="1:19" ht="13" hidden="1" thickTop="1" x14ac:dyDescent="0.25">
      <c r="A72" s="1721"/>
      <c r="B72" s="1721"/>
      <c r="C72" s="1721"/>
      <c r="D72" s="1721"/>
      <c r="E72" s="1721"/>
      <c r="F72" s="1721"/>
      <c r="G72" s="1721"/>
      <c r="H72" s="1721"/>
      <c r="I72" s="1721"/>
      <c r="J72" s="1721"/>
      <c r="K72" s="1721"/>
      <c r="L72" s="1721"/>
      <c r="M72" s="1721"/>
      <c r="N72" s="1721"/>
      <c r="O72" s="1721"/>
      <c r="P72" s="1721"/>
      <c r="Q72" s="1721"/>
      <c r="R72" s="1721"/>
      <c r="S72" s="1721"/>
    </row>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3" hidden="1" thickTop="1" x14ac:dyDescent="0.25"/>
    <row r="87" spans="6:18" ht="14.5" hidden="1" thickTop="1" x14ac:dyDescent="0.25">
      <c r="I87" s="1100" t="s">
        <v>450</v>
      </c>
    </row>
    <row r="88" spans="6:18" ht="14.5" hidden="1" thickTop="1" x14ac:dyDescent="0.25">
      <c r="F88" s="1025" t="s">
        <v>453</v>
      </c>
      <c r="I88" s="1025" t="s">
        <v>453</v>
      </c>
      <c r="R88" s="1100" t="s">
        <v>449</v>
      </c>
    </row>
    <row r="89" spans="6:18" ht="14.5" hidden="1" thickTop="1" x14ac:dyDescent="0.25">
      <c r="I89" s="1025" t="s">
        <v>456</v>
      </c>
      <c r="R89" s="1100" t="s">
        <v>518</v>
      </c>
    </row>
    <row r="90" spans="6:18" ht="14.5" hidden="1" thickTop="1" x14ac:dyDescent="0.25">
      <c r="I90" s="1025" t="s">
        <v>464</v>
      </c>
      <c r="R90" s="1100" t="s">
        <v>450</v>
      </c>
    </row>
    <row r="91" spans="6:18" ht="14.5" hidden="1" thickTop="1" x14ac:dyDescent="0.25">
      <c r="I91" s="1025" t="s">
        <v>517</v>
      </c>
      <c r="R91" s="1100" t="s">
        <v>378</v>
      </c>
    </row>
    <row r="92" spans="6:18" ht="14.5" hidden="1" thickTop="1" x14ac:dyDescent="0.25">
      <c r="I92" s="1025" t="s">
        <v>467</v>
      </c>
      <c r="R92" s="1100" t="s">
        <v>450</v>
      </c>
    </row>
    <row r="93" spans="6:18" ht="14.5" hidden="1" thickTop="1" x14ac:dyDescent="0.25">
      <c r="I93" s="1025" t="s">
        <v>475</v>
      </c>
      <c r="R93" s="1100" t="s">
        <v>451</v>
      </c>
    </row>
    <row r="94" spans="6:18" ht="14.5" hidden="1" thickTop="1" x14ac:dyDescent="0.25">
      <c r="I94" s="1025" t="s">
        <v>476</v>
      </c>
      <c r="R94" s="1100" t="s">
        <v>452</v>
      </c>
    </row>
    <row r="95" spans="6:18" ht="14.5" hidden="1" thickTop="1" x14ac:dyDescent="0.25">
      <c r="I95" s="1025" t="s">
        <v>480</v>
      </c>
      <c r="R95" s="1100" t="s">
        <v>379</v>
      </c>
    </row>
    <row r="96" spans="6:18" ht="14.5" hidden="1" thickTop="1" x14ac:dyDescent="0.25">
      <c r="I96" s="1025" t="s">
        <v>486</v>
      </c>
      <c r="R96" s="1100" t="s">
        <v>454</v>
      </c>
    </row>
    <row r="97" spans="9:18" ht="14.5" hidden="1" thickTop="1" x14ac:dyDescent="0.25">
      <c r="I97" s="1025" t="s">
        <v>493</v>
      </c>
      <c r="R97" s="1100" t="s">
        <v>386</v>
      </c>
    </row>
    <row r="98" spans="9:18" ht="28.5" hidden="1" thickTop="1" x14ac:dyDescent="0.25">
      <c r="I98" s="1025" t="s">
        <v>496</v>
      </c>
      <c r="R98" s="1100" t="s">
        <v>455</v>
      </c>
    </row>
    <row r="99" spans="9:18" ht="14.5" hidden="1" thickTop="1" x14ac:dyDescent="0.25">
      <c r="I99" s="1025" t="s">
        <v>501</v>
      </c>
      <c r="R99" s="1100" t="s">
        <v>428</v>
      </c>
    </row>
    <row r="100" spans="9:18" ht="14.5" hidden="1" thickTop="1" x14ac:dyDescent="0.25">
      <c r="R100" s="1100" t="s">
        <v>457</v>
      </c>
    </row>
    <row r="101" spans="9:18" ht="28.5" hidden="1" thickTop="1" x14ac:dyDescent="0.25">
      <c r="I101" s="1025">
        <f>IF(OR(F88=I87,F88=I88,F88=I89,F88=I90,F88=I91,F88=I92,F88=I93,F88=I94,F88=I95,F88=I96,F88=I97,F88=I98,F88=I99),1,0)</f>
        <v>1</v>
      </c>
      <c r="R101" s="1100" t="s">
        <v>458</v>
      </c>
    </row>
    <row r="102" spans="9:18" ht="28.5" hidden="1" thickTop="1" x14ac:dyDescent="0.25">
      <c r="R102" s="1100" t="s">
        <v>459</v>
      </c>
    </row>
    <row r="103" spans="9:18" ht="14.5" hidden="1" thickTop="1" x14ac:dyDescent="0.25">
      <c r="R103" s="1100" t="s">
        <v>460</v>
      </c>
    </row>
    <row r="104" spans="9:18" ht="28.5" hidden="1" thickTop="1" x14ac:dyDescent="0.25">
      <c r="R104" s="1100" t="s">
        <v>461</v>
      </c>
    </row>
    <row r="105" spans="9:18" ht="28.5" hidden="1" thickTop="1" x14ac:dyDescent="0.25">
      <c r="R105" s="1100" t="s">
        <v>462</v>
      </c>
    </row>
    <row r="106" spans="9:18" ht="14.5" hidden="1" thickTop="1" x14ac:dyDescent="0.25">
      <c r="R106" s="1100" t="s">
        <v>463</v>
      </c>
    </row>
    <row r="107" spans="9:18" ht="28.5" hidden="1" thickTop="1" x14ac:dyDescent="0.25">
      <c r="R107" s="1100" t="s">
        <v>380</v>
      </c>
    </row>
    <row r="108" spans="9:18" ht="28.5" hidden="1" thickTop="1" x14ac:dyDescent="0.25">
      <c r="R108" s="1100" t="s">
        <v>465</v>
      </c>
    </row>
    <row r="109" spans="9:18" ht="28.5" hidden="1" thickTop="1" x14ac:dyDescent="0.25">
      <c r="R109" s="1100" t="s">
        <v>466</v>
      </c>
    </row>
    <row r="110" spans="9:18" ht="14.5" hidden="1" thickTop="1" x14ac:dyDescent="0.25">
      <c r="R110" s="1100" t="s">
        <v>413</v>
      </c>
    </row>
    <row r="111" spans="9:18" ht="28.5" hidden="1" thickTop="1" x14ac:dyDescent="0.25">
      <c r="R111" s="1100" t="s">
        <v>468</v>
      </c>
    </row>
    <row r="112" spans="9:18" ht="28.5" hidden="1" thickTop="1" x14ac:dyDescent="0.25">
      <c r="R112" s="1100" t="s">
        <v>469</v>
      </c>
    </row>
    <row r="113" spans="18:18" ht="14.5" hidden="1" thickTop="1" x14ac:dyDescent="0.25">
      <c r="R113" s="1100" t="s">
        <v>470</v>
      </c>
    </row>
    <row r="114" spans="18:18" ht="14.5" hidden="1" thickTop="1" x14ac:dyDescent="0.25">
      <c r="R114" s="1100" t="s">
        <v>471</v>
      </c>
    </row>
    <row r="115" spans="18:18" ht="14.5" hidden="1" thickTop="1" x14ac:dyDescent="0.25">
      <c r="R115" s="1100" t="s">
        <v>472</v>
      </c>
    </row>
    <row r="116" spans="18:18" ht="28.5" hidden="1" thickTop="1" x14ac:dyDescent="0.25">
      <c r="R116" s="1100" t="s">
        <v>473</v>
      </c>
    </row>
    <row r="117" spans="18:18" ht="14.5" hidden="1" thickTop="1" x14ac:dyDescent="0.25">
      <c r="R117" s="1100" t="s">
        <v>474</v>
      </c>
    </row>
    <row r="118" spans="18:18" ht="14.5" hidden="1" thickTop="1" x14ac:dyDescent="0.25">
      <c r="R118" s="1100" t="s">
        <v>387</v>
      </c>
    </row>
    <row r="119" spans="18:18" ht="14.5" hidden="1" thickTop="1" x14ac:dyDescent="0.25">
      <c r="R119" s="1100" t="s">
        <v>388</v>
      </c>
    </row>
    <row r="120" spans="18:18" ht="14.5" hidden="1" thickTop="1" x14ac:dyDescent="0.25">
      <c r="R120" s="1100" t="s">
        <v>381</v>
      </c>
    </row>
    <row r="121" spans="18:18" ht="14.5" hidden="1" thickTop="1" x14ac:dyDescent="0.25">
      <c r="R121" s="1100" t="s">
        <v>389</v>
      </c>
    </row>
    <row r="122" spans="18:18" ht="14.5" hidden="1" thickTop="1" x14ac:dyDescent="0.25">
      <c r="R122" s="1100" t="s">
        <v>382</v>
      </c>
    </row>
    <row r="123" spans="18:18" ht="14.5" hidden="1" thickTop="1" x14ac:dyDescent="0.25">
      <c r="R123" s="1100" t="s">
        <v>383</v>
      </c>
    </row>
    <row r="124" spans="18:18" ht="28.5" hidden="1" thickTop="1" x14ac:dyDescent="0.25">
      <c r="R124" s="1100" t="s">
        <v>477</v>
      </c>
    </row>
    <row r="125" spans="18:18" ht="14.5" hidden="1" thickTop="1" x14ac:dyDescent="0.25">
      <c r="R125" s="1100" t="s">
        <v>478</v>
      </c>
    </row>
    <row r="126" spans="18:18" ht="14.5" hidden="1" thickTop="1" x14ac:dyDescent="0.25">
      <c r="R126" s="1100" t="s">
        <v>479</v>
      </c>
    </row>
    <row r="127" spans="18:18" ht="14.5" hidden="1" thickTop="1" x14ac:dyDescent="0.25">
      <c r="R127" s="1100" t="s">
        <v>481</v>
      </c>
    </row>
    <row r="128" spans="18:18" ht="14.5" hidden="1" thickTop="1" x14ac:dyDescent="0.25">
      <c r="R128" s="1100" t="s">
        <v>482</v>
      </c>
    </row>
    <row r="129" spans="18:18" ht="28.5" hidden="1" thickTop="1" x14ac:dyDescent="0.25">
      <c r="R129" s="1100" t="s">
        <v>384</v>
      </c>
    </row>
    <row r="130" spans="18:18" ht="28.5" hidden="1" thickTop="1" x14ac:dyDescent="0.25">
      <c r="R130" s="1100" t="s">
        <v>420</v>
      </c>
    </row>
    <row r="131" spans="18:18" ht="28.5" hidden="1" thickTop="1" x14ac:dyDescent="0.25">
      <c r="R131" s="1100" t="s">
        <v>419</v>
      </c>
    </row>
    <row r="132" spans="18:18" ht="14.5" hidden="1" thickTop="1" x14ac:dyDescent="0.25">
      <c r="R132" s="1100" t="s">
        <v>483</v>
      </c>
    </row>
    <row r="133" spans="18:18" ht="28.5" hidden="1" thickTop="1" x14ac:dyDescent="0.25">
      <c r="R133" s="1100" t="s">
        <v>484</v>
      </c>
    </row>
    <row r="134" spans="18:18" ht="14.5" hidden="1" thickTop="1" x14ac:dyDescent="0.25">
      <c r="R134" s="1100" t="s">
        <v>485</v>
      </c>
    </row>
    <row r="135" spans="18:18" ht="28.5" hidden="1" thickTop="1" x14ac:dyDescent="0.25">
      <c r="R135" s="1100" t="s">
        <v>487</v>
      </c>
    </row>
    <row r="136" spans="18:18" ht="14.5" hidden="1" thickTop="1" x14ac:dyDescent="0.25">
      <c r="R136" s="1100" t="s">
        <v>488</v>
      </c>
    </row>
    <row r="137" spans="18:18" ht="28.5" hidden="1" thickTop="1" x14ac:dyDescent="0.25">
      <c r="R137" s="1100" t="s">
        <v>489</v>
      </c>
    </row>
    <row r="138" spans="18:18" ht="28.5" hidden="1" thickTop="1" x14ac:dyDescent="0.25">
      <c r="R138" s="1100" t="s">
        <v>490</v>
      </c>
    </row>
    <row r="139" spans="18:18" ht="14.5" hidden="1" thickTop="1" x14ac:dyDescent="0.25">
      <c r="R139" s="1100" t="s">
        <v>491</v>
      </c>
    </row>
    <row r="140" spans="18:18" ht="14.5" hidden="1" thickTop="1" x14ac:dyDescent="0.25">
      <c r="R140" s="1100" t="s">
        <v>492</v>
      </c>
    </row>
    <row r="141" spans="18:18" ht="28.5" hidden="1" thickTop="1" x14ac:dyDescent="0.25">
      <c r="R141" s="1100" t="s">
        <v>390</v>
      </c>
    </row>
    <row r="142" spans="18:18" ht="28.5" hidden="1" thickTop="1" x14ac:dyDescent="0.25">
      <c r="R142" s="1100" t="s">
        <v>494</v>
      </c>
    </row>
    <row r="143" spans="18:18" ht="28.5" hidden="1" thickTop="1" x14ac:dyDescent="0.25">
      <c r="R143" s="1100" t="s">
        <v>495</v>
      </c>
    </row>
    <row r="144" spans="18:18" ht="14.5" hidden="1" thickTop="1" x14ac:dyDescent="0.25">
      <c r="R144" s="1100" t="s">
        <v>497</v>
      </c>
    </row>
    <row r="145" spans="18:18" ht="28.5" hidden="1" thickTop="1" x14ac:dyDescent="0.25">
      <c r="R145" s="1100" t="s">
        <v>498</v>
      </c>
    </row>
    <row r="146" spans="18:18" ht="14.5" hidden="1" thickTop="1" x14ac:dyDescent="0.25">
      <c r="R146" s="1100" t="s">
        <v>499</v>
      </c>
    </row>
    <row r="147" spans="18:18" ht="14.5" hidden="1" thickTop="1" x14ac:dyDescent="0.25">
      <c r="R147" s="1100" t="s">
        <v>500</v>
      </c>
    </row>
    <row r="148" spans="18:18" ht="28.5" hidden="1" thickTop="1" x14ac:dyDescent="0.25">
      <c r="R148" s="1100" t="s">
        <v>415</v>
      </c>
    </row>
    <row r="149" spans="18:18" ht="14.5" hidden="1" thickTop="1" x14ac:dyDescent="0.25">
      <c r="R149" s="1100" t="s">
        <v>502</v>
      </c>
    </row>
    <row r="150" spans="18:18" ht="14.5" hidden="1" thickTop="1" x14ac:dyDescent="0.25">
      <c r="R150" s="1100" t="s">
        <v>503</v>
      </c>
    </row>
    <row r="151" spans="18:18" ht="14.5" hidden="1" thickTop="1" x14ac:dyDescent="0.25">
      <c r="R151" s="1100" t="s">
        <v>504</v>
      </c>
    </row>
    <row r="152" spans="18:18" ht="14.5" hidden="1" thickTop="1" x14ac:dyDescent="0.25">
      <c r="R152" s="1100" t="s">
        <v>505</v>
      </c>
    </row>
    <row r="153" spans="18:18" ht="14.5" hidden="1" thickTop="1" x14ac:dyDescent="0.25">
      <c r="R153" s="1100" t="s">
        <v>425</v>
      </c>
    </row>
    <row r="154" spans="18:18" ht="28.5" hidden="1" thickTop="1" x14ac:dyDescent="0.25">
      <c r="R154" s="1100" t="s">
        <v>506</v>
      </c>
    </row>
    <row r="155" spans="18:18" ht="28.5" hidden="1" thickTop="1" x14ac:dyDescent="0.25">
      <c r="R155" s="1100" t="s">
        <v>507</v>
      </c>
    </row>
    <row r="156" spans="18:18" ht="28.5" hidden="1" thickTop="1" x14ac:dyDescent="0.25">
      <c r="R156" s="1100" t="s">
        <v>508</v>
      </c>
    </row>
    <row r="157" spans="18:18" ht="14.5" hidden="1" thickTop="1" x14ac:dyDescent="0.25">
      <c r="R157" s="1100" t="s">
        <v>509</v>
      </c>
    </row>
    <row r="158" spans="18:18" ht="28.5" hidden="1" thickTop="1" x14ac:dyDescent="0.25">
      <c r="R158" s="1100" t="s">
        <v>510</v>
      </c>
    </row>
    <row r="159" spans="18:18" ht="28.5" hidden="1" thickTop="1" x14ac:dyDescent="0.25">
      <c r="R159" s="1100" t="s">
        <v>511</v>
      </c>
    </row>
    <row r="160" spans="18:18" ht="28.5" hidden="1" thickTop="1" x14ac:dyDescent="0.25">
      <c r="R160" s="1100" t="s">
        <v>512</v>
      </c>
    </row>
    <row r="161" spans="18:18" ht="14.5" hidden="1" thickTop="1" x14ac:dyDescent="0.25">
      <c r="R161" s="1100" t="s">
        <v>385</v>
      </c>
    </row>
    <row r="162" spans="18:18" ht="14.5" hidden="1" thickTop="1" x14ac:dyDescent="0.25">
      <c r="R162" s="1100"/>
    </row>
    <row r="163" spans="18:18" ht="14.5" hidden="1" thickTop="1" x14ac:dyDescent="0.25">
      <c r="R163" s="1100"/>
    </row>
    <row r="164" spans="18:18" ht="14.5" hidden="1" thickTop="1" x14ac:dyDescent="0.25">
      <c r="R164" s="1100"/>
    </row>
    <row r="165" spans="18:18" ht="14.5" hidden="1" thickTop="1" x14ac:dyDescent="0.25">
      <c r="R165" s="1100"/>
    </row>
    <row r="166" spans="18:18" ht="14.5" hidden="1" thickTop="1" x14ac:dyDescent="0.25">
      <c r="R166" s="1100"/>
    </row>
    <row r="167" spans="18:18" ht="14.5" hidden="1" thickTop="1" x14ac:dyDescent="0.25">
      <c r="R167" s="1100"/>
    </row>
    <row r="168" spans="18:18" ht="14.5" hidden="1" thickTop="1" x14ac:dyDescent="0.25">
      <c r="R168" s="1100"/>
    </row>
    <row r="169" spans="18:18" ht="14.5" hidden="1" thickTop="1" x14ac:dyDescent="0.25">
      <c r="R169" s="1100"/>
    </row>
    <row r="170" spans="18:18" ht="14.5" hidden="1" thickTop="1" x14ac:dyDescent="0.25">
      <c r="R170" s="1100"/>
    </row>
    <row r="171" spans="18:18" ht="14.5" hidden="1" thickTop="1" x14ac:dyDescent="0.25">
      <c r="R171" s="1100"/>
    </row>
    <row r="172" spans="18:18" ht="14.5" hidden="1" thickTop="1" x14ac:dyDescent="0.25">
      <c r="R172" s="1100"/>
    </row>
    <row r="173" spans="18:18" ht="14.5" hidden="1" thickTop="1" x14ac:dyDescent="0.25">
      <c r="R173" s="1100"/>
    </row>
    <row r="174" spans="18:18" ht="13" thickTop="1" x14ac:dyDescent="0.25"/>
  </sheetData>
  <sheetProtection algorithmName="SHA-512" hashValue="bM+L9kVqeOBIUDMz12iU96sgZCCIrfv2p2ufe1+HydfOp/ClRbgWJv1BzoWO4zuqXZobe1VcvMR0XNrx5gbSyg==" saltValue="Owi9nBCiq26SXgYBuxj3tQ==" spinCount="100000" sheet="1" objects="1" scenarios="1"/>
  <dataConsolidate/>
  <mergeCells count="26">
    <mergeCell ref="P9:R9"/>
    <mergeCell ref="M1:S1"/>
    <mergeCell ref="M2:R2"/>
    <mergeCell ref="P4:R4"/>
    <mergeCell ref="C8:J8"/>
    <mergeCell ref="P8:R8"/>
    <mergeCell ref="C44:R44"/>
    <mergeCell ref="P10:R10"/>
    <mergeCell ref="C11:J11"/>
    <mergeCell ref="P11:R11"/>
    <mergeCell ref="P12:R12"/>
    <mergeCell ref="C13:J13"/>
    <mergeCell ref="P13:Q13"/>
    <mergeCell ref="Q16:R17"/>
    <mergeCell ref="C17:I18"/>
    <mergeCell ref="C20:J24"/>
    <mergeCell ref="L25:S25"/>
    <mergeCell ref="D42:E42"/>
    <mergeCell ref="C60:I60"/>
    <mergeCell ref="A66:S72"/>
    <mergeCell ref="C49:R49"/>
    <mergeCell ref="C50:R50"/>
    <mergeCell ref="C52:R53"/>
    <mergeCell ref="C55:M56"/>
    <mergeCell ref="N57:R57"/>
    <mergeCell ref="C59:I59"/>
  </mergeCells>
  <conditionalFormatting sqref="X32">
    <cfRule type="expression" dxfId="240" priority="34" stopIfTrue="1">
      <formula>E32&gt;9%</formula>
    </cfRule>
  </conditionalFormatting>
  <conditionalFormatting sqref="X50">
    <cfRule type="expression" dxfId="239" priority="35" stopIfTrue="1">
      <formula>T43=1</formula>
    </cfRule>
  </conditionalFormatting>
  <conditionalFormatting sqref="F36">
    <cfRule type="expression" dxfId="238" priority="37" stopIfTrue="1">
      <formula>W38=3</formula>
    </cfRule>
  </conditionalFormatting>
  <conditionalFormatting sqref="Q38">
    <cfRule type="expression" dxfId="237" priority="38" stopIfTrue="1">
      <formula>X43=1</formula>
    </cfRule>
  </conditionalFormatting>
  <conditionalFormatting sqref="L40">
    <cfRule type="expression" dxfId="236" priority="39" stopIfTrue="1">
      <formula>U43=1</formula>
    </cfRule>
  </conditionalFormatting>
  <conditionalFormatting sqref="C34">
    <cfRule type="expression" dxfId="235" priority="40" stopIfTrue="1">
      <formula>U34="Yes"</formula>
    </cfRule>
  </conditionalFormatting>
  <conditionalFormatting sqref="X25">
    <cfRule type="expression" dxfId="234" priority="41" stopIfTrue="1">
      <formula>W39=1</formula>
    </cfRule>
  </conditionalFormatting>
  <conditionalFormatting sqref="M33">
    <cfRule type="expression" dxfId="233" priority="42" stopIfTrue="1">
      <formula>W34=1</formula>
    </cfRule>
  </conditionalFormatting>
  <conditionalFormatting sqref="L33">
    <cfRule type="expression" dxfId="232" priority="43" stopIfTrue="1">
      <formula>W34=1</formula>
    </cfRule>
  </conditionalFormatting>
  <conditionalFormatting sqref="D34">
    <cfRule type="expression" dxfId="231" priority="44" stopIfTrue="1">
      <formula>U34="Yes"</formula>
    </cfRule>
  </conditionalFormatting>
  <conditionalFormatting sqref="C35">
    <cfRule type="expression" dxfId="230" priority="45" stopIfTrue="1">
      <formula>AND(U36="Yes",U34="Yes")</formula>
    </cfRule>
  </conditionalFormatting>
  <conditionalFormatting sqref="D35">
    <cfRule type="expression" dxfId="229" priority="46" stopIfTrue="1">
      <formula>AND(U36="Yes",U34="Yes")</formula>
    </cfRule>
  </conditionalFormatting>
  <conditionalFormatting sqref="L34">
    <cfRule type="expression" dxfId="228" priority="47" stopIfTrue="1">
      <formula>W32&lt;&gt;0</formula>
    </cfRule>
  </conditionalFormatting>
  <conditionalFormatting sqref="M40">
    <cfRule type="expression" dxfId="227" priority="48" stopIfTrue="1">
      <formula>U43=1</formula>
    </cfRule>
  </conditionalFormatting>
  <conditionalFormatting sqref="Y23">
    <cfRule type="expression" dxfId="226" priority="49" stopIfTrue="1">
      <formula>AA38=1</formula>
    </cfRule>
  </conditionalFormatting>
  <conditionalFormatting sqref="W29">
    <cfRule type="expression" dxfId="225" priority="50" stopIfTrue="1">
      <formula>W40=1</formula>
    </cfRule>
  </conditionalFormatting>
  <conditionalFormatting sqref="E36">
    <cfRule type="expression" dxfId="224" priority="51" stopIfTrue="1">
      <formula>U38=1</formula>
    </cfRule>
  </conditionalFormatting>
  <conditionalFormatting sqref="H36">
    <cfRule type="expression" dxfId="223" priority="52" stopIfTrue="1">
      <formula>W42=1</formula>
    </cfRule>
  </conditionalFormatting>
  <conditionalFormatting sqref="C38">
    <cfRule type="expression" dxfId="222" priority="53" stopIfTrue="1">
      <formula>W42=1</formula>
    </cfRule>
  </conditionalFormatting>
  <conditionalFormatting sqref="C41">
    <cfRule type="expression" dxfId="221" priority="54" stopIfTrue="1">
      <formula>T41=1</formula>
    </cfRule>
  </conditionalFormatting>
  <conditionalFormatting sqref="L41">
    <cfRule type="expression" dxfId="220" priority="55" stopIfTrue="1">
      <formula>U41=1</formula>
    </cfRule>
  </conditionalFormatting>
  <conditionalFormatting sqref="D41">
    <cfRule type="expression" dxfId="219" priority="56" stopIfTrue="1">
      <formula>T41=1</formula>
    </cfRule>
  </conditionalFormatting>
  <conditionalFormatting sqref="M41">
    <cfRule type="expression" dxfId="218" priority="57" stopIfTrue="1">
      <formula>U41=1</formula>
    </cfRule>
  </conditionalFormatting>
  <conditionalFormatting sqref="I16">
    <cfRule type="expression" dxfId="217" priority="58" stopIfTrue="1">
      <formula>T18="One Year"</formula>
    </cfRule>
  </conditionalFormatting>
  <conditionalFormatting sqref="U50">
    <cfRule type="cellIs" dxfId="216" priority="59" stopIfTrue="1" operator="equal">
      <formula>"."</formula>
    </cfRule>
  </conditionalFormatting>
  <conditionalFormatting sqref="X40:X41">
    <cfRule type="expression" dxfId="215" priority="60" stopIfTrue="1">
      <formula>#REF!&gt;1</formula>
    </cfRule>
  </conditionalFormatting>
  <conditionalFormatting sqref="D42:E42">
    <cfRule type="cellIs" dxfId="214" priority="61" stopIfTrue="1" operator="equal">
      <formula>"-"</formula>
    </cfRule>
  </conditionalFormatting>
  <conditionalFormatting sqref="G40:G41 E35 C9">
    <cfRule type="cellIs" dxfId="213" priority="62" stopIfTrue="1" operator="equal">
      <formula>0</formula>
    </cfRule>
  </conditionalFormatting>
  <conditionalFormatting sqref="I40:I41">
    <cfRule type="expression" dxfId="212" priority="64" stopIfTrue="1">
      <formula>#REF!=0</formula>
    </cfRule>
  </conditionalFormatting>
  <conditionalFormatting sqref="R5 P4">
    <cfRule type="cellIs" dxfId="211" priority="65" stopIfTrue="1" operator="equal">
      <formula>0</formula>
    </cfRule>
  </conditionalFormatting>
  <conditionalFormatting sqref="L23">
    <cfRule type="cellIs" dxfId="210" priority="66" stopIfTrue="1" operator="equal">
      <formula>"Total Contribution"</formula>
    </cfRule>
  </conditionalFormatting>
  <conditionalFormatting sqref="C8">
    <cfRule type="cellIs" dxfId="209" priority="33" stopIfTrue="1" operator="equal">
      <formula>0</formula>
    </cfRule>
  </conditionalFormatting>
  <conditionalFormatting sqref="Q39">
    <cfRule type="expression" dxfId="208" priority="32" stopIfTrue="1">
      <formula>V43=1</formula>
    </cfRule>
  </conditionalFormatting>
  <conditionalFormatting sqref="R39">
    <cfRule type="expression" dxfId="207" priority="31" stopIfTrue="1">
      <formula>AA44=1</formula>
    </cfRule>
  </conditionalFormatting>
  <conditionalFormatting sqref="G36">
    <cfRule type="expression" dxfId="206" priority="67" stopIfTrue="1">
      <formula>W35=1</formula>
    </cfRule>
  </conditionalFormatting>
  <conditionalFormatting sqref="F35">
    <cfRule type="expression" dxfId="205" priority="26" stopIfTrue="1">
      <formula>W35=3</formula>
    </cfRule>
  </conditionalFormatting>
  <conditionalFormatting sqref="G35">
    <cfRule type="expression" dxfId="204" priority="27" stopIfTrue="1">
      <formula>W35=1</formula>
    </cfRule>
  </conditionalFormatting>
  <conditionalFormatting sqref="H35">
    <cfRule type="expression" dxfId="203" priority="28" stopIfTrue="1">
      <formula>#REF!&gt;1000</formula>
    </cfRule>
  </conditionalFormatting>
  <conditionalFormatting sqref="L35">
    <cfRule type="expression" dxfId="202" priority="29" stopIfTrue="1">
      <formula>AA38=1</formula>
    </cfRule>
  </conditionalFormatting>
  <conditionalFormatting sqref="M35">
    <cfRule type="expression" dxfId="201" priority="30" stopIfTrue="1">
      <formula>AA38=1</formula>
    </cfRule>
  </conditionalFormatting>
  <conditionalFormatting sqref="G38">
    <cfRule type="expression" dxfId="200" priority="25" stopIfTrue="1">
      <formula>AND(B13=1,I13="Ijarah Leasing")</formula>
    </cfRule>
  </conditionalFormatting>
  <conditionalFormatting sqref="H38">
    <cfRule type="expression" dxfId="199" priority="24" stopIfTrue="1">
      <formula>AND(C13=1,J13="Ijarah")</formula>
    </cfRule>
  </conditionalFormatting>
  <conditionalFormatting sqref="L39">
    <cfRule type="expression" dxfId="198" priority="23" stopIfTrue="1">
      <formula>AND(AD36="Yes",AD34="Yes")</formula>
    </cfRule>
  </conditionalFormatting>
  <conditionalFormatting sqref="C11">
    <cfRule type="cellIs" dxfId="197" priority="22" stopIfTrue="1" operator="equal">
      <formula>0</formula>
    </cfRule>
  </conditionalFormatting>
  <conditionalFormatting sqref="I35">
    <cfRule type="expression" dxfId="196" priority="21" stopIfTrue="1">
      <formula>Y35=1</formula>
    </cfRule>
  </conditionalFormatting>
  <conditionalFormatting sqref="V42">
    <cfRule type="expression" dxfId="195" priority="68" stopIfTrue="1">
      <formula>$E$36&gt;0</formula>
    </cfRule>
  </conditionalFormatting>
  <conditionalFormatting sqref="M36">
    <cfRule type="expression" dxfId="194" priority="20" stopIfTrue="1">
      <formula>W33=2</formula>
    </cfRule>
  </conditionalFormatting>
  <conditionalFormatting sqref="L36">
    <cfRule type="expression" dxfId="193" priority="19" stopIfTrue="1">
      <formula>W33=2</formula>
    </cfRule>
  </conditionalFormatting>
  <conditionalFormatting sqref="C54">
    <cfRule type="expression" dxfId="192" priority="18" stopIfTrue="1">
      <formula>V56&lt;&gt;0</formula>
    </cfRule>
  </conditionalFormatting>
  <conditionalFormatting sqref="C13">
    <cfRule type="cellIs" dxfId="191" priority="17" stopIfTrue="1" operator="equal">
      <formula>0</formula>
    </cfRule>
  </conditionalFormatting>
  <conditionalFormatting sqref="M34">
    <cfRule type="expression" dxfId="190" priority="16" stopIfTrue="1">
      <formula>W32&lt;&gt;0</formula>
    </cfRule>
  </conditionalFormatting>
  <conditionalFormatting sqref="C33">
    <cfRule type="expression" dxfId="189" priority="311" stopIfTrue="1">
      <formula>U33="Yes"</formula>
    </cfRule>
  </conditionalFormatting>
  <conditionalFormatting sqref="D33">
    <cfRule type="expression" dxfId="188" priority="313" stopIfTrue="1">
      <formula>U33="Yes"</formula>
    </cfRule>
  </conditionalFormatting>
  <conditionalFormatting sqref="D38">
    <cfRule type="expression" dxfId="187" priority="14" stopIfTrue="1">
      <formula>U33="Yes"</formula>
    </cfRule>
  </conditionalFormatting>
  <conditionalFormatting sqref="C36">
    <cfRule type="expression" dxfId="186" priority="13" stopIfTrue="1">
      <formula>B36=1</formula>
    </cfRule>
  </conditionalFormatting>
  <conditionalFormatting sqref="D36">
    <cfRule type="expression" dxfId="185" priority="12" stopIfTrue="1">
      <formula>B36=1</formula>
    </cfRule>
  </conditionalFormatting>
  <conditionalFormatting sqref="L38">
    <cfRule type="expression" dxfId="184" priority="10" stopIfTrue="1">
      <formula>T38=1</formula>
    </cfRule>
  </conditionalFormatting>
  <conditionalFormatting sqref="M38">
    <cfRule type="expression" dxfId="183" priority="11" stopIfTrue="1">
      <formula>T38=1</formula>
    </cfRule>
  </conditionalFormatting>
  <conditionalFormatting sqref="E37">
    <cfRule type="cellIs" dxfId="182" priority="9" stopIfTrue="1" operator="equal">
      <formula>0</formula>
    </cfRule>
  </conditionalFormatting>
  <conditionalFormatting sqref="F37">
    <cfRule type="expression" dxfId="181" priority="6" stopIfTrue="1">
      <formula>W37=3</formula>
    </cfRule>
  </conditionalFormatting>
  <conditionalFormatting sqref="G37">
    <cfRule type="expression" dxfId="180" priority="7" stopIfTrue="1">
      <formula>W37=1</formula>
    </cfRule>
  </conditionalFormatting>
  <conditionalFormatting sqref="H37">
    <cfRule type="expression" dxfId="179" priority="8" stopIfTrue="1">
      <formula>#REF!&gt;1000</formula>
    </cfRule>
  </conditionalFormatting>
  <conditionalFormatting sqref="I37">
    <cfRule type="expression" dxfId="178" priority="5" stopIfTrue="1">
      <formula>Y37=1</formula>
    </cfRule>
  </conditionalFormatting>
  <conditionalFormatting sqref="M37">
    <cfRule type="expression" dxfId="177" priority="4" stopIfTrue="1">
      <formula>W35&lt;&gt;0</formula>
    </cfRule>
  </conditionalFormatting>
  <conditionalFormatting sqref="D37">
    <cfRule type="expression" dxfId="176" priority="3" stopIfTrue="1">
      <formula>W35=1</formula>
    </cfRule>
  </conditionalFormatting>
  <conditionalFormatting sqref="C37">
    <cfRule type="expression" dxfId="175" priority="2" stopIfTrue="1">
      <formula>B36=1</formula>
    </cfRule>
  </conditionalFormatting>
  <conditionalFormatting sqref="L37">
    <cfRule type="expression" dxfId="174" priority="1" stopIfTrue="1">
      <formula>W33=2</formula>
    </cfRule>
  </conditionalFormatting>
  <dataValidations count="12">
    <dataValidation type="list" allowBlank="1" showInputMessage="1" showErrorMessage="1" sqref="R36" xr:uid="{00000000-0002-0000-0700-000000000000}">
      <formula1>"100000,200000,500000"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S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"2006,2007,2008,2009,2010,2011,2012,2013,2014,2015,2016,2017,2018,2019,2020,2021,2022"</formula1>
    </dataValidation>
    <dataValidation type="list" allowBlank="1" showInputMessage="1" showErrorMessage="1" sqref="T20" xr:uid="{00000000-0002-0000-0700-000009000000}">
      <formula1>"Yes,No"</formula1>
    </dataValidation>
    <dataValidation type="whole" allowBlank="1" showInputMessage="1" showErrorMessage="1" sqref="Q39 C41 E36 G38:H38 H35:I35 G35:G36 C33:C38 L33:L41 G37:I37" xr:uid="{00000000-0002-0000-0700-00000A000000}">
      <formula1>0</formula1>
      <formula2>1</formula2>
    </dataValidation>
    <dataValidation type="decimal" allowBlank="1" showInputMessage="1" showErrorMessage="1" sqref="Q16:R17" xr:uid="{00000000-0002-0000-0700-00000B000000}">
      <formula1>500000</formula1>
      <formula2>2000000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4"/>
  <sheetViews>
    <sheetView showGridLines="0" showOutlineSymbols="0" topLeftCell="A10" zoomScale="80" zoomScaleNormal="80" workbookViewId="0">
      <selection activeCell="R19" sqref="R19"/>
    </sheetView>
  </sheetViews>
  <sheetFormatPr defaultColWidth="0" defaultRowHeight="12.5" zeroHeight="1" x14ac:dyDescent="0.25"/>
  <cols>
    <col min="1" max="1" width="2.453125" style="143" customWidth="1"/>
    <col min="2" max="2" width="1.26953125" style="143" customWidth="1"/>
    <col min="3" max="3" width="4.26953125" style="143" customWidth="1"/>
    <col min="4" max="4" width="10.453125" style="143" customWidth="1"/>
    <col min="5" max="5" width="4.453125" style="143" customWidth="1"/>
    <col min="6" max="6" width="13.26953125" style="143" customWidth="1"/>
    <col min="7" max="7" width="4.26953125" style="143" customWidth="1"/>
    <col min="8" max="8" width="1.54296875" style="143" customWidth="1"/>
    <col min="9" max="9" width="11.453125" style="143" customWidth="1"/>
    <col min="10" max="11" width="1.81640625" style="143" customWidth="1"/>
    <col min="12" max="12" width="4.81640625" style="143" customWidth="1"/>
    <col min="13" max="13" width="9.81640625" style="143" customWidth="1"/>
    <col min="14" max="14" width="5.1796875" style="143" customWidth="1"/>
    <col min="15" max="15" width="8.7265625" style="143" customWidth="1"/>
    <col min="16" max="16" width="3.7265625" style="143" customWidth="1"/>
    <col min="17" max="17" width="15" style="143" customWidth="1"/>
    <col min="18" max="18" width="24.81640625" style="143" customWidth="1"/>
    <col min="19" max="19" width="4.7265625" style="143" customWidth="1"/>
    <col min="20" max="20" width="8.81640625" style="143" customWidth="1"/>
    <col min="21" max="21" width="3.54296875" style="143" hidden="1" customWidth="1"/>
    <col min="22" max="22" width="6.81640625" style="560" hidden="1" customWidth="1"/>
    <col min="23" max="24" width="6.453125" style="560" hidden="1" customWidth="1"/>
    <col min="25" max="25" width="4.453125" style="560" hidden="1" customWidth="1"/>
    <col min="26" max="26" width="6.81640625" style="560" hidden="1" customWidth="1"/>
    <col min="27" max="27" width="3.453125" style="560" hidden="1" customWidth="1"/>
    <col min="28" max="28" width="8.81640625" style="560" hidden="1" customWidth="1"/>
    <col min="29" max="29" width="10.1796875" style="560" hidden="1" customWidth="1"/>
    <col min="30" max="253" width="8.81640625" style="143" hidden="1" customWidth="1"/>
    <col min="254" max="254" width="5.7265625" style="143" hidden="1" customWidth="1"/>
    <col min="255" max="255" width="5.1796875" style="143" hidden="1" customWidth="1"/>
    <col min="256" max="16384" width="5.453125" style="143" hidden="1"/>
  </cols>
  <sheetData>
    <row r="1" spans="1:28" ht="45" customHeight="1" thickTop="1" x14ac:dyDescent="0.45">
      <c r="A1" s="2"/>
      <c r="B1" s="120"/>
      <c r="C1" s="720" t="s">
        <v>592</v>
      </c>
      <c r="D1" s="3"/>
      <c r="E1" s="3"/>
      <c r="F1" s="3"/>
      <c r="G1" s="3"/>
      <c r="H1" s="3"/>
      <c r="I1" s="3"/>
      <c r="J1" s="3"/>
      <c r="K1" s="3"/>
      <c r="L1" s="3"/>
      <c r="M1" s="1772" t="str">
        <f ca="1">CONCATENATE('MC-Working'!H2," - (QI Code - ", X4,"-",W4,"-",Y4,"-",Z4,"-",AA4,"-", AB4)</f>
        <v>Special Leasing/2019 - (QI Code - 0-50-000-148.431832259238-0-ATI)</v>
      </c>
      <c r="N1" s="1772"/>
      <c r="O1" s="1772"/>
      <c r="P1" s="1772"/>
      <c r="Q1" s="1772"/>
      <c r="R1" s="1772"/>
      <c r="S1" s="1773"/>
      <c r="U1" s="140"/>
      <c r="V1" s="633"/>
      <c r="W1" s="633"/>
      <c r="X1" s="633"/>
      <c r="Y1" s="633"/>
      <c r="Z1" s="633"/>
      <c r="AA1" s="633"/>
      <c r="AB1" s="633"/>
    </row>
    <row r="2" spans="1:28" ht="33.75" customHeight="1" x14ac:dyDescent="0.25">
      <c r="A2" s="121"/>
      <c r="B2" s="15"/>
      <c r="C2" s="16"/>
      <c r="D2" s="16"/>
      <c r="E2" s="16"/>
      <c r="F2" s="16"/>
      <c r="G2" s="16"/>
      <c r="H2" s="16"/>
      <c r="I2" s="16"/>
      <c r="J2" s="16"/>
      <c r="K2" s="16"/>
      <c r="L2" s="16"/>
      <c r="M2" s="1774" t="str">
        <f>IF(U3=0,CONCATENATE("Print  ",'MC-Working'!Y48,"  Sheet"),"")</f>
        <v/>
      </c>
      <c r="N2" s="1774"/>
      <c r="O2" s="1774"/>
      <c r="P2" s="1774"/>
      <c r="Q2" s="1774"/>
      <c r="R2" s="1774"/>
      <c r="S2" s="122"/>
      <c r="U2" s="140"/>
      <c r="V2" s="633"/>
      <c r="W2" s="633"/>
      <c r="X2" s="633"/>
      <c r="Y2" s="633"/>
      <c r="Z2" s="633"/>
      <c r="AA2" s="633"/>
      <c r="AB2" s="633"/>
    </row>
    <row r="3" spans="1:28" ht="13" customHeight="1" x14ac:dyDescent="0.25">
      <c r="A3" s="121"/>
      <c r="B3" s="15"/>
      <c r="C3" s="16"/>
      <c r="D3" s="16"/>
      <c r="E3" s="16"/>
      <c r="F3" s="16"/>
      <c r="G3" s="16"/>
      <c r="H3" s="16"/>
      <c r="I3" s="16"/>
      <c r="J3" s="16"/>
      <c r="K3" s="16"/>
      <c r="L3" s="16"/>
      <c r="M3" s="323"/>
      <c r="N3" s="323"/>
      <c r="O3" s="323"/>
      <c r="P3" s="323"/>
      <c r="Q3" s="323"/>
      <c r="R3" s="323"/>
      <c r="S3" s="122"/>
      <c r="U3" s="143">
        <f>IF(AND('MC-Working'!Z2=1,'MC-Working'!Y48="Motor Cycle Policy"),1,0)</f>
        <v>1</v>
      </c>
      <c r="V3" s="633"/>
      <c r="W3" s="633"/>
      <c r="X3" s="633"/>
      <c r="Y3" s="633"/>
      <c r="Z3" s="633"/>
      <c r="AA3" s="633"/>
      <c r="AB3" s="633"/>
    </row>
    <row r="4" spans="1:28" ht="20.25" customHeight="1" x14ac:dyDescent="0.35">
      <c r="A4" s="121"/>
      <c r="B4" s="7"/>
      <c r="C4" s="335" t="s">
        <v>524</v>
      </c>
      <c r="D4" s="9"/>
      <c r="E4" s="295"/>
      <c r="F4" s="355"/>
      <c r="G4" s="7"/>
      <c r="H4" s="9"/>
      <c r="I4" s="9"/>
      <c r="J4" s="9"/>
      <c r="K4" s="9"/>
      <c r="L4" s="11"/>
      <c r="M4" s="326"/>
      <c r="N4" s="326"/>
      <c r="O4" s="335"/>
      <c r="P4" s="1785">
        <f ca="1">TODAY()</f>
        <v>45348</v>
      </c>
      <c r="Q4" s="1785"/>
      <c r="R4" s="1785"/>
      <c r="S4" s="123"/>
      <c r="W4" s="634">
        <f ca="1">IF('MC-Working'!$M$37&lt;0,'MC-Working'!$G$37*2,0)</f>
        <v>50</v>
      </c>
      <c r="X4" s="634">
        <f ca="1">IF('MC-Working'!$M$36&lt;0,'MC-Working'!$H$36*2,0)</f>
        <v>0</v>
      </c>
      <c r="Y4" s="635" t="str">
        <f>IF('MC-Working'!$B$21="Free","000","111")</f>
        <v>000</v>
      </c>
      <c r="Z4" s="636">
        <f ca="1">IF('MC-Working'!$M$23&lt;0,'MC-Working'!$H$23*2,0)</f>
        <v>148.43183225923809</v>
      </c>
      <c r="AA4" s="637">
        <f>'MC-Working'!$N$60</f>
        <v>0</v>
      </c>
      <c r="AB4" s="560" t="str">
        <f>IF('MC-Working'!$C$2="Yes","GUD)","ATI)")</f>
        <v>ATI)</v>
      </c>
    </row>
    <row r="5" spans="1:28" ht="13.5" customHeight="1" x14ac:dyDescent="0.3">
      <c r="A5" s="121"/>
      <c r="B5" s="7"/>
      <c r="C5" s="355" t="s">
        <v>422</v>
      </c>
      <c r="D5" s="295"/>
      <c r="E5" s="295"/>
      <c r="F5" s="355"/>
      <c r="G5" s="7"/>
      <c r="H5" s="7"/>
      <c r="I5" s="7"/>
      <c r="J5" s="7"/>
      <c r="K5" s="7"/>
      <c r="L5" s="7"/>
      <c r="M5" s="326"/>
      <c r="N5" s="326"/>
      <c r="O5" s="335"/>
      <c r="P5" s="335"/>
      <c r="Q5" s="337"/>
      <c r="R5" s="336"/>
      <c r="S5" s="125"/>
      <c r="W5" s="633"/>
      <c r="X5" s="638"/>
      <c r="Y5" s="639"/>
      <c r="Z5" s="640"/>
      <c r="AA5" s="641"/>
      <c r="AB5" s="633"/>
    </row>
    <row r="6" spans="1:28" ht="5.15" customHeight="1" x14ac:dyDescent="0.35">
      <c r="A6" s="121"/>
      <c r="B6" s="7"/>
      <c r="C6" s="17"/>
      <c r="D6" s="18"/>
      <c r="E6" s="18"/>
      <c r="F6" s="18"/>
      <c r="G6" s="18"/>
      <c r="H6" s="18"/>
      <c r="I6" s="18"/>
      <c r="J6" s="18"/>
      <c r="K6" s="18"/>
      <c r="L6" s="18"/>
      <c r="M6" s="325"/>
      <c r="N6" s="325"/>
      <c r="O6" s="325"/>
      <c r="P6" s="325"/>
      <c r="Q6" s="325"/>
      <c r="R6" s="325"/>
      <c r="S6" s="125"/>
    </row>
    <row r="7" spans="1:28" ht="18" customHeight="1" x14ac:dyDescent="0.3">
      <c r="A7" s="121"/>
      <c r="B7" s="7"/>
      <c r="C7" s="331" t="s">
        <v>293</v>
      </c>
      <c r="D7" s="81"/>
      <c r="E7" s="81"/>
      <c r="F7" s="81"/>
      <c r="G7" s="81"/>
      <c r="H7" s="81"/>
      <c r="I7" s="81"/>
      <c r="J7" s="81"/>
      <c r="K7" s="9"/>
      <c r="L7" s="280" t="s">
        <v>23</v>
      </c>
      <c r="M7" s="262"/>
      <c r="N7" s="9"/>
      <c r="O7" s="106"/>
      <c r="P7" s="1778" t="str">
        <f>IF(AND(U3=1,'MC-Working'!U2=1),UPPER('MC-Working'!H8),"")</f>
        <v>MOTOR CYCLE</v>
      </c>
      <c r="Q7" s="1778"/>
      <c r="R7" s="1778"/>
      <c r="S7" s="1779"/>
    </row>
    <row r="8" spans="1:28" ht="18" customHeight="1" x14ac:dyDescent="0.25">
      <c r="A8" s="121"/>
      <c r="B8" s="7"/>
      <c r="C8" s="1775" t="s">
        <v>520</v>
      </c>
      <c r="D8" s="1776"/>
      <c r="E8" s="1776"/>
      <c r="F8" s="1776"/>
      <c r="G8" s="1776"/>
      <c r="H8" s="1776"/>
      <c r="I8" s="1776"/>
      <c r="J8" s="1777"/>
      <c r="K8" s="273"/>
      <c r="L8" s="280" t="s">
        <v>106</v>
      </c>
      <c r="M8" s="105"/>
      <c r="N8" s="106"/>
      <c r="O8" s="106"/>
      <c r="P8" s="1769" t="s">
        <v>591</v>
      </c>
      <c r="Q8" s="1770"/>
      <c r="R8" s="1423"/>
      <c r="S8" s="353"/>
    </row>
    <row r="9" spans="1:28" ht="18" customHeight="1" x14ac:dyDescent="0.3">
      <c r="A9" s="121"/>
      <c r="B9" s="7"/>
      <c r="C9" s="478" t="str">
        <f>IF(AND('MC-Working'!H12="HYBRID",'MC-Working'!H14="No",'MC-Working'!B12="Corporate"),CONCATENATE("(",'MC-Working'!B12," CUSTOMER)"),"")</f>
        <v/>
      </c>
      <c r="D9" s="459"/>
      <c r="E9" s="459"/>
      <c r="F9" s="459"/>
      <c r="G9" s="459"/>
      <c r="H9" s="459"/>
      <c r="I9" s="459"/>
      <c r="J9" s="459"/>
      <c r="K9" s="273"/>
      <c r="L9" s="280" t="s">
        <v>373</v>
      </c>
      <c r="M9" s="258"/>
      <c r="N9" s="106"/>
      <c r="O9" s="106"/>
      <c r="P9" s="1775" t="s">
        <v>516</v>
      </c>
      <c r="Q9" s="1776"/>
      <c r="R9" s="1777"/>
      <c r="S9" s="645"/>
    </row>
    <row r="10" spans="1:28" ht="18" customHeight="1" x14ac:dyDescent="0.3">
      <c r="A10" s="121"/>
      <c r="B10" s="7"/>
      <c r="C10" s="331" t="s">
        <v>292</v>
      </c>
      <c r="D10" s="81"/>
      <c r="E10" s="81"/>
      <c r="F10" s="81"/>
      <c r="G10" s="348"/>
      <c r="H10" s="348"/>
      <c r="I10" s="348"/>
      <c r="J10" s="348"/>
      <c r="K10" s="104"/>
      <c r="L10" s="280" t="s">
        <v>353</v>
      </c>
      <c r="M10" s="258"/>
      <c r="N10" s="107"/>
      <c r="O10" s="107"/>
      <c r="P10" s="1753" t="s">
        <v>519</v>
      </c>
      <c r="Q10" s="1753"/>
      <c r="R10" s="719" t="s">
        <v>522</v>
      </c>
      <c r="S10" s="350"/>
    </row>
    <row r="11" spans="1:28" ht="18" customHeight="1" x14ac:dyDescent="0.25">
      <c r="A11" s="121"/>
      <c r="B11" s="7"/>
      <c r="C11" s="1775" t="s">
        <v>520</v>
      </c>
      <c r="D11" s="1776"/>
      <c r="E11" s="1776"/>
      <c r="F11" s="1776"/>
      <c r="G11" s="1776"/>
      <c r="H11" s="1776"/>
      <c r="I11" s="1776"/>
      <c r="J11" s="1777"/>
      <c r="K11" s="273"/>
      <c r="L11" s="280" t="s">
        <v>32</v>
      </c>
      <c r="M11" s="105"/>
      <c r="N11" s="108"/>
      <c r="O11" s="107"/>
      <c r="P11" s="1775" t="s">
        <v>523</v>
      </c>
      <c r="Q11" s="1776"/>
      <c r="R11" s="1777"/>
      <c r="S11" s="351"/>
    </row>
    <row r="12" spans="1:28" ht="18" customHeight="1" x14ac:dyDescent="0.3">
      <c r="A12" s="121"/>
      <c r="B12" s="7"/>
      <c r="C12" s="332" t="s">
        <v>294</v>
      </c>
      <c r="D12" s="81"/>
      <c r="E12" s="81"/>
      <c r="F12" s="81"/>
      <c r="G12" s="349"/>
      <c r="H12" s="349"/>
      <c r="I12" s="349"/>
      <c r="J12" s="349"/>
      <c r="K12" s="126"/>
      <c r="L12" s="280" t="s">
        <v>33</v>
      </c>
      <c r="M12" s="105"/>
      <c r="N12" s="109"/>
      <c r="O12" s="109"/>
      <c r="P12" s="1755" t="str">
        <f>IF('MC-Working'!U2=1,UPPER(V12),"")</f>
        <v>PRIVATE USE ONLY</v>
      </c>
      <c r="Q12" s="1755"/>
      <c r="R12" s="1755"/>
      <c r="S12" s="352"/>
      <c r="V12" s="560" t="str">
        <f>IF('MC-Working'!H9="Private Use","Private Use Only",'MC-Working'!H9)</f>
        <v>Private Use Only</v>
      </c>
    </row>
    <row r="13" spans="1:28" ht="20.25" customHeight="1" x14ac:dyDescent="0.3">
      <c r="A13" s="121"/>
      <c r="B13" s="699">
        <f>IF(OR(C13=I87,C13=I88,C13=I89,C13=I90,C13=I91,C13=I92,C13=I93,C13=I94,C13=I95,C13=I96,C13=I97,C13=I98,C13=I99),1,0)</f>
        <v>0</v>
      </c>
      <c r="C13" s="1760" t="s">
        <v>540</v>
      </c>
      <c r="D13" s="1761"/>
      <c r="E13" s="1761"/>
      <c r="F13" s="1761"/>
      <c r="G13" s="1761"/>
      <c r="H13" s="1761"/>
      <c r="I13" s="1761"/>
      <c r="J13" s="1762"/>
      <c r="K13" s="274"/>
      <c r="L13" s="280" t="s">
        <v>405</v>
      </c>
      <c r="M13" s="105"/>
      <c r="N13" s="109"/>
      <c r="O13" s="109"/>
      <c r="P13" s="1787">
        <v>2021</v>
      </c>
      <c r="Q13" s="1788"/>
      <c r="R13" s="310">
        <f>IF(U3=1,'MC-Working'!T12,"")</f>
        <v>2</v>
      </c>
      <c r="S13" s="352"/>
      <c r="T13" s="701">
        <f>IF(I13="Ijarah","Ijarah",I13)</f>
        <v>0</v>
      </c>
      <c r="V13" s="560" t="str">
        <f>IF(AND('MC-Working'!K14="",'MC-Working'!B21="No"),"NOT APPLICABLE",IF(AND('MC-Working'!K14="",OR('MC-Working'!B21="Yes",'MC-Working'!B21="Free")),"APPLICABLE  - TO BE ADVISED",'MC-Working'!K14))</f>
        <v>RICHARD PIERIS FINANCE</v>
      </c>
    </row>
    <row r="14" spans="1:28" ht="14.5" customHeight="1" x14ac:dyDescent="0.3">
      <c r="A14" s="121"/>
      <c r="B14" s="7"/>
      <c r="C14" s="19"/>
      <c r="D14" s="19"/>
      <c r="E14" s="19"/>
      <c r="F14" s="19"/>
      <c r="G14" s="19"/>
      <c r="H14" s="19"/>
      <c r="I14" s="700"/>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15" customHeight="1" x14ac:dyDescent="0.3">
      <c r="A16" s="121"/>
      <c r="B16" s="7"/>
      <c r="C16" s="387" t="s">
        <v>297</v>
      </c>
      <c r="D16" s="7"/>
      <c r="E16" s="7"/>
      <c r="F16" s="190" t="str">
        <f>IF('MC-Working'!H3="One Year",": One Year",CONCATENATE(": ",Calculation!H9," Days"))</f>
        <v>: One Year</v>
      </c>
      <c r="G16" s="7"/>
      <c r="H16" s="7"/>
      <c r="I16" s="276" t="str">
        <f>IF('MC-Working'!H3="One Year","",CONCATENATE("(",'MC-Working'!H3," Basis)"))</f>
        <v/>
      </c>
      <c r="J16" s="9"/>
      <c r="K16" s="9"/>
      <c r="L16" s="7"/>
      <c r="M16" s="7"/>
      <c r="N16" s="7"/>
      <c r="O16" s="7"/>
      <c r="P16" s="703"/>
      <c r="Q16" s="1763">
        <v>700000</v>
      </c>
      <c r="R16" s="1764"/>
      <c r="S16" s="128"/>
    </row>
    <row r="17" spans="1:32" ht="13.15" customHeight="1" thickBot="1" x14ac:dyDescent="0.35">
      <c r="A17" s="121"/>
      <c r="B17" s="7"/>
      <c r="C17" s="1768" t="str">
        <f>IF('MC-Working'!H3="One Year","",CONCATENATE("(From ",'MC-Working'!G4," ",'MC-Working'!H4," ",'MC-Working'!I4," to ",'MC-Working'!G5," ",'MC-Working'!H5," ",'MC-Working'!I5,")"))</f>
        <v/>
      </c>
      <c r="D17" s="1768"/>
      <c r="E17" s="1768"/>
      <c r="F17" s="1768"/>
      <c r="G17" s="1768"/>
      <c r="H17" s="1768"/>
      <c r="I17" s="1768"/>
      <c r="J17" s="9"/>
      <c r="K17" s="9"/>
      <c r="L17" s="704" t="s">
        <v>598</v>
      </c>
      <c r="M17" s="258"/>
      <c r="N17" s="7"/>
      <c r="O17" s="7"/>
      <c r="P17" s="703"/>
      <c r="Q17" s="1765"/>
      <c r="R17" s="1766"/>
      <c r="S17" s="128"/>
    </row>
    <row r="18" spans="1:32" ht="17.149999999999999" customHeight="1" x14ac:dyDescent="0.3">
      <c r="A18" s="121"/>
      <c r="B18" s="7"/>
      <c r="C18" s="1768"/>
      <c r="D18" s="1768"/>
      <c r="E18" s="1768"/>
      <c r="F18" s="1768"/>
      <c r="G18" s="1768"/>
      <c r="H18" s="1768"/>
      <c r="I18" s="1768"/>
      <c r="J18" s="9"/>
      <c r="K18" s="9"/>
      <c r="L18" s="77" t="s">
        <v>599</v>
      </c>
      <c r="M18" s="7"/>
      <c r="N18" s="7"/>
      <c r="O18" s="7"/>
      <c r="P18" s="7"/>
      <c r="Q18" s="261" t="s">
        <v>24</v>
      </c>
      <c r="R18" s="266">
        <f>IF(U3=1,'MC-Working'!O61,"")</f>
        <v>9276.0339342523876</v>
      </c>
      <c r="S18" s="128"/>
    </row>
    <row r="19" spans="1:32" ht="15" customHeight="1" x14ac:dyDescent="0.3">
      <c r="A19" s="121"/>
      <c r="B19" s="7"/>
      <c r="C19" s="707" t="s">
        <v>513</v>
      </c>
      <c r="D19" s="705"/>
      <c r="E19" s="705"/>
      <c r="F19" s="705"/>
      <c r="G19" s="705"/>
      <c r="H19" s="705"/>
      <c r="I19" s="705"/>
      <c r="J19" s="9"/>
      <c r="K19" s="9"/>
      <c r="L19" s="77" t="s">
        <v>600</v>
      </c>
      <c r="M19" s="258"/>
      <c r="N19" s="7"/>
      <c r="O19" s="7"/>
      <c r="P19" s="7"/>
      <c r="Q19" s="261" t="s">
        <v>24</v>
      </c>
      <c r="R19" s="266">
        <f>IF(U3=1,'MC-Working'!M40+'MC-Working'!M41,"")</f>
        <v>1400</v>
      </c>
      <c r="S19" s="128"/>
      <c r="T19" s="646" t="s">
        <v>56</v>
      </c>
    </row>
    <row r="20" spans="1:32" ht="17.149999999999999" customHeight="1" x14ac:dyDescent="0.3">
      <c r="A20" s="121"/>
      <c r="B20" s="7"/>
      <c r="C20" s="1767" t="s">
        <v>593</v>
      </c>
      <c r="D20" s="1767"/>
      <c r="E20" s="1767"/>
      <c r="F20" s="1767"/>
      <c r="G20" s="1767"/>
      <c r="H20" s="1767"/>
      <c r="I20" s="1767"/>
      <c r="J20" s="1767"/>
      <c r="K20" s="9"/>
      <c r="L20" s="265" t="s">
        <v>601</v>
      </c>
      <c r="M20" s="7"/>
      <c r="N20" s="7"/>
      <c r="O20" s="7"/>
      <c r="P20" s="7"/>
      <c r="Q20" s="261" t="s">
        <v>24</v>
      </c>
      <c r="R20" s="266">
        <f>IF(U3=1,'MC-Working'!M42+'MC-Working'!M43,"")</f>
        <v>350</v>
      </c>
      <c r="S20" s="128"/>
      <c r="T20" s="1414" t="s">
        <v>76</v>
      </c>
    </row>
    <row r="21" spans="1:32" ht="17.149999999999999" customHeight="1" x14ac:dyDescent="0.3">
      <c r="A21" s="121"/>
      <c r="B21" s="7"/>
      <c r="C21" s="1767"/>
      <c r="D21" s="1767"/>
      <c r="E21" s="1767"/>
      <c r="F21" s="1767"/>
      <c r="G21" s="1767"/>
      <c r="H21" s="1767"/>
      <c r="I21" s="1767"/>
      <c r="J21" s="1767"/>
      <c r="K21" s="9"/>
      <c r="L21" s="265" t="s">
        <v>143</v>
      </c>
      <c r="M21" s="7"/>
      <c r="N21" s="7"/>
      <c r="O21" s="7"/>
      <c r="P21" s="7"/>
      <c r="Q21" s="261" t="s">
        <v>24</v>
      </c>
      <c r="R21" s="266">
        <f>SUM('MC-Working'!M62:M66)</f>
        <v>7348.9605983563097</v>
      </c>
      <c r="S21" s="128"/>
    </row>
    <row r="22" spans="1:32" ht="17.149999999999999" customHeight="1" thickBot="1" x14ac:dyDescent="0.35">
      <c r="A22" s="121"/>
      <c r="B22" s="7"/>
      <c r="C22" s="1767"/>
      <c r="D22" s="1767"/>
      <c r="E22" s="1767"/>
      <c r="F22" s="1767"/>
      <c r="G22" s="1767"/>
      <c r="H22" s="1767"/>
      <c r="I22" s="1767"/>
      <c r="J22" s="1767"/>
      <c r="K22" s="9"/>
      <c r="L22" s="265" t="str">
        <f>IF(Rates!$F$20="Yes","Nation Building Levy (NBL)","VAT")</f>
        <v>VAT</v>
      </c>
      <c r="M22" s="7"/>
      <c r="N22" s="7"/>
      <c r="O22" s="7"/>
      <c r="P22" s="7"/>
      <c r="Q22" s="261" t="s">
        <v>24</v>
      </c>
      <c r="R22" s="266">
        <f ca="1">IF(AND(Rates!$F$20="Yes",$U$3=1),'MC-Working'!$M$65*'MC-Working'!$C$71,IF($U$3=1,'MC-Working'!$M$67*'MC-Working'!$C$71,""))</f>
        <v>3307.499015869565</v>
      </c>
      <c r="S22" s="128"/>
    </row>
    <row r="23" spans="1:32" ht="17.149999999999999" customHeight="1" thickTop="1" thickBot="1" x14ac:dyDescent="0.35">
      <c r="A23" s="121"/>
      <c r="B23" s="7"/>
      <c r="C23" s="1767"/>
      <c r="D23" s="1767"/>
      <c r="E23" s="1767"/>
      <c r="F23" s="1767"/>
      <c r="G23" s="1767"/>
      <c r="H23" s="1767"/>
      <c r="I23" s="1767"/>
      <c r="J23" s="1767"/>
      <c r="K23" s="9"/>
      <c r="L23" s="77" t="str">
        <f>IF(Rates!$F$20="Yes","VAT","Total Premium")</f>
        <v>Total Premium</v>
      </c>
      <c r="M23" s="7"/>
      <c r="N23" s="7"/>
      <c r="O23" s="7"/>
      <c r="P23" s="7"/>
      <c r="Q23" s="261" t="s">
        <v>24</v>
      </c>
      <c r="R23" s="718">
        <f ca="1">IF(AND(Rates!$F$20="Yes",U3=1),'MC-Working'!$M$67*'MC-Working'!$C$71,IF(U3=1,'MC-Working'!$M$68,""))</f>
        <v>21682.493548478262</v>
      </c>
      <c r="S23" s="128"/>
      <c r="Y23" s="642"/>
    </row>
    <row r="24" spans="1:32" ht="19.899999999999999" customHeight="1" thickTop="1" x14ac:dyDescent="0.3">
      <c r="A24" s="121"/>
      <c r="B24" s="7"/>
      <c r="C24" s="1767"/>
      <c r="D24" s="1767"/>
      <c r="E24" s="1767"/>
      <c r="F24" s="1767"/>
      <c r="G24" s="1767"/>
      <c r="H24" s="1767"/>
      <c r="I24" s="1767"/>
      <c r="J24" s="1767"/>
      <c r="K24" s="9"/>
      <c r="L24" s="1496" t="str">
        <f>IF(P8="OTHER","NOT APPLICABLE FOR PCX &amp; KTM MODELS",)</f>
        <v>NOT APPLICABLE FOR PCX &amp; KTM MODELS</v>
      </c>
      <c r="M24" s="7"/>
      <c r="N24" s="7"/>
      <c r="O24" s="7"/>
      <c r="P24" s="7"/>
      <c r="Q24" s="117"/>
      <c r="R24" s="717"/>
      <c r="S24" s="128"/>
    </row>
    <row r="25" spans="1:32" ht="25.15" customHeight="1" x14ac:dyDescent="0.3">
      <c r="A25" s="121"/>
      <c r="B25" s="7"/>
      <c r="C25" s="706"/>
      <c r="D25" s="706"/>
      <c r="E25" s="706"/>
      <c r="F25" s="706"/>
      <c r="G25" s="706"/>
      <c r="H25" s="706"/>
      <c r="I25" s="706"/>
      <c r="J25" s="706"/>
      <c r="K25" s="9"/>
      <c r="L25" s="1758" t="str">
        <f>IF('MC-Working'!M12="Below 250cc",CONCATENATE("Not Applicable for Motor Cycles engine capacity Above 250cc.   "),IF(AND(B13=1,T13="Ijarah"),"Standard Policy Terms Applicable. No Ijarah Benefits Applicable",""))</f>
        <v xml:space="preserve">Not Applicable for Motor Cycles engine capacity Above 250cc.   </v>
      </c>
      <c r="M25" s="1758"/>
      <c r="N25" s="1758"/>
      <c r="O25" s="1758"/>
      <c r="P25" s="1758"/>
      <c r="Q25" s="1758"/>
      <c r="R25" s="1758"/>
      <c r="S25" s="1759"/>
      <c r="X25" s="642"/>
      <c r="AB25" s="643"/>
    </row>
    <row r="26" spans="1:32" ht="14.25" hidden="1" customHeight="1" x14ac:dyDescent="0.3">
      <c r="A26" s="121"/>
      <c r="B26" s="7"/>
      <c r="C26" s="334"/>
      <c r="D26" s="334"/>
      <c r="E26" s="334"/>
      <c r="F26" s="334"/>
      <c r="G26" s="334"/>
      <c r="H26" s="334"/>
      <c r="I26" s="334"/>
      <c r="J26" s="334"/>
      <c r="K26" s="334"/>
      <c r="L26" s="334"/>
      <c r="M26" s="334"/>
      <c r="N26" s="334"/>
      <c r="O26" s="334"/>
      <c r="P26" s="334"/>
      <c r="Q26" s="334"/>
      <c r="R26" s="334"/>
      <c r="S26" s="128"/>
    </row>
    <row r="27" spans="1:32" ht="14.25" hidden="1" customHeight="1" x14ac:dyDescent="0.3">
      <c r="A27" s="121"/>
      <c r="B27" s="7"/>
      <c r="C27" s="334"/>
      <c r="D27" s="334"/>
      <c r="E27" s="334"/>
      <c r="F27" s="334"/>
      <c r="G27" s="334"/>
      <c r="H27" s="334"/>
      <c r="I27" s="334"/>
      <c r="J27" s="334"/>
      <c r="K27" s="334"/>
      <c r="L27" s="334"/>
      <c r="M27" s="334"/>
      <c r="N27" s="334"/>
      <c r="O27" s="334"/>
      <c r="P27" s="334"/>
      <c r="Q27" s="334"/>
      <c r="R27" s="334"/>
      <c r="S27" s="130"/>
    </row>
    <row r="28" spans="1:32" ht="18" customHeight="1" x14ac:dyDescent="0.3">
      <c r="A28" s="121"/>
      <c r="B28" s="7"/>
      <c r="C28" s="324" t="s">
        <v>289</v>
      </c>
      <c r="D28" s="333"/>
      <c r="E28" s="333"/>
      <c r="F28" s="333"/>
      <c r="G28" s="333"/>
      <c r="H28" s="333"/>
      <c r="I28" s="333"/>
      <c r="J28" s="333"/>
      <c r="K28" s="333"/>
      <c r="L28" s="333"/>
      <c r="M28" s="333"/>
      <c r="N28" s="333"/>
      <c r="O28" s="333"/>
      <c r="P28" s="333"/>
      <c r="Q28" s="333"/>
      <c r="R28" s="651"/>
      <c r="S28" s="130"/>
      <c r="V28" s="709"/>
      <c r="W28" s="709"/>
      <c r="X28" s="709"/>
      <c r="Y28" s="709"/>
      <c r="Z28" s="709"/>
      <c r="AA28" s="709"/>
      <c r="AB28" s="709"/>
      <c r="AC28" s="709"/>
      <c r="AD28" s="548"/>
      <c r="AE28" s="548"/>
      <c r="AF28" s="548"/>
    </row>
    <row r="29" spans="1:32" ht="18" customHeight="1" x14ac:dyDescent="0.3">
      <c r="A29" s="121"/>
      <c r="B29" s="7"/>
      <c r="C29" s="327" t="s">
        <v>287</v>
      </c>
      <c r="D29" s="329" t="s">
        <v>315</v>
      </c>
      <c r="E29" s="334"/>
      <c r="F29" s="334"/>
      <c r="G29" s="334"/>
      <c r="H29" s="334"/>
      <c r="I29" s="334"/>
      <c r="J29" s="334"/>
      <c r="K29" s="334"/>
      <c r="L29" s="334"/>
      <c r="M29" s="334"/>
      <c r="N29" s="334"/>
      <c r="O29" s="334"/>
      <c r="P29" s="334"/>
      <c r="Q29" s="334"/>
      <c r="R29" s="652"/>
      <c r="S29" s="130"/>
      <c r="V29" s="709"/>
      <c r="W29" s="710"/>
      <c r="X29" s="709"/>
      <c r="Y29" s="709"/>
      <c r="Z29" s="709"/>
      <c r="AA29" s="709"/>
      <c r="AB29" s="711"/>
      <c r="AC29" s="709"/>
      <c r="AD29" s="548"/>
      <c r="AE29" s="548"/>
      <c r="AF29" s="548"/>
    </row>
    <row r="30" spans="1:32" ht="18" customHeight="1" x14ac:dyDescent="0.3">
      <c r="A30" s="121"/>
      <c r="B30" s="7"/>
      <c r="C30" s="327" t="s">
        <v>288</v>
      </c>
      <c r="D30" s="329" t="str">
        <f>CONCATENATE("Third Party Liability"," (Property Damage limited to Rs.",FIXED(MAX(Rates!B55,R33),0),")")</f>
        <v>Third Party Liability (Property Damage limited to Rs.1,000,000)</v>
      </c>
      <c r="E30" s="334"/>
      <c r="F30" s="334"/>
      <c r="G30" s="334"/>
      <c r="H30" s="334"/>
      <c r="I30" s="334"/>
      <c r="J30" s="334"/>
      <c r="K30" s="334"/>
      <c r="L30" s="334"/>
      <c r="M30" s="334"/>
      <c r="N30" s="334"/>
      <c r="O30" s="334"/>
      <c r="P30" s="334"/>
      <c r="Q30" s="334"/>
      <c r="R30" s="652"/>
      <c r="S30" s="130"/>
      <c r="V30" s="709"/>
      <c r="W30" s="709"/>
      <c r="X30" s="709"/>
      <c r="Y30" s="709"/>
      <c r="Z30" s="709"/>
      <c r="AA30" s="709"/>
      <c r="AB30" s="709"/>
      <c r="AC30" s="709"/>
      <c r="AD30" s="548"/>
      <c r="AE30" s="548"/>
      <c r="AF30" s="548"/>
    </row>
    <row r="31" spans="1:32" ht="18" customHeight="1" x14ac:dyDescent="0.3">
      <c r="A31" s="121"/>
      <c r="B31" s="7"/>
      <c r="C31" s="327" t="s">
        <v>286</v>
      </c>
      <c r="D31" s="329" t="s">
        <v>295</v>
      </c>
      <c r="E31" s="334"/>
      <c r="F31" s="334"/>
      <c r="G31" s="334"/>
      <c r="H31" s="334"/>
      <c r="I31" s="334"/>
      <c r="J31" s="334"/>
      <c r="K31" s="334"/>
      <c r="L31" s="334"/>
      <c r="M31" s="334"/>
      <c r="N31" s="334"/>
      <c r="O31" s="334"/>
      <c r="P31" s="334"/>
      <c r="Q31" s="334"/>
      <c r="R31" s="714"/>
      <c r="S31" s="130"/>
      <c r="V31" s="709"/>
      <c r="W31" s="709"/>
      <c r="X31" s="709"/>
      <c r="Y31" s="709"/>
      <c r="Z31" s="709"/>
      <c r="AA31" s="709"/>
      <c r="AB31" s="709"/>
      <c r="AC31" s="709"/>
      <c r="AD31" s="548"/>
      <c r="AE31" s="548"/>
      <c r="AF31" s="548"/>
    </row>
    <row r="32" spans="1:32" ht="19" customHeight="1" thickBot="1" x14ac:dyDescent="0.45">
      <c r="A32" s="121"/>
      <c r="B32" s="7"/>
      <c r="C32" s="648"/>
      <c r="D32" s="606"/>
      <c r="E32" s="631"/>
      <c r="F32" s="631"/>
      <c r="G32" s="290"/>
      <c r="H32" s="632" t="str">
        <f>IF('MC-Working'!B21="Free","FREE",IF('MC-Working'!B21="No","N/A","Yes"))</f>
        <v>FREE</v>
      </c>
      <c r="I32" s="608"/>
      <c r="J32" s="279"/>
      <c r="K32" s="9"/>
      <c r="L32" s="647"/>
      <c r="M32" s="606"/>
      <c r="N32" s="24"/>
      <c r="O32" s="79"/>
      <c r="P32" s="9"/>
      <c r="Q32" s="7"/>
      <c r="R32" s="606"/>
      <c r="S32" s="129"/>
      <c r="T32" s="721" t="s">
        <v>514</v>
      </c>
      <c r="U32" s="281" t="str">
        <f>'MC-Working'!B21</f>
        <v>Free</v>
      </c>
      <c r="V32" s="709" t="s">
        <v>17</v>
      </c>
      <c r="W32" s="708">
        <f>IF(OR('MC-Working'!R25=2,'MC-Working'!AA25=1),1,0)</f>
        <v>1</v>
      </c>
      <c r="X32" s="709"/>
      <c r="Y32" s="709"/>
      <c r="Z32" s="712">
        <f>IF(AND('MC-Working'!AA25=1,'MC-Working'!R25=2),MAX('MC-Working'!H25,Rates!C40),IF(AND('MC-Working'!AA25=1,'MC-Working'!R25&lt;2),Rates!C40,IF(AND('MC-Working'!AA25=0,'MC-Working'!R25=2),'MC-Working'!H25,0)))</f>
        <v>500000</v>
      </c>
      <c r="AA32" s="709"/>
      <c r="AB32" s="709"/>
      <c r="AC32" s="709"/>
      <c r="AD32" s="548"/>
      <c r="AE32" s="548"/>
      <c r="AF32" s="548"/>
    </row>
    <row r="33" spans="1:32" ht="19" customHeight="1" thickBot="1" x14ac:dyDescent="0.4">
      <c r="A33" s="121"/>
      <c r="B33" s="7"/>
      <c r="C33" s="21" t="s">
        <v>10</v>
      </c>
      <c r="D33" s="77" t="s">
        <v>525</v>
      </c>
      <c r="E33" s="10"/>
      <c r="F33" s="10"/>
      <c r="G33" s="10"/>
      <c r="H33" s="9"/>
      <c r="I33" s="9"/>
      <c r="J33" s="279"/>
      <c r="K33" s="9"/>
      <c r="L33" s="21" t="s">
        <v>10</v>
      </c>
      <c r="M33" s="610" t="s">
        <v>6</v>
      </c>
      <c r="N33" s="8"/>
      <c r="O33" s="11"/>
      <c r="P33" s="11"/>
      <c r="Q33" s="11"/>
      <c r="R33" s="1413">
        <v>1000000</v>
      </c>
      <c r="S33" s="127"/>
      <c r="T33" s="722" t="s">
        <v>0</v>
      </c>
      <c r="U33" s="287" t="str">
        <f>'MC-Working'!B39</f>
        <v>Yes</v>
      </c>
      <c r="V33" s="709" t="s">
        <v>36</v>
      </c>
      <c r="W33" s="708">
        <f>'MC-Working'!R29</f>
        <v>1</v>
      </c>
      <c r="X33" s="709"/>
      <c r="Y33" s="709"/>
      <c r="Z33" s="709"/>
      <c r="AA33" s="709"/>
      <c r="AB33" s="709"/>
      <c r="AC33" s="709"/>
      <c r="AD33" s="548"/>
      <c r="AE33" s="548"/>
      <c r="AF33" s="548"/>
    </row>
    <row r="34" spans="1:32" ht="19" customHeight="1" thickBot="1" x14ac:dyDescent="0.4">
      <c r="A34" s="121"/>
      <c r="B34" s="7"/>
      <c r="C34" s="21" t="s">
        <v>10</v>
      </c>
      <c r="D34" s="77" t="s">
        <v>261</v>
      </c>
      <c r="E34" s="10"/>
      <c r="F34" s="10"/>
      <c r="G34" s="10"/>
      <c r="H34" s="9"/>
      <c r="I34" s="9"/>
      <c r="J34" s="279"/>
      <c r="K34" s="9"/>
      <c r="L34" s="21" t="s">
        <v>10</v>
      </c>
      <c r="M34" s="610" t="s">
        <v>550</v>
      </c>
      <c r="N34" s="11"/>
      <c r="O34" s="11"/>
      <c r="P34" s="118"/>
      <c r="Q34" s="11"/>
      <c r="R34" s="1413">
        <v>1000000</v>
      </c>
      <c r="S34" s="127"/>
      <c r="T34" s="715">
        <v>0</v>
      </c>
      <c r="U34" s="281" t="str">
        <f>'MC-Working'!B40</f>
        <v>Yes</v>
      </c>
      <c r="V34" s="709" t="s">
        <v>35</v>
      </c>
      <c r="W34" s="708">
        <f>'MC-Working'!T48</f>
        <v>1</v>
      </c>
      <c r="X34" s="709"/>
      <c r="Y34" s="709"/>
      <c r="Z34" s="709"/>
      <c r="AA34" s="709"/>
      <c r="AB34" s="709"/>
      <c r="AC34" s="709"/>
      <c r="AD34" s="548"/>
      <c r="AE34" s="548"/>
      <c r="AF34" s="548"/>
    </row>
    <row r="35" spans="1:32" ht="19" customHeight="1" thickBot="1" x14ac:dyDescent="0.4">
      <c r="A35" s="121"/>
      <c r="B35" s="7"/>
      <c r="C35" s="21" t="s">
        <v>10</v>
      </c>
      <c r="D35" s="77" t="s">
        <v>262</v>
      </c>
      <c r="E35" s="291"/>
      <c r="F35" s="76"/>
      <c r="G35" s="69"/>
      <c r="H35" s="22"/>
      <c r="I35" s="69"/>
      <c r="J35" s="279"/>
      <c r="K35" s="9"/>
      <c r="L35" s="21" t="s">
        <v>10</v>
      </c>
      <c r="M35" s="610" t="s">
        <v>549</v>
      </c>
      <c r="N35" s="11"/>
      <c r="O35" s="11"/>
      <c r="P35" s="11"/>
      <c r="Q35" s="11"/>
      <c r="R35" s="1413">
        <v>100000</v>
      </c>
      <c r="S35" s="127"/>
      <c r="T35" s="646" t="s">
        <v>546</v>
      </c>
      <c r="U35" s="281">
        <f>IF('MC-Working'!Y42&gt;0,1,0)</f>
        <v>1</v>
      </c>
      <c r="V35" s="709" t="s">
        <v>18</v>
      </c>
      <c r="W35" s="708">
        <f>IF('MC-Working'!Z42&gt;0,1,0)</f>
        <v>0</v>
      </c>
      <c r="X35" s="709" t="s">
        <v>16</v>
      </c>
      <c r="Y35" s="708">
        <f>IF('MC-Working'!X42&gt;0,1,0)</f>
        <v>0</v>
      </c>
      <c r="Z35" s="709" t="s">
        <v>31</v>
      </c>
      <c r="AA35" s="708">
        <f>IF('MC-Working'!T47=0,0,'MC-Working'!O47)</f>
        <v>0</v>
      </c>
      <c r="AB35" s="709"/>
      <c r="AC35" s="709"/>
      <c r="AD35" s="548"/>
      <c r="AE35" s="548"/>
      <c r="AF35" s="548"/>
    </row>
    <row r="36" spans="1:32" ht="19" customHeight="1" thickBot="1" x14ac:dyDescent="0.4">
      <c r="A36" s="121"/>
      <c r="B36" s="7"/>
      <c r="C36" s="21" t="s">
        <v>10</v>
      </c>
      <c r="D36" s="1502" t="s">
        <v>604</v>
      </c>
      <c r="E36" s="291"/>
      <c r="F36" s="76"/>
      <c r="G36" s="69"/>
      <c r="H36" s="22"/>
      <c r="I36" s="69"/>
      <c r="J36" s="279"/>
      <c r="K36" s="9"/>
      <c r="L36" s="21" t="s">
        <v>10</v>
      </c>
      <c r="M36" s="693" t="s">
        <v>603</v>
      </c>
      <c r="N36" s="1501"/>
      <c r="O36" s="1501"/>
      <c r="P36" s="1501"/>
      <c r="Q36" s="1501"/>
      <c r="R36" s="1413">
        <v>100000</v>
      </c>
      <c r="S36" s="127"/>
      <c r="T36" s="646"/>
      <c r="U36" s="281"/>
      <c r="V36" s="709"/>
      <c r="W36" s="708"/>
      <c r="X36" s="709"/>
      <c r="Y36" s="708"/>
      <c r="Z36" s="709"/>
      <c r="AA36" s="708"/>
      <c r="AB36" s="709"/>
      <c r="AC36" s="709"/>
      <c r="AD36" s="548"/>
      <c r="AE36" s="548"/>
      <c r="AF36" s="548"/>
    </row>
    <row r="37" spans="1:32" ht="19" customHeight="1" x14ac:dyDescent="0.35">
      <c r="A37" s="121"/>
      <c r="B37" s="7"/>
      <c r="C37" s="21" t="s">
        <v>10</v>
      </c>
      <c r="D37" s="117" t="str">
        <f ca="1">IF(AND('MC-Working'!$M$36&lt;0,'MC-Working'!$I$38="Reveal"),CONCATENATE(K39," - ",MIN('MC-Working'!$H$36%,'MC-Working'!$R$36%)*100,"%"),K39)</f>
        <v>No Claim Bonus (*)</v>
      </c>
      <c r="E37" s="76"/>
      <c r="F37" s="76"/>
      <c r="G37" s="630"/>
      <c r="H37" s="22"/>
      <c r="I37" s="75" t="str">
        <f>IF(I12="Ijarah Leasing","NCB Protection","")</f>
        <v/>
      </c>
      <c r="J37" s="279"/>
      <c r="K37" s="9"/>
      <c r="L37" s="21" t="s">
        <v>10</v>
      </c>
      <c r="M37" s="117" t="s">
        <v>559</v>
      </c>
      <c r="N37" s="11"/>
      <c r="O37" s="11"/>
      <c r="P37" s="11"/>
      <c r="Q37" s="11"/>
      <c r="R37" s="11"/>
      <c r="S37" s="130"/>
      <c r="T37" s="1421" t="s">
        <v>111</v>
      </c>
      <c r="U37" s="281" t="str">
        <f>'MC-Working'!B41</f>
        <v>Yes</v>
      </c>
      <c r="V37" s="709" t="s">
        <v>30</v>
      </c>
      <c r="W37" s="708">
        <f>'MC-Working'!O52</f>
        <v>0</v>
      </c>
      <c r="X37" s="709"/>
      <c r="Y37" s="708"/>
      <c r="Z37" s="709"/>
      <c r="AA37" s="708"/>
      <c r="AB37" s="709"/>
      <c r="AC37" s="709"/>
      <c r="AD37" s="548"/>
      <c r="AE37" s="548"/>
      <c r="AF37" s="548"/>
    </row>
    <row r="38" spans="1:32" ht="22.5" hidden="1" customHeight="1" x14ac:dyDescent="0.35">
      <c r="A38" s="121"/>
      <c r="B38" s="7"/>
      <c r="C38" s="77"/>
      <c r="D38" s="77"/>
      <c r="E38" s="77"/>
      <c r="F38" s="77"/>
      <c r="G38" s="702" t="s">
        <v>10</v>
      </c>
      <c r="H38" s="702" t="s">
        <v>10</v>
      </c>
      <c r="I38" s="75" t="str">
        <f>IF(I13="Ijarah Leasing","NCB Protection","")</f>
        <v/>
      </c>
      <c r="J38" s="279"/>
      <c r="K38" s="9"/>
      <c r="L38" s="21" t="s">
        <v>10</v>
      </c>
      <c r="M38" s="584"/>
      <c r="N38" s="124"/>
      <c r="O38" s="9"/>
      <c r="P38" s="9"/>
      <c r="Q38" s="74"/>
      <c r="R38" s="378"/>
      <c r="S38" s="130"/>
      <c r="U38" s="281">
        <f>IF('MC-Working'!Y43&gt;0,1,0)</f>
        <v>1</v>
      </c>
      <c r="V38" s="709" t="s">
        <v>18</v>
      </c>
      <c r="W38" s="708">
        <f>IF('MC-Working'!Z43&gt;0,1,0)</f>
        <v>0</v>
      </c>
      <c r="X38" s="709" t="s">
        <v>16</v>
      </c>
      <c r="Y38" s="708">
        <f>IF('MC-Working'!X43&gt;0,1,0)</f>
        <v>0</v>
      </c>
      <c r="Z38" s="709" t="s">
        <v>29</v>
      </c>
      <c r="AA38" s="708">
        <f>IF(OR('MC-Working'!Q49&gt;0,'MC-Working'!H49&gt;0),1,0)</f>
        <v>0</v>
      </c>
      <c r="AB38" s="709">
        <f>IF(AND('MC-Working'!T47=1,'MC-Working'!H49&lt;7500),7500,'MC-Working'!H49)</f>
        <v>0</v>
      </c>
      <c r="AC38" s="709"/>
      <c r="AD38" s="548"/>
      <c r="AE38" s="548"/>
      <c r="AF38" s="548"/>
    </row>
    <row r="39" spans="1:32" ht="18.75" hidden="1" customHeight="1" x14ac:dyDescent="0.35">
      <c r="A39" s="121"/>
      <c r="B39" s="7"/>
      <c r="C39" s="77"/>
      <c r="D39" s="77"/>
      <c r="E39" s="77"/>
      <c r="F39" s="77"/>
      <c r="G39" s="10"/>
      <c r="H39" s="9"/>
      <c r="I39" s="9"/>
      <c r="J39" s="279"/>
      <c r="K39" s="23" t="str">
        <f ca="1">IF('MC-Working'!M37&lt;0,"No Claim Bonus (*)","Earned NCB")</f>
        <v>No Claim Bonus (*)</v>
      </c>
      <c r="L39" s="21" t="s">
        <v>10</v>
      </c>
      <c r="M39" s="77"/>
      <c r="N39" s="124"/>
      <c r="O39" s="608"/>
      <c r="P39" s="608"/>
      <c r="Q39" s="607"/>
      <c r="R39" s="649"/>
      <c r="S39" s="130"/>
      <c r="U39" s="281">
        <f>'MC-Working'!O50</f>
        <v>0</v>
      </c>
      <c r="V39" s="708" t="s">
        <v>28</v>
      </c>
      <c r="W39" s="708">
        <f ca="1">'MC-Working'!P23</f>
        <v>1</v>
      </c>
      <c r="X39" s="709"/>
      <c r="Y39" s="709"/>
      <c r="Z39" s="709"/>
      <c r="AA39" s="709"/>
      <c r="AB39" s="709"/>
      <c r="AC39" s="709"/>
      <c r="AD39" s="548"/>
      <c r="AE39" s="548"/>
      <c r="AF39" s="548"/>
    </row>
    <row r="40" spans="1:32" ht="18.75" hidden="1" customHeight="1" x14ac:dyDescent="0.35">
      <c r="A40" s="121"/>
      <c r="B40" s="7"/>
      <c r="C40" s="77"/>
      <c r="D40" s="77"/>
      <c r="E40" s="77"/>
      <c r="F40" s="77"/>
      <c r="G40" s="82"/>
      <c r="H40" s="82"/>
      <c r="I40" s="117"/>
      <c r="J40" s="279"/>
      <c r="K40" s="9"/>
      <c r="L40" s="69" t="s">
        <v>10</v>
      </c>
      <c r="M40" s="267" t="str">
        <f>IF(U43=1,"Duty Free Cover","")</f>
        <v>Duty Free Cover</v>
      </c>
      <c r="N40" s="11"/>
      <c r="O40" s="11"/>
      <c r="P40" s="11"/>
      <c r="Q40" s="11"/>
      <c r="R40" s="11"/>
      <c r="S40" s="130"/>
      <c r="T40" s="143" t="s">
        <v>18</v>
      </c>
      <c r="U40" s="281">
        <f>'MC-Working'!O51</f>
        <v>0</v>
      </c>
      <c r="V40" s="709" t="s">
        <v>27</v>
      </c>
      <c r="W40" s="708">
        <f>'MC-Working'!O22</f>
        <v>0</v>
      </c>
      <c r="X40" s="709"/>
      <c r="Y40" s="709"/>
      <c r="Z40" s="709"/>
      <c r="AA40" s="709"/>
      <c r="AB40" s="709"/>
      <c r="AC40" s="709"/>
      <c r="AD40" s="548"/>
      <c r="AE40" s="548"/>
      <c r="AF40" s="548"/>
    </row>
    <row r="41" spans="1:32" ht="18.75" hidden="1" customHeight="1" x14ac:dyDescent="0.35">
      <c r="A41" s="121"/>
      <c r="B41" s="7"/>
      <c r="C41" s="133" t="s">
        <v>10</v>
      </c>
      <c r="D41" s="117" t="str">
        <f>IF($T$41=1,PROPER('MC-Working'!$F$58),"")</f>
        <v/>
      </c>
      <c r="E41" s="24"/>
      <c r="F41" s="116"/>
      <c r="G41" s="24"/>
      <c r="H41" s="24"/>
      <c r="I41" s="117"/>
      <c r="J41" s="279"/>
      <c r="K41" s="9"/>
      <c r="L41" s="69" t="s">
        <v>10</v>
      </c>
      <c r="M41" s="117" t="str">
        <f>IF($U$41=1,PROPER('MC-Working'!$F$59),"")</f>
        <v/>
      </c>
      <c r="N41" s="11"/>
      <c r="O41" s="11"/>
      <c r="P41" s="11"/>
      <c r="Q41" s="7"/>
      <c r="R41" s="7"/>
      <c r="S41" s="130"/>
      <c r="T41" s="283">
        <f>'MC-Working'!$O$58</f>
        <v>0</v>
      </c>
      <c r="U41" s="283">
        <f>'MC-Working'!$O$59</f>
        <v>0</v>
      </c>
      <c r="V41" s="709"/>
      <c r="W41" s="708"/>
      <c r="X41" s="709"/>
      <c r="Y41" s="709"/>
      <c r="Z41" s="709"/>
      <c r="AA41" s="709"/>
      <c r="AB41" s="709"/>
      <c r="AC41" s="709"/>
      <c r="AD41" s="548"/>
      <c r="AE41" s="548"/>
      <c r="AF41" s="548"/>
    </row>
    <row r="42" spans="1:32" ht="17.25" hidden="1" customHeight="1" x14ac:dyDescent="0.35">
      <c r="A42" s="121"/>
      <c r="B42" s="7"/>
      <c r="C42" s="7"/>
      <c r="D42" s="1786"/>
      <c r="E42" s="1786"/>
      <c r="F42" s="7"/>
      <c r="G42" s="7"/>
      <c r="H42" s="7"/>
      <c r="I42" s="7"/>
      <c r="J42" s="9"/>
      <c r="K42" s="9"/>
      <c r="L42" s="11"/>
      <c r="M42" s="11"/>
      <c r="N42" s="11"/>
      <c r="O42" s="11"/>
      <c r="P42" s="11"/>
      <c r="Q42" s="11"/>
      <c r="R42" s="74"/>
      <c r="S42" s="130"/>
      <c r="T42" s="143" t="s">
        <v>25</v>
      </c>
      <c r="U42" s="281">
        <f>'MC-Working'!O54</f>
        <v>1</v>
      </c>
      <c r="V42" s="713" t="s">
        <v>0</v>
      </c>
      <c r="W42" s="708">
        <f ca="1">'MC-Working'!O36</f>
        <v>1</v>
      </c>
      <c r="X42" s="709"/>
      <c r="Y42" s="709"/>
      <c r="Z42" s="709"/>
      <c r="AA42" s="709"/>
      <c r="AB42" s="709"/>
    </row>
    <row r="43" spans="1:32" ht="17.5" customHeight="1" x14ac:dyDescent="0.3">
      <c r="A43" s="121"/>
      <c r="B43" s="7"/>
      <c r="C43" s="650"/>
      <c r="D43" s="650"/>
      <c r="E43" s="650"/>
      <c r="F43" s="650"/>
      <c r="G43" s="650"/>
      <c r="H43" s="650"/>
      <c r="I43" s="650"/>
      <c r="J43" s="650"/>
      <c r="K43" s="650"/>
      <c r="L43" s="650"/>
      <c r="M43" s="105" t="str">
        <f>IF('MC-Working'!H54&gt;0,CONCATENATE("(for Insured's Spouce &amp; Children above 18 yrs)","")," (for Insured's Spouce &amp; Children above 18 Yrs)")</f>
        <v>(for Insured's Spouce &amp; Children above 18 yrs)</v>
      </c>
      <c r="N43" s="650"/>
      <c r="O43" s="650"/>
      <c r="P43" s="650"/>
      <c r="Q43" s="650"/>
      <c r="R43" s="650"/>
      <c r="S43" s="127"/>
      <c r="T43" s="1422">
        <v>1</v>
      </c>
      <c r="U43" s="281">
        <f>IF('MC-Working'!B55="Yes",1,0)</f>
        <v>1</v>
      </c>
      <c r="V43" s="709" t="s">
        <v>39</v>
      </c>
      <c r="W43" s="708">
        <v>1</v>
      </c>
      <c r="X43" s="709" t="s">
        <v>40</v>
      </c>
      <c r="Y43" s="709">
        <f>'MC-Working'!O45</f>
        <v>0</v>
      </c>
      <c r="Z43" s="709"/>
      <c r="AA43" s="709"/>
      <c r="AB43" s="709"/>
    </row>
    <row r="44" spans="1:32" ht="13.5" customHeight="1" x14ac:dyDescent="0.3">
      <c r="A44" s="121"/>
      <c r="B44" s="7"/>
      <c r="C44" s="1729" t="s">
        <v>605</v>
      </c>
      <c r="D44" s="1729"/>
      <c r="E44" s="1729"/>
      <c r="F44" s="1729"/>
      <c r="G44" s="1729"/>
      <c r="H44" s="1729"/>
      <c r="I44" s="1729"/>
      <c r="J44" s="1729"/>
      <c r="K44" s="1729"/>
      <c r="L44" s="1729"/>
      <c r="M44" s="1729"/>
      <c r="N44" s="1729"/>
      <c r="O44" s="1729"/>
      <c r="P44" s="1729"/>
      <c r="Q44" s="1729"/>
      <c r="R44" s="1729"/>
      <c r="S44" s="127"/>
      <c r="T44" s="143" t="s">
        <v>16</v>
      </c>
      <c r="U44" s="281">
        <f>'MC-Working'!O30</f>
        <v>0</v>
      </c>
      <c r="V44" s="709" t="s">
        <v>42</v>
      </c>
      <c r="W44" s="708">
        <f>'MC-Working'!E34</f>
        <v>1</v>
      </c>
      <c r="X44" s="709" t="s">
        <v>46</v>
      </c>
      <c r="Y44" s="709" t="str">
        <f>'MC-Working'!B46</f>
        <v>No</v>
      </c>
      <c r="Z44" s="709" t="s">
        <v>46</v>
      </c>
      <c r="AA44" s="709">
        <f>IF('MC-Working'!Q48=0,1,'MC-Working'!T46)</f>
        <v>0</v>
      </c>
      <c r="AB44" s="709">
        <f>IF(AND('MC-Working'!M8="Motor Coach",'MC-Working'!H9="SLTB Route"),1,0)</f>
        <v>0</v>
      </c>
    </row>
    <row r="45" spans="1:32" ht="18" customHeight="1" x14ac:dyDescent="0.3">
      <c r="A45" s="121"/>
      <c r="B45" s="7"/>
      <c r="C45" s="268" t="s">
        <v>320</v>
      </c>
      <c r="D45" s="292"/>
      <c r="E45" s="292"/>
      <c r="F45" s="292"/>
      <c r="G45" s="81" t="s">
        <v>321</v>
      </c>
      <c r="H45" s="292"/>
      <c r="I45" s="292"/>
      <c r="J45" s="292"/>
      <c r="K45" s="292"/>
      <c r="L45" s="292"/>
      <c r="M45" s="292"/>
      <c r="N45" s="292"/>
      <c r="O45" s="292"/>
      <c r="P45" s="292"/>
      <c r="Q45" s="292"/>
      <c r="R45" s="292"/>
      <c r="S45" s="127"/>
      <c r="U45" s="281"/>
      <c r="V45" s="709"/>
      <c r="W45" s="708"/>
      <c r="X45" s="709"/>
      <c r="Y45" s="709"/>
      <c r="Z45" s="709"/>
      <c r="AA45" s="709"/>
      <c r="AB45" s="709"/>
    </row>
    <row r="46" spans="1:32" ht="18" customHeight="1" x14ac:dyDescent="0.3">
      <c r="A46" s="121"/>
      <c r="B46" s="7">
        <f>IF(AND(Rates!D71="Yes",'MC-Working'!H12="Hybrid"),1,0)</f>
        <v>0</v>
      </c>
      <c r="C46" s="538" t="s">
        <v>402</v>
      </c>
      <c r="D46" s="292"/>
      <c r="E46" s="292"/>
      <c r="F46" s="292"/>
      <c r="G46" s="292"/>
      <c r="H46" s="271" t="s">
        <v>49</v>
      </c>
      <c r="I46" s="293" t="str">
        <f ca="1">IF(AND(U3=1,'MC-Working'!M12="Above 250cc")," as below",IF(AND(U3=1,'MC-Working'!R94=0),"Nil",IF(U3=1,CONCATENATE("Rs.",FIXED('MC-Working'!R94,0),"/-"),"-")))</f>
        <v>Rs.2,500/-</v>
      </c>
      <c r="J46" s="358"/>
      <c r="K46" s="292"/>
      <c r="L46" s="294" t="str">
        <f>IF(U33="Yes","• Flood &amp; Natural Disaster","")</f>
        <v>• Flood &amp; Natural Disaster</v>
      </c>
      <c r="M46" s="292"/>
      <c r="N46" s="292"/>
      <c r="O46" s="292"/>
      <c r="P46" s="292"/>
      <c r="Q46" s="292" t="str">
        <f>IF(U33="Yes","-","")</f>
        <v>-</v>
      </c>
      <c r="R46" s="293" t="s">
        <v>526</v>
      </c>
      <c r="S46" s="127"/>
      <c r="U46" s="281"/>
      <c r="W46" s="609"/>
    </row>
    <row r="47" spans="1:32" ht="18" customHeight="1" x14ac:dyDescent="0.3">
      <c r="A47" s="121"/>
      <c r="B47" s="7"/>
      <c r="C47" s="376" t="str">
        <f>IF(AND(U3=1,'MC-Working'!M12="Above 250cc"),CONCATENATE("  20% of loss with a minimum of Rs.",FIXED('MC-Working'!R94,0),"/-"),"")</f>
        <v/>
      </c>
      <c r="D47" s="292"/>
      <c r="E47" s="292"/>
      <c r="F47" s="292"/>
      <c r="G47" s="292"/>
      <c r="H47" s="292"/>
      <c r="I47" s="488"/>
      <c r="J47" s="358"/>
      <c r="K47" s="292"/>
      <c r="L47" s="270" t="s">
        <v>403</v>
      </c>
      <c r="M47" s="357"/>
      <c r="N47" s="295"/>
      <c r="O47" s="295"/>
      <c r="P47" s="292"/>
      <c r="Q47" s="292"/>
      <c r="R47" s="292"/>
      <c r="S47" s="127"/>
      <c r="U47" s="281"/>
      <c r="W47" s="609"/>
    </row>
    <row r="48" spans="1:32" ht="18" customHeight="1" x14ac:dyDescent="0.3">
      <c r="A48" s="121"/>
      <c r="B48" s="7"/>
      <c r="C48" s="565" t="str">
        <f>IF(AND(Rates!D67="Yes",OR('MC-Working'!H12="Hybrid",'MC-Working'!H12="Electric")),CONCATENATE("• Excess on Inverter 25%; Excess on Battery : ",Rates!A68),"")</f>
        <v/>
      </c>
      <c r="D48" s="532"/>
      <c r="E48" s="532"/>
      <c r="F48" s="532"/>
      <c r="G48" s="532"/>
      <c r="H48" s="532"/>
      <c r="I48" s="532"/>
      <c r="J48" s="533"/>
      <c r="K48" s="486"/>
      <c r="L48" s="486"/>
      <c r="M48" s="486"/>
      <c r="N48" s="486"/>
      <c r="O48" s="486"/>
      <c r="P48" s="486"/>
      <c r="Q48" s="292"/>
      <c r="R48" s="292"/>
      <c r="S48" s="127"/>
      <c r="U48" s="281"/>
      <c r="W48" s="609"/>
    </row>
    <row r="49" spans="1:24" ht="18" customHeight="1" x14ac:dyDescent="0.3">
      <c r="A49" s="121"/>
      <c r="B49" s="7"/>
      <c r="C49" s="1782" t="s">
        <v>296</v>
      </c>
      <c r="D49" s="1783"/>
      <c r="E49" s="1783"/>
      <c r="F49" s="1783"/>
      <c r="G49" s="1783"/>
      <c r="H49" s="1783"/>
      <c r="I49" s="1783"/>
      <c r="J49" s="1783"/>
      <c r="K49" s="1783"/>
      <c r="L49" s="1783"/>
      <c r="M49" s="1783"/>
      <c r="N49" s="1783"/>
      <c r="O49" s="1783"/>
      <c r="P49" s="1783"/>
      <c r="Q49" s="1783"/>
      <c r="R49" s="1783"/>
      <c r="S49" s="127"/>
      <c r="U49" s="281"/>
      <c r="W49" s="609"/>
    </row>
    <row r="50" spans="1:24" ht="40.5" customHeight="1" x14ac:dyDescent="0.3">
      <c r="A50" s="121"/>
      <c r="B50" s="7"/>
      <c r="C50" s="1757" t="str">
        <f ca="1">CONCATENATE(A66,X50)</f>
        <v xml:space="preserve">This quotation is offered based on the information provided by the Proposer and is subject to revision upon changes to the risk. Further, this quotation is valid only for 30 days from the date of issue and is subject to revision of government taxes. </v>
      </c>
      <c r="D50" s="1757"/>
      <c r="E50" s="1757"/>
      <c r="F50" s="1757"/>
      <c r="G50" s="1757"/>
      <c r="H50" s="1757"/>
      <c r="I50" s="1757"/>
      <c r="J50" s="1757"/>
      <c r="K50" s="1757"/>
      <c r="L50" s="1757"/>
      <c r="M50" s="1757"/>
      <c r="N50" s="1757"/>
      <c r="O50" s="1757"/>
      <c r="P50" s="1757"/>
      <c r="Q50" s="1757"/>
      <c r="R50" s="1757"/>
      <c r="S50" s="127"/>
      <c r="T50" s="143" t="s">
        <v>129</v>
      </c>
      <c r="U50" s="282">
        <f>IF(AND('MC-Working'!M8="Motor Coach",'MC-Working'!H9="SLTB Route"),1,0)</f>
        <v>0</v>
      </c>
      <c r="V50" s="560" t="s">
        <v>26</v>
      </c>
      <c r="W50" s="609">
        <f>'MC-Working'!O56</f>
        <v>0</v>
      </c>
      <c r="X50" s="560" t="str">
        <f ca="1">IF('MC-Working'!M36&lt;0,"NCB allowed is subject to documentary evidence.","")</f>
        <v/>
      </c>
    </row>
    <row r="51" spans="1:24" ht="17.25" hidden="1" customHeight="1" x14ac:dyDescent="0.3">
      <c r="A51" s="121"/>
      <c r="B51" s="7"/>
      <c r="C51" s="80" t="s">
        <v>9</v>
      </c>
      <c r="D51" s="81"/>
      <c r="E51" s="81"/>
      <c r="F51" s="81"/>
      <c r="G51" s="81"/>
      <c r="H51" s="81"/>
      <c r="I51" s="81"/>
      <c r="J51" s="81"/>
      <c r="K51" s="81"/>
      <c r="L51" s="81"/>
      <c r="M51" s="81"/>
      <c r="N51" s="81"/>
      <c r="O51" s="81"/>
      <c r="P51" s="81"/>
      <c r="Q51" s="81"/>
      <c r="R51" s="81"/>
      <c r="S51" s="127"/>
    </row>
    <row r="52" spans="1:24" ht="14.25" hidden="1" customHeight="1" x14ac:dyDescent="0.3">
      <c r="A52" s="121"/>
      <c r="B52" s="7"/>
      <c r="C52" s="1754" t="s">
        <v>594</v>
      </c>
      <c r="D52" s="1754"/>
      <c r="E52" s="1754"/>
      <c r="F52" s="1754"/>
      <c r="G52" s="1754"/>
      <c r="H52" s="1754"/>
      <c r="I52" s="1754"/>
      <c r="J52" s="1754"/>
      <c r="K52" s="1754"/>
      <c r="L52" s="1754"/>
      <c r="M52" s="1754"/>
      <c r="N52" s="1754"/>
      <c r="O52" s="1754"/>
      <c r="P52" s="1754"/>
      <c r="Q52" s="1754"/>
      <c r="R52" s="1754"/>
      <c r="S52" s="127"/>
    </row>
    <row r="53" spans="1:24" ht="29.25" hidden="1" customHeight="1" x14ac:dyDescent="0.3">
      <c r="A53" s="121"/>
      <c r="B53" s="7"/>
      <c r="C53" s="1754"/>
      <c r="D53" s="1754"/>
      <c r="E53" s="1754"/>
      <c r="F53" s="1754"/>
      <c r="G53" s="1754"/>
      <c r="H53" s="1754"/>
      <c r="I53" s="1754"/>
      <c r="J53" s="1754"/>
      <c r="K53" s="1754"/>
      <c r="L53" s="1754"/>
      <c r="M53" s="1754"/>
      <c r="N53" s="1754"/>
      <c r="O53" s="1754"/>
      <c r="P53" s="1754"/>
      <c r="Q53" s="1754"/>
      <c r="R53" s="1754"/>
      <c r="S53" s="130"/>
    </row>
    <row r="54" spans="1:24" ht="20.149999999999999" hidden="1" customHeight="1" x14ac:dyDescent="0.3">
      <c r="A54" s="121"/>
      <c r="B54" s="7"/>
      <c r="C54" s="724" t="s">
        <v>521</v>
      </c>
      <c r="D54" s="275"/>
      <c r="E54" s="275"/>
      <c r="F54" s="275"/>
      <c r="G54" s="275"/>
      <c r="H54" s="275"/>
      <c r="I54" s="275"/>
      <c r="J54" s="228"/>
      <c r="K54" s="228"/>
      <c r="L54" s="228"/>
      <c r="M54" s="228"/>
      <c r="N54" s="228"/>
      <c r="O54" s="228"/>
      <c r="P54" s="228"/>
      <c r="Q54" s="228"/>
      <c r="R54" s="228"/>
      <c r="S54" s="130"/>
    </row>
    <row r="55" spans="1:24" ht="29.25" customHeight="1" x14ac:dyDescent="0.3">
      <c r="A55" s="121"/>
      <c r="B55" s="7"/>
      <c r="C55" s="1784" t="s">
        <v>596</v>
      </c>
      <c r="D55" s="1784"/>
      <c r="E55" s="1784"/>
      <c r="F55" s="1784"/>
      <c r="G55" s="1784"/>
      <c r="H55" s="1784"/>
      <c r="I55" s="1784"/>
      <c r="J55" s="1784"/>
      <c r="K55" s="1784"/>
      <c r="L55" s="1784"/>
      <c r="M55" s="1784"/>
      <c r="N55" s="278"/>
      <c r="O55" s="278"/>
      <c r="P55" s="278"/>
      <c r="Q55" s="278"/>
      <c r="R55" s="278"/>
      <c r="S55" s="130"/>
    </row>
    <row r="56" spans="1:24" ht="26.25" customHeight="1" x14ac:dyDescent="0.3">
      <c r="A56" s="121"/>
      <c r="B56" s="7"/>
      <c r="C56" s="1784"/>
      <c r="D56" s="1784"/>
      <c r="E56" s="1784"/>
      <c r="F56" s="1784"/>
      <c r="G56" s="1784"/>
      <c r="H56" s="1784"/>
      <c r="I56" s="1784"/>
      <c r="J56" s="1784"/>
      <c r="K56" s="1784"/>
      <c r="L56" s="1784"/>
      <c r="M56" s="1784"/>
      <c r="N56" s="278"/>
      <c r="O56" s="278"/>
      <c r="P56" s="278"/>
      <c r="Q56" s="278"/>
      <c r="R56" s="278"/>
      <c r="S56" s="130"/>
      <c r="V56" s="560">
        <f>IF(OR('MC-Working'!E61=0,'MC-Working'!E61=""),1,0)</f>
        <v>1</v>
      </c>
    </row>
    <row r="57" spans="1:24" ht="18" customHeight="1" x14ac:dyDescent="0.3">
      <c r="A57" s="121"/>
      <c r="B57" s="7"/>
      <c r="C57" s="380"/>
      <c r="D57" s="322"/>
      <c r="E57" s="322"/>
      <c r="F57" s="322"/>
      <c r="G57" s="322"/>
      <c r="H57" s="322"/>
      <c r="I57" s="322"/>
      <c r="J57" s="322"/>
      <c r="K57" s="322"/>
      <c r="L57" s="322"/>
      <c r="M57" s="322"/>
      <c r="N57" s="1756"/>
      <c r="O57" s="1756"/>
      <c r="P57" s="1756"/>
      <c r="Q57" s="1756"/>
      <c r="R57" s="1756"/>
      <c r="S57" s="130"/>
    </row>
    <row r="58" spans="1:24" ht="30.75" hidden="1" customHeight="1" x14ac:dyDescent="0.3">
      <c r="A58" s="121"/>
      <c r="B58" s="7"/>
      <c r="C58" s="379"/>
      <c r="D58" s="322"/>
      <c r="E58" s="322"/>
      <c r="F58" s="322"/>
      <c r="G58" s="322"/>
      <c r="H58" s="322"/>
      <c r="I58" s="322"/>
      <c r="J58" s="322"/>
      <c r="K58" s="322"/>
      <c r="L58" s="322"/>
      <c r="M58" s="322"/>
      <c r="N58" s="322"/>
      <c r="O58" s="322"/>
      <c r="P58" s="322"/>
      <c r="Q58" s="322"/>
      <c r="R58" s="322"/>
      <c r="S58" s="130"/>
    </row>
    <row r="59" spans="1:24" ht="15.75" hidden="1" customHeight="1" x14ac:dyDescent="0.3">
      <c r="A59" s="121"/>
      <c r="B59" s="7"/>
      <c r="C59" s="1781"/>
      <c r="D59" s="1781"/>
      <c r="E59" s="1781"/>
      <c r="F59" s="1781"/>
      <c r="G59" s="1781"/>
      <c r="H59" s="1781"/>
      <c r="I59" s="1781"/>
      <c r="J59" s="264"/>
      <c r="K59" s="264"/>
      <c r="L59" s="264"/>
      <c r="M59" s="14"/>
      <c r="N59" s="295"/>
      <c r="O59" s="295"/>
      <c r="P59" s="295"/>
      <c r="Q59" s="295"/>
      <c r="R59" s="295"/>
      <c r="S59" s="131"/>
    </row>
    <row r="60" spans="1:24" ht="27" customHeight="1" x14ac:dyDescent="0.3">
      <c r="A60" s="121"/>
      <c r="B60" s="7"/>
      <c r="C60" s="1780" t="str">
        <f ca="1">CONCATENATE("MNIS-",'MC-Working'!H23," - ",'MC-Working'!H37," - I (",'MC-Working'!M64,") - S (",'MC-Working'!M65,")")</f>
        <v>MNIS-74.215916129619 - 25 - I (2000) - S (2000)</v>
      </c>
      <c r="D60" s="1780"/>
      <c r="E60" s="1780"/>
      <c r="F60" s="1780"/>
      <c r="G60" s="1780"/>
      <c r="H60" s="1780"/>
      <c r="I60" s="1780"/>
      <c r="J60" s="7"/>
      <c r="K60" s="7"/>
      <c r="L60" s="14"/>
      <c r="M60" s="14"/>
      <c r="N60" s="132"/>
      <c r="O60" s="132"/>
      <c r="P60" s="132"/>
      <c r="Q60" s="132"/>
      <c r="R60" s="132"/>
      <c r="S60" s="131"/>
    </row>
    <row r="61" spans="1:24" ht="5.25" customHeight="1" thickBot="1" x14ac:dyDescent="0.3">
      <c r="A61" s="576"/>
      <c r="B61" s="577"/>
      <c r="C61" s="578"/>
      <c r="D61" s="577"/>
      <c r="E61" s="577"/>
      <c r="F61" s="577"/>
      <c r="G61" s="577"/>
      <c r="H61" s="577"/>
      <c r="I61" s="577"/>
      <c r="J61" s="577"/>
      <c r="K61" s="577"/>
      <c r="L61" s="577"/>
      <c r="M61" s="577"/>
      <c r="N61" s="577"/>
      <c r="O61" s="579"/>
      <c r="P61" s="580"/>
      <c r="Q61" s="581"/>
      <c r="R61" s="582"/>
      <c r="S61" s="583"/>
    </row>
    <row r="62" spans="1:24" ht="16" hidden="1" thickTop="1" x14ac:dyDescent="0.35">
      <c r="A62" s="284"/>
      <c r="D62" s="229"/>
      <c r="E62" s="229"/>
      <c r="F62" s="229"/>
      <c r="G62" s="229"/>
      <c r="H62" s="229"/>
      <c r="J62" s="285"/>
      <c r="K62" s="285"/>
      <c r="L62" s="285"/>
      <c r="M62" s="285"/>
      <c r="N62" s="285"/>
      <c r="O62" s="285"/>
      <c r="P62" s="285"/>
      <c r="S62" s="285"/>
    </row>
    <row r="66" spans="1:19" hidden="1" x14ac:dyDescent="0.25">
      <c r="A66" s="1771" t="s">
        <v>397</v>
      </c>
      <c r="B66" s="1771"/>
      <c r="C66" s="1771"/>
      <c r="D66" s="1771"/>
      <c r="E66" s="1771"/>
      <c r="F66" s="1771"/>
      <c r="G66" s="1771"/>
      <c r="H66" s="1771"/>
      <c r="I66" s="1771"/>
      <c r="J66" s="1771"/>
      <c r="K66" s="1771"/>
      <c r="L66" s="1771"/>
      <c r="M66" s="1771"/>
      <c r="N66" s="1771"/>
      <c r="O66" s="1771"/>
      <c r="P66" s="1771"/>
      <c r="Q66" s="1771"/>
      <c r="R66" s="1771"/>
      <c r="S66" s="1771"/>
    </row>
    <row r="67" spans="1:19" hidden="1" x14ac:dyDescent="0.25">
      <c r="A67" s="1771"/>
      <c r="B67" s="1771"/>
      <c r="C67" s="1771"/>
      <c r="D67" s="1771"/>
      <c r="E67" s="1771"/>
      <c r="F67" s="1771"/>
      <c r="G67" s="1771"/>
      <c r="H67" s="1771"/>
      <c r="I67" s="1771"/>
      <c r="J67" s="1771"/>
      <c r="K67" s="1771"/>
      <c r="L67" s="1771"/>
      <c r="M67" s="1771"/>
      <c r="N67" s="1771"/>
      <c r="O67" s="1771"/>
      <c r="P67" s="1771"/>
      <c r="Q67" s="1771"/>
      <c r="R67" s="1771"/>
      <c r="S67" s="1771"/>
    </row>
    <row r="68" spans="1:19" hidden="1" x14ac:dyDescent="0.25">
      <c r="A68" s="1771"/>
      <c r="B68" s="1771"/>
      <c r="C68" s="1771"/>
      <c r="D68" s="1771"/>
      <c r="E68" s="1771"/>
      <c r="F68" s="1771"/>
      <c r="G68" s="1771"/>
      <c r="H68" s="1771"/>
      <c r="I68" s="1771"/>
      <c r="J68" s="1771"/>
      <c r="K68" s="1771"/>
      <c r="L68" s="1771"/>
      <c r="M68" s="1771"/>
      <c r="N68" s="1771"/>
      <c r="O68" s="1771"/>
      <c r="P68" s="1771"/>
      <c r="Q68" s="1771"/>
      <c r="R68" s="1771"/>
      <c r="S68" s="1771"/>
    </row>
    <row r="69" spans="1:19" hidden="1" x14ac:dyDescent="0.25">
      <c r="A69" s="1771"/>
      <c r="B69" s="1771"/>
      <c r="C69" s="1771"/>
      <c r="D69" s="1771"/>
      <c r="E69" s="1771"/>
      <c r="F69" s="1771"/>
      <c r="G69" s="1771"/>
      <c r="H69" s="1771"/>
      <c r="I69" s="1771"/>
      <c r="J69" s="1771"/>
      <c r="K69" s="1771"/>
      <c r="L69" s="1771"/>
      <c r="M69" s="1771"/>
      <c r="N69" s="1771"/>
      <c r="O69" s="1771"/>
      <c r="P69" s="1771"/>
      <c r="Q69" s="1771"/>
      <c r="R69" s="1771"/>
      <c r="S69" s="1771"/>
    </row>
    <row r="70" spans="1:19" hidden="1" x14ac:dyDescent="0.25">
      <c r="A70" s="1771"/>
      <c r="B70" s="1771"/>
      <c r="C70" s="1771"/>
      <c r="D70" s="1771"/>
      <c r="E70" s="1771"/>
      <c r="F70" s="1771"/>
      <c r="G70" s="1771"/>
      <c r="H70" s="1771"/>
      <c r="I70" s="1771"/>
      <c r="J70" s="1771"/>
      <c r="K70" s="1771"/>
      <c r="L70" s="1771"/>
      <c r="M70" s="1771"/>
      <c r="N70" s="1771"/>
      <c r="O70" s="1771"/>
      <c r="P70" s="1771"/>
      <c r="Q70" s="1771"/>
      <c r="R70" s="1771"/>
      <c r="S70" s="1771"/>
    </row>
    <row r="71" spans="1:19" hidden="1" x14ac:dyDescent="0.25">
      <c r="A71" s="1771"/>
      <c r="B71" s="1771"/>
      <c r="C71" s="1771"/>
      <c r="D71" s="1771"/>
      <c r="E71" s="1771"/>
      <c r="F71" s="1771"/>
      <c r="G71" s="1771"/>
      <c r="H71" s="1771"/>
      <c r="I71" s="1771"/>
      <c r="J71" s="1771"/>
      <c r="K71" s="1771"/>
      <c r="L71" s="1771"/>
      <c r="M71" s="1771"/>
      <c r="N71" s="1771"/>
      <c r="O71" s="1771"/>
      <c r="P71" s="1771"/>
      <c r="Q71" s="1771"/>
      <c r="R71" s="1771"/>
      <c r="S71" s="1771"/>
    </row>
    <row r="72" spans="1:19" hidden="1" x14ac:dyDescent="0.25">
      <c r="A72" s="1771"/>
      <c r="B72" s="1771"/>
      <c r="C72" s="1771"/>
      <c r="D72" s="1771"/>
      <c r="E72" s="1771"/>
      <c r="F72" s="1771"/>
      <c r="G72" s="1771"/>
      <c r="H72" s="1771"/>
      <c r="I72" s="1771"/>
      <c r="J72" s="1771"/>
      <c r="K72" s="1771"/>
      <c r="L72" s="1771"/>
      <c r="M72" s="1771"/>
      <c r="N72" s="1771"/>
      <c r="O72" s="1771"/>
      <c r="P72" s="1771"/>
      <c r="Q72" s="1771"/>
      <c r="R72" s="1771"/>
      <c r="S72" s="1771"/>
    </row>
    <row r="81" spans="6:18" ht="13" thickTop="1" x14ac:dyDescent="0.25"/>
    <row r="87" spans="6:18" ht="28" hidden="1" x14ac:dyDescent="0.25">
      <c r="I87" s="489" t="s">
        <v>450</v>
      </c>
    </row>
    <row r="88" spans="6:18" ht="14" hidden="1" x14ac:dyDescent="0.25">
      <c r="F88" s="548" t="s">
        <v>453</v>
      </c>
      <c r="I88" s="548" t="s">
        <v>453</v>
      </c>
      <c r="R88" s="489" t="s">
        <v>449</v>
      </c>
    </row>
    <row r="89" spans="6:18" ht="14" hidden="1" x14ac:dyDescent="0.25">
      <c r="I89" s="548" t="s">
        <v>456</v>
      </c>
      <c r="R89" s="489" t="s">
        <v>518</v>
      </c>
    </row>
    <row r="90" spans="6:18" ht="14" hidden="1" x14ac:dyDescent="0.25">
      <c r="I90" s="548" t="s">
        <v>464</v>
      </c>
      <c r="R90" s="489" t="s">
        <v>450</v>
      </c>
    </row>
    <row r="91" spans="6:18" ht="14" hidden="1" x14ac:dyDescent="0.25">
      <c r="I91" s="548" t="s">
        <v>517</v>
      </c>
      <c r="R91" s="489" t="s">
        <v>378</v>
      </c>
    </row>
    <row r="92" spans="6:18" ht="14" hidden="1" x14ac:dyDescent="0.25">
      <c r="I92" s="548" t="s">
        <v>467</v>
      </c>
      <c r="R92" s="489" t="s">
        <v>450</v>
      </c>
    </row>
    <row r="93" spans="6:18" ht="14" hidden="1" x14ac:dyDescent="0.25">
      <c r="I93" s="548" t="s">
        <v>475</v>
      </c>
      <c r="R93" s="489" t="s">
        <v>451</v>
      </c>
    </row>
    <row r="94" spans="6:18" ht="14" hidden="1" x14ac:dyDescent="0.25">
      <c r="I94" s="548" t="s">
        <v>476</v>
      </c>
      <c r="R94" s="489" t="s">
        <v>452</v>
      </c>
    </row>
    <row r="95" spans="6:18" ht="14" hidden="1" x14ac:dyDescent="0.25">
      <c r="I95" s="548" t="s">
        <v>480</v>
      </c>
      <c r="R95" s="489" t="s">
        <v>379</v>
      </c>
    </row>
    <row r="96" spans="6:18" ht="14" hidden="1" x14ac:dyDescent="0.25">
      <c r="I96" s="548" t="s">
        <v>486</v>
      </c>
      <c r="R96" s="489" t="s">
        <v>454</v>
      </c>
    </row>
    <row r="97" spans="9:18" ht="14" hidden="1" x14ac:dyDescent="0.25">
      <c r="I97" s="548" t="s">
        <v>493</v>
      </c>
      <c r="R97" s="489" t="s">
        <v>386</v>
      </c>
    </row>
    <row r="98" spans="9:18" ht="28" hidden="1" x14ac:dyDescent="0.25">
      <c r="I98" s="548" t="s">
        <v>496</v>
      </c>
      <c r="R98" s="489" t="s">
        <v>455</v>
      </c>
    </row>
    <row r="99" spans="9:18" ht="14" hidden="1" x14ac:dyDescent="0.25">
      <c r="I99" s="548" t="s">
        <v>501</v>
      </c>
      <c r="R99" s="489" t="s">
        <v>428</v>
      </c>
    </row>
    <row r="100" spans="9:18" ht="14" hidden="1" x14ac:dyDescent="0.25">
      <c r="R100" s="489" t="s">
        <v>457</v>
      </c>
    </row>
    <row r="101" spans="9:18" ht="28" hidden="1" x14ac:dyDescent="0.25">
      <c r="I101" s="548">
        <f>IF(OR(F88=I87,F88=I88,F88=I89,F88=I90,F88=I91,F88=I92,F88=I93,F88=I94,F88=I95,F88=I96,F88=I97,F88=I98,F88=I99),1,0)</f>
        <v>1</v>
      </c>
      <c r="R101" s="489" t="s">
        <v>458</v>
      </c>
    </row>
    <row r="102" spans="9:18" ht="28" hidden="1" x14ac:dyDescent="0.25">
      <c r="R102" s="489" t="s">
        <v>459</v>
      </c>
    </row>
    <row r="103" spans="9:18" ht="14" hidden="1" x14ac:dyDescent="0.25">
      <c r="R103" s="489" t="s">
        <v>460</v>
      </c>
    </row>
    <row r="104" spans="9:18" ht="28" hidden="1" x14ac:dyDescent="0.25">
      <c r="R104" s="489" t="s">
        <v>461</v>
      </c>
    </row>
    <row r="105" spans="9:18" ht="28" hidden="1" x14ac:dyDescent="0.25">
      <c r="R105" s="489" t="s">
        <v>462</v>
      </c>
    </row>
    <row r="106" spans="9:18" ht="14" hidden="1" x14ac:dyDescent="0.25">
      <c r="R106" s="489" t="s">
        <v>463</v>
      </c>
    </row>
    <row r="107" spans="9:18" ht="28" hidden="1" x14ac:dyDescent="0.25">
      <c r="R107" s="489" t="s">
        <v>380</v>
      </c>
    </row>
    <row r="108" spans="9:18" ht="28" hidden="1" x14ac:dyDescent="0.25">
      <c r="R108" s="489" t="s">
        <v>465</v>
      </c>
    </row>
    <row r="109" spans="9:18" ht="28" hidden="1" x14ac:dyDescent="0.25">
      <c r="R109" s="489" t="s">
        <v>466</v>
      </c>
    </row>
    <row r="110" spans="9:18" ht="14" hidden="1" x14ac:dyDescent="0.25">
      <c r="R110" s="489" t="s">
        <v>413</v>
      </c>
    </row>
    <row r="111" spans="9:18" ht="28" hidden="1" x14ac:dyDescent="0.25">
      <c r="R111" s="489" t="s">
        <v>468</v>
      </c>
    </row>
    <row r="112" spans="9:18" ht="28" hidden="1" x14ac:dyDescent="0.25">
      <c r="R112" s="489" t="s">
        <v>469</v>
      </c>
    </row>
    <row r="113" spans="18:18" ht="14" hidden="1" x14ac:dyDescent="0.25">
      <c r="R113" s="489" t="s">
        <v>470</v>
      </c>
    </row>
    <row r="114" spans="18:18" ht="14" hidden="1" x14ac:dyDescent="0.25">
      <c r="R114" s="489" t="s">
        <v>471</v>
      </c>
    </row>
    <row r="115" spans="18:18" ht="14" hidden="1" x14ac:dyDescent="0.25">
      <c r="R115" s="489" t="s">
        <v>472</v>
      </c>
    </row>
    <row r="116" spans="18:18" ht="28" hidden="1" x14ac:dyDescent="0.25">
      <c r="R116" s="489" t="s">
        <v>473</v>
      </c>
    </row>
    <row r="117" spans="18:18" ht="14" hidden="1" x14ac:dyDescent="0.25">
      <c r="R117" s="489" t="s">
        <v>474</v>
      </c>
    </row>
    <row r="118" spans="18:18" ht="14" hidden="1" x14ac:dyDescent="0.25">
      <c r="R118" s="489" t="s">
        <v>387</v>
      </c>
    </row>
    <row r="119" spans="18:18" ht="14" hidden="1" x14ac:dyDescent="0.25">
      <c r="R119" s="489" t="s">
        <v>388</v>
      </c>
    </row>
    <row r="120" spans="18:18" ht="14" hidden="1" x14ac:dyDescent="0.25">
      <c r="R120" s="489" t="s">
        <v>381</v>
      </c>
    </row>
    <row r="121" spans="18:18" ht="14" hidden="1" x14ac:dyDescent="0.25">
      <c r="R121" s="489" t="s">
        <v>389</v>
      </c>
    </row>
    <row r="122" spans="18:18" ht="14" hidden="1" x14ac:dyDescent="0.25">
      <c r="R122" s="489" t="s">
        <v>382</v>
      </c>
    </row>
    <row r="123" spans="18:18" ht="14" hidden="1" x14ac:dyDescent="0.25">
      <c r="R123" s="489" t="s">
        <v>383</v>
      </c>
    </row>
    <row r="124" spans="18:18" ht="28" hidden="1" x14ac:dyDescent="0.25">
      <c r="R124" s="489" t="s">
        <v>477</v>
      </c>
    </row>
    <row r="125" spans="18:18" ht="14" hidden="1" x14ac:dyDescent="0.25">
      <c r="R125" s="489" t="s">
        <v>478</v>
      </c>
    </row>
    <row r="126" spans="18:18" ht="14" hidden="1" x14ac:dyDescent="0.25">
      <c r="R126" s="489" t="s">
        <v>479</v>
      </c>
    </row>
    <row r="127" spans="18:18" ht="14" hidden="1" x14ac:dyDescent="0.25">
      <c r="R127" s="489" t="s">
        <v>481</v>
      </c>
    </row>
    <row r="128" spans="18:18" ht="14" hidden="1" x14ac:dyDescent="0.25">
      <c r="R128" s="489" t="s">
        <v>482</v>
      </c>
    </row>
    <row r="129" spans="18:18" ht="28" hidden="1" x14ac:dyDescent="0.25">
      <c r="R129" s="489" t="s">
        <v>384</v>
      </c>
    </row>
    <row r="130" spans="18:18" ht="28" hidden="1" x14ac:dyDescent="0.25">
      <c r="R130" s="489" t="s">
        <v>420</v>
      </c>
    </row>
    <row r="131" spans="18:18" ht="28" hidden="1" x14ac:dyDescent="0.25">
      <c r="R131" s="489" t="s">
        <v>419</v>
      </c>
    </row>
    <row r="132" spans="18:18" ht="14" hidden="1" x14ac:dyDescent="0.25">
      <c r="R132" s="489" t="s">
        <v>483</v>
      </c>
    </row>
    <row r="133" spans="18:18" ht="28" hidden="1" x14ac:dyDescent="0.25">
      <c r="R133" s="489" t="s">
        <v>484</v>
      </c>
    </row>
    <row r="134" spans="18:18" ht="14" hidden="1" x14ac:dyDescent="0.25">
      <c r="R134" s="489" t="s">
        <v>485</v>
      </c>
    </row>
    <row r="135" spans="18:18" ht="28" hidden="1" x14ac:dyDescent="0.25">
      <c r="R135" s="489" t="s">
        <v>487</v>
      </c>
    </row>
    <row r="136" spans="18:18" ht="14" hidden="1" x14ac:dyDescent="0.25">
      <c r="R136" s="489" t="s">
        <v>488</v>
      </c>
    </row>
    <row r="137" spans="18:18" ht="28" hidden="1" x14ac:dyDescent="0.25">
      <c r="R137" s="489" t="s">
        <v>489</v>
      </c>
    </row>
    <row r="138" spans="18:18" ht="28" hidden="1" x14ac:dyDescent="0.25">
      <c r="R138" s="489" t="s">
        <v>490</v>
      </c>
    </row>
    <row r="139" spans="18:18" ht="14" hidden="1" x14ac:dyDescent="0.25">
      <c r="R139" s="489" t="s">
        <v>491</v>
      </c>
    </row>
    <row r="140" spans="18:18" ht="14" hidden="1" x14ac:dyDescent="0.25">
      <c r="R140" s="489" t="s">
        <v>492</v>
      </c>
    </row>
    <row r="141" spans="18:18" ht="28" hidden="1" x14ac:dyDescent="0.25">
      <c r="R141" s="489" t="s">
        <v>390</v>
      </c>
    </row>
    <row r="142" spans="18:18" ht="28" hidden="1" x14ac:dyDescent="0.25">
      <c r="R142" s="489" t="s">
        <v>494</v>
      </c>
    </row>
    <row r="143" spans="18:18" ht="28" hidden="1" x14ac:dyDescent="0.25">
      <c r="R143" s="489" t="s">
        <v>495</v>
      </c>
    </row>
    <row r="144" spans="18:18" ht="14" hidden="1" x14ac:dyDescent="0.25">
      <c r="R144" s="489" t="s">
        <v>497</v>
      </c>
    </row>
    <row r="145" spans="18:18" ht="28" hidden="1" x14ac:dyDescent="0.25">
      <c r="R145" s="489" t="s">
        <v>498</v>
      </c>
    </row>
    <row r="146" spans="18:18" ht="14" hidden="1" x14ac:dyDescent="0.25">
      <c r="R146" s="489" t="s">
        <v>499</v>
      </c>
    </row>
    <row r="147" spans="18:18" ht="14" hidden="1" x14ac:dyDescent="0.25">
      <c r="R147" s="489" t="s">
        <v>500</v>
      </c>
    </row>
    <row r="148" spans="18:18" ht="28" hidden="1" x14ac:dyDescent="0.25">
      <c r="R148" s="489" t="s">
        <v>415</v>
      </c>
    </row>
    <row r="149" spans="18:18" ht="14" hidden="1" x14ac:dyDescent="0.25">
      <c r="R149" s="489" t="s">
        <v>502</v>
      </c>
    </row>
    <row r="150" spans="18:18" ht="14" hidden="1" x14ac:dyDescent="0.25">
      <c r="R150" s="489" t="s">
        <v>503</v>
      </c>
    </row>
    <row r="151" spans="18:18" ht="14" hidden="1" x14ac:dyDescent="0.25">
      <c r="R151" s="489" t="s">
        <v>504</v>
      </c>
    </row>
    <row r="152" spans="18:18" ht="14" hidden="1" x14ac:dyDescent="0.25">
      <c r="R152" s="489" t="s">
        <v>505</v>
      </c>
    </row>
    <row r="153" spans="18:18" ht="14" hidden="1" x14ac:dyDescent="0.25">
      <c r="R153" s="489" t="s">
        <v>425</v>
      </c>
    </row>
    <row r="154" spans="18:18" ht="28" hidden="1" x14ac:dyDescent="0.25">
      <c r="R154" s="489" t="s">
        <v>506</v>
      </c>
    </row>
    <row r="155" spans="18:18" ht="28" hidden="1" x14ac:dyDescent="0.25">
      <c r="R155" s="489" t="s">
        <v>507</v>
      </c>
    </row>
    <row r="156" spans="18:18" ht="28" hidden="1" x14ac:dyDescent="0.25">
      <c r="R156" s="489" t="s">
        <v>508</v>
      </c>
    </row>
    <row r="157" spans="18:18" ht="14" hidden="1" x14ac:dyDescent="0.25">
      <c r="R157" s="489" t="s">
        <v>509</v>
      </c>
    </row>
    <row r="158" spans="18:18" ht="28" hidden="1" x14ac:dyDescent="0.25">
      <c r="R158" s="489" t="s">
        <v>510</v>
      </c>
    </row>
    <row r="159" spans="18:18" ht="28" hidden="1" x14ac:dyDescent="0.25">
      <c r="R159" s="489" t="s">
        <v>511</v>
      </c>
    </row>
    <row r="160" spans="18:18" ht="28" hidden="1" x14ac:dyDescent="0.25">
      <c r="R160" s="489" t="s">
        <v>512</v>
      </c>
    </row>
    <row r="161" spans="18:18" ht="14" hidden="1" x14ac:dyDescent="0.25">
      <c r="R161" s="489" t="s">
        <v>385</v>
      </c>
    </row>
    <row r="162" spans="18:18" ht="14" hidden="1" x14ac:dyDescent="0.25">
      <c r="R162" s="489"/>
    </row>
    <row r="163" spans="18:18" ht="14" hidden="1" x14ac:dyDescent="0.25">
      <c r="R163" s="489"/>
    </row>
    <row r="164" spans="18:18" ht="14" hidden="1" x14ac:dyDescent="0.25">
      <c r="R164" s="489"/>
    </row>
    <row r="165" spans="18:18" ht="14" hidden="1" x14ac:dyDescent="0.25">
      <c r="R165" s="489"/>
    </row>
    <row r="166" spans="18:18" ht="14" hidden="1" x14ac:dyDescent="0.25">
      <c r="R166" s="489"/>
    </row>
    <row r="167" spans="18:18" ht="14" hidden="1" x14ac:dyDescent="0.25">
      <c r="R167" s="489"/>
    </row>
    <row r="168" spans="18:18" ht="14" hidden="1" x14ac:dyDescent="0.25">
      <c r="R168" s="489"/>
    </row>
    <row r="169" spans="18:18" ht="14" hidden="1" x14ac:dyDescent="0.25">
      <c r="R169" s="489"/>
    </row>
    <row r="170" spans="18:18" ht="14" hidden="1" x14ac:dyDescent="0.25">
      <c r="R170" s="489"/>
    </row>
    <row r="171" spans="18:18" ht="14" hidden="1" x14ac:dyDescent="0.25">
      <c r="R171" s="489"/>
    </row>
    <row r="172" spans="18:18" ht="14" hidden="1" x14ac:dyDescent="0.25">
      <c r="R172" s="489"/>
    </row>
    <row r="173" spans="18:18" ht="8.25" customHeight="1" x14ac:dyDescent="0.25">
      <c r="R173" s="489"/>
    </row>
    <row r="174" spans="18:18" x14ac:dyDescent="0.25"/>
  </sheetData>
  <sheetProtection algorithmName="SHA-512" hashValue="JfEXQfr3/qQtuMdpUds1j7n78b9wkpBlVbVllp4nzBzDhfH9E4mFd+Iz4NhnUlAVxnQipS3THXjl+U+FkVyHEg==" saltValue="1xgWchnDUw3Arq6qIFdaWA==" spinCount="100000" sheet="1" objects="1" scenarios="1"/>
  <dataConsolidate/>
  <mergeCells count="27">
    <mergeCell ref="P8:Q8"/>
    <mergeCell ref="A66:S72"/>
    <mergeCell ref="M1:S1"/>
    <mergeCell ref="M2:R2"/>
    <mergeCell ref="C11:J11"/>
    <mergeCell ref="C8:J8"/>
    <mergeCell ref="P7:S7"/>
    <mergeCell ref="C60:I60"/>
    <mergeCell ref="C59:I59"/>
    <mergeCell ref="C49:R49"/>
    <mergeCell ref="C55:M56"/>
    <mergeCell ref="P4:R4"/>
    <mergeCell ref="P11:R11"/>
    <mergeCell ref="D42:E42"/>
    <mergeCell ref="P13:Q13"/>
    <mergeCell ref="P9:R9"/>
    <mergeCell ref="P10:Q10"/>
    <mergeCell ref="C52:R53"/>
    <mergeCell ref="P12:R12"/>
    <mergeCell ref="N57:R57"/>
    <mergeCell ref="C50:R50"/>
    <mergeCell ref="C44:R44"/>
    <mergeCell ref="L25:S25"/>
    <mergeCell ref="C13:J13"/>
    <mergeCell ref="Q16:R17"/>
    <mergeCell ref="C20:J24"/>
    <mergeCell ref="C17:I18"/>
  </mergeCells>
  <phoneticPr fontId="0" type="noConversion"/>
  <conditionalFormatting sqref="X32">
    <cfRule type="expression" dxfId="173" priority="42" stopIfTrue="1">
      <formula>E32&gt;9%</formula>
    </cfRule>
  </conditionalFormatting>
  <conditionalFormatting sqref="X50">
    <cfRule type="expression" dxfId="172" priority="43" stopIfTrue="1">
      <formula>T43=1</formula>
    </cfRule>
  </conditionalFormatting>
  <conditionalFormatting sqref="M34">
    <cfRule type="expression" dxfId="171" priority="46" stopIfTrue="1">
      <formula>W34&lt;&gt;0</formula>
    </cfRule>
  </conditionalFormatting>
  <conditionalFormatting sqref="F37">
    <cfRule type="expression" dxfId="170" priority="47" stopIfTrue="1">
      <formula>W38=3</formula>
    </cfRule>
  </conditionalFormatting>
  <conditionalFormatting sqref="Q38">
    <cfRule type="expression" dxfId="169" priority="48" stopIfTrue="1">
      <formula>X43=1</formula>
    </cfRule>
  </conditionalFormatting>
  <conditionalFormatting sqref="L40">
    <cfRule type="expression" dxfId="168" priority="50" stopIfTrue="1">
      <formula>U43=1</formula>
    </cfRule>
  </conditionalFormatting>
  <conditionalFormatting sqref="C33:C34">
    <cfRule type="expression" dxfId="167" priority="51" stopIfTrue="1">
      <formula>U33="Yes"</formula>
    </cfRule>
  </conditionalFormatting>
  <conditionalFormatting sqref="X25">
    <cfRule type="expression" dxfId="166" priority="52" stopIfTrue="1">
      <formula>W39=1</formula>
    </cfRule>
  </conditionalFormatting>
  <conditionalFormatting sqref="M33">
    <cfRule type="expression" dxfId="165" priority="53" stopIfTrue="1">
      <formula>W34=1</formula>
    </cfRule>
  </conditionalFormatting>
  <conditionalFormatting sqref="L33">
    <cfRule type="expression" dxfId="164" priority="55" stopIfTrue="1">
      <formula>W34=1</formula>
    </cfRule>
  </conditionalFormatting>
  <conditionalFormatting sqref="D33:D34">
    <cfRule type="expression" dxfId="163" priority="56" stopIfTrue="1">
      <formula>U33="Yes"</formula>
    </cfRule>
  </conditionalFormatting>
  <conditionalFormatting sqref="C35">
    <cfRule type="expression" dxfId="162" priority="57" stopIfTrue="1">
      <formula>AND(U37="Yes",U34="Yes")</formula>
    </cfRule>
  </conditionalFormatting>
  <conditionalFormatting sqref="D35">
    <cfRule type="expression" dxfId="161" priority="58" stopIfTrue="1">
      <formula>AND(U37="Yes",U34="Yes")</formula>
    </cfRule>
  </conditionalFormatting>
  <conditionalFormatting sqref="L34">
    <cfRule type="expression" dxfId="160" priority="59" stopIfTrue="1">
      <formula>W34&lt;&gt;0</formula>
    </cfRule>
  </conditionalFormatting>
  <conditionalFormatting sqref="M40">
    <cfRule type="expression" dxfId="159" priority="61" stopIfTrue="1">
      <formula>U43=1</formula>
    </cfRule>
  </conditionalFormatting>
  <conditionalFormatting sqref="L37">
    <cfRule type="expression" dxfId="158" priority="64" stopIfTrue="1">
      <formula>U42=1</formula>
    </cfRule>
  </conditionalFormatting>
  <conditionalFormatting sqref="Y23">
    <cfRule type="expression" dxfId="157" priority="65" stopIfTrue="1">
      <formula>AA38=1</formula>
    </cfRule>
  </conditionalFormatting>
  <conditionalFormatting sqref="W29">
    <cfRule type="expression" dxfId="156" priority="67" stopIfTrue="1">
      <formula>W40=1</formula>
    </cfRule>
  </conditionalFormatting>
  <conditionalFormatting sqref="M37">
    <cfRule type="expression" dxfId="155" priority="70" stopIfTrue="1">
      <formula>U42=1</formula>
    </cfRule>
  </conditionalFormatting>
  <conditionalFormatting sqref="D37">
    <cfRule type="expression" dxfId="154" priority="71" stopIfTrue="1">
      <formula>W42=1</formula>
    </cfRule>
  </conditionalFormatting>
  <conditionalFormatting sqref="C37">
    <cfRule type="expression" dxfId="153" priority="72" stopIfTrue="1">
      <formula>W42=1</formula>
    </cfRule>
  </conditionalFormatting>
  <conditionalFormatting sqref="C41">
    <cfRule type="expression" dxfId="152" priority="75" stopIfTrue="1">
      <formula>T41=1</formula>
    </cfRule>
  </conditionalFormatting>
  <conditionalFormatting sqref="L41">
    <cfRule type="expression" dxfId="151" priority="76" stopIfTrue="1">
      <formula>U41=1</formula>
    </cfRule>
  </conditionalFormatting>
  <conditionalFormatting sqref="D41">
    <cfRule type="expression" dxfId="150" priority="77" stopIfTrue="1">
      <formula>T41=1</formula>
    </cfRule>
  </conditionalFormatting>
  <conditionalFormatting sqref="M41">
    <cfRule type="expression" dxfId="149" priority="78" stopIfTrue="1">
      <formula>U41=1</formula>
    </cfRule>
  </conditionalFormatting>
  <conditionalFormatting sqref="I16">
    <cfRule type="expression" dxfId="148" priority="83" stopIfTrue="1">
      <formula>T18="One Year"</formula>
    </cfRule>
  </conditionalFormatting>
  <conditionalFormatting sqref="C54">
    <cfRule type="expression" dxfId="147" priority="84" stopIfTrue="1">
      <formula>V56&lt;&gt;0</formula>
    </cfRule>
  </conditionalFormatting>
  <conditionalFormatting sqref="U50">
    <cfRule type="cellIs" dxfId="146" priority="85" stopIfTrue="1" operator="equal">
      <formula>"."</formula>
    </cfRule>
  </conditionalFormatting>
  <conditionalFormatting sqref="X40:X41">
    <cfRule type="expression" dxfId="145" priority="87" stopIfTrue="1">
      <formula>#REF!&gt;1</formula>
    </cfRule>
  </conditionalFormatting>
  <conditionalFormatting sqref="D42:E42">
    <cfRule type="cellIs" dxfId="144" priority="88" stopIfTrue="1" operator="equal">
      <formula>"-"</formula>
    </cfRule>
  </conditionalFormatting>
  <conditionalFormatting sqref="G40:G41 E35:E36 C9">
    <cfRule type="cellIs" dxfId="143" priority="89" stopIfTrue="1" operator="equal">
      <formula>0</formula>
    </cfRule>
  </conditionalFormatting>
  <conditionalFormatting sqref="H37">
    <cfRule type="expression" dxfId="142" priority="90" stopIfTrue="1">
      <formula>#REF!&gt;1000</formula>
    </cfRule>
  </conditionalFormatting>
  <conditionalFormatting sqref="I40:I41">
    <cfRule type="expression" dxfId="141" priority="92" stopIfTrue="1">
      <formula>#REF!=0</formula>
    </cfRule>
  </conditionalFormatting>
  <conditionalFormatting sqref="R5 P4">
    <cfRule type="cellIs" dxfId="140" priority="94" stopIfTrue="1" operator="equal">
      <formula>0</formula>
    </cfRule>
  </conditionalFormatting>
  <conditionalFormatting sqref="L23">
    <cfRule type="cellIs" dxfId="139" priority="96" stopIfTrue="1" operator="equal">
      <formula>"Total Contribution"</formula>
    </cfRule>
  </conditionalFormatting>
  <conditionalFormatting sqref="C8">
    <cfRule type="cellIs" dxfId="138" priority="35" stopIfTrue="1" operator="equal">
      <formula>0</formula>
    </cfRule>
  </conditionalFormatting>
  <conditionalFormatting sqref="Q39">
    <cfRule type="expression" dxfId="137" priority="31" stopIfTrue="1">
      <formula>V43=1</formula>
    </cfRule>
  </conditionalFormatting>
  <conditionalFormatting sqref="R39">
    <cfRule type="expression" dxfId="136" priority="30" stopIfTrue="1">
      <formula>AA44=1</formula>
    </cfRule>
  </conditionalFormatting>
  <conditionalFormatting sqref="G37">
    <cfRule type="expression" dxfId="135" priority="298" stopIfTrue="1">
      <formula>W35=1</formula>
    </cfRule>
  </conditionalFormatting>
  <conditionalFormatting sqref="F35:F36">
    <cfRule type="expression" dxfId="134" priority="25" stopIfTrue="1">
      <formula>W35=3</formula>
    </cfRule>
  </conditionalFormatting>
  <conditionalFormatting sqref="G35:G36">
    <cfRule type="expression" dxfId="133" priority="26" stopIfTrue="1">
      <formula>W35=1</formula>
    </cfRule>
  </conditionalFormatting>
  <conditionalFormatting sqref="H35:H36">
    <cfRule type="expression" dxfId="132" priority="27" stopIfTrue="1">
      <formula>#REF!&gt;1000</formula>
    </cfRule>
  </conditionalFormatting>
  <conditionalFormatting sqref="G38">
    <cfRule type="expression" dxfId="131" priority="21" stopIfTrue="1">
      <formula>AND(B13=1,I13="Ijarah Leasing")</formula>
    </cfRule>
  </conditionalFormatting>
  <conditionalFormatting sqref="H38">
    <cfRule type="expression" dxfId="130" priority="20" stopIfTrue="1">
      <formula>AND(C13=1,J13="Ijarah")</formula>
    </cfRule>
  </conditionalFormatting>
  <conditionalFormatting sqref="C13">
    <cfRule type="cellIs" dxfId="129" priority="15" stopIfTrue="1" operator="equal">
      <formula>0</formula>
    </cfRule>
  </conditionalFormatting>
  <conditionalFormatting sqref="C11">
    <cfRule type="cellIs" dxfId="128" priority="10" stopIfTrue="1" operator="equal">
      <formula>0</formula>
    </cfRule>
  </conditionalFormatting>
  <conditionalFormatting sqref="I35:I36">
    <cfRule type="expression" dxfId="127" priority="9" stopIfTrue="1">
      <formula>Y35=1</formula>
    </cfRule>
  </conditionalFormatting>
  <conditionalFormatting sqref="V42">
    <cfRule type="expression" dxfId="126" priority="299" stopIfTrue="1">
      <formula>$E$37&gt;0</formula>
    </cfRule>
  </conditionalFormatting>
  <conditionalFormatting sqref="T43">
    <cfRule type="expression" dxfId="125" priority="8" stopIfTrue="1">
      <formula>T37="Yes"</formula>
    </cfRule>
  </conditionalFormatting>
  <conditionalFormatting sqref="L35">
    <cfRule type="expression" dxfId="124" priority="7" stopIfTrue="1">
      <formula>W33&lt;&gt;0</formula>
    </cfRule>
  </conditionalFormatting>
  <conditionalFormatting sqref="M35">
    <cfRule type="expression" dxfId="123" priority="6" stopIfTrue="1">
      <formula>W33&lt;&gt;0</formula>
    </cfRule>
  </conditionalFormatting>
  <conditionalFormatting sqref="E37">
    <cfRule type="expression" dxfId="122" priority="5" stopIfTrue="1">
      <formula>V38=3</formula>
    </cfRule>
  </conditionalFormatting>
  <conditionalFormatting sqref="L38">
    <cfRule type="expression" dxfId="121" priority="309" stopIfTrue="1">
      <formula>AND(AD35="Yes",AD33="Yes")</formula>
    </cfRule>
  </conditionalFormatting>
  <conditionalFormatting sqref="L39">
    <cfRule type="expression" dxfId="120" priority="310" stopIfTrue="1">
      <formula>AND(AD37="Yes",AD34="Yes")</formula>
    </cfRule>
  </conditionalFormatting>
  <conditionalFormatting sqref="M36">
    <cfRule type="expression" dxfId="119" priority="4" stopIfTrue="1">
      <formula>W34&lt;&gt;0</formula>
    </cfRule>
  </conditionalFormatting>
  <conditionalFormatting sqref="L36">
    <cfRule type="expression" dxfId="118" priority="3" stopIfTrue="1">
      <formula>W34=1</formula>
    </cfRule>
  </conditionalFormatting>
  <conditionalFormatting sqref="D36">
    <cfRule type="expression" dxfId="117" priority="2" stopIfTrue="1">
      <formula>W34=1</formula>
    </cfRule>
  </conditionalFormatting>
  <conditionalFormatting sqref="C36">
    <cfRule type="expression" dxfId="116" priority="1" stopIfTrue="1">
      <formula>W34=1</formula>
    </cfRule>
  </conditionalFormatting>
  <dataValidations disablePrompts="1" count="11">
    <dataValidation type="whole" allowBlank="1" showInputMessage="1" showErrorMessage="1" sqref="C41 Q39 G35:H38 I35:I36 L33:L41 C33:C37" xr:uid="{00000000-0002-0000-0800-000000000000}">
      <formula1>0</formula1>
      <formula2>1</formula2>
    </dataValidation>
    <dataValidation type="list" allowBlank="1" showInputMessage="1" showErrorMessage="1" sqref="T20 T37" xr:uid="{00000000-0002-0000-0800-000001000000}">
      <formula1>"Yes,No"</formula1>
    </dataValidation>
    <dataValidation type="list" allowBlank="1" showInputMessage="1" showErrorMessage="1" sqref="P13:Q13" xr:uid="{00000000-0002-0000-0800-000002000000}">
      <formula1>"2002,2003,2004,2005,2006,2007,2008,2009,2010,2011,2012,2013,2014,2015,2016,2017,2018,2019,2020,2021,2022,2023"</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R34" xr:uid="{00000000-0002-0000-0800-000004000000}">
      <formula1>"100000,300000,500000,1000000"</formula1>
    </dataValidation>
    <dataValidation type="list" allowBlank="1" showInputMessage="1" showErrorMessage="1" sqref="T13" xr:uid="{00000000-0002-0000-0800-000005000000}">
      <formula1>"Ijarah,Murabaha,D/Musharaka"</formula1>
    </dataValidation>
    <dataValidation type="list" allowBlank="1" showInputMessage="1" showErrorMessage="1" sqref="P10:Q10" xr:uid="{00000000-0002-0000-0800-000006000000}">
      <formula1>"PETROL,ELECTRIC"</formula1>
    </dataValidation>
    <dataValidation type="list" allowBlank="1" showInputMessage="1" showErrorMessage="1" sqref="R10" xr:uid="{00000000-0002-0000-0800-000007000000}">
      <formula1>"Above 250cc,Below 250cc"</formula1>
    </dataValidation>
    <dataValidation type="list" allowBlank="1" showInputMessage="1" showErrorMessage="1" sqref="T43" xr:uid="{00000000-0002-0000-0800-000008000000}">
      <formula1>"0,1,2,3,4,5"</formula1>
    </dataValidation>
    <dataValidation type="list" allowBlank="1" showInputMessage="1" showErrorMessage="1" sqref="P8:Q8" xr:uid="{00000000-0002-0000-0800-000009000000}">
      <formula1>"PCX,KTM,OTHER"</formula1>
    </dataValidation>
    <dataValidation type="decimal" allowBlank="1" showInputMessage="1" showErrorMessage="1" sqref="Q16:R17" xr:uid="{00000000-0002-0000-0800-00000A000000}">
      <formula1>200000</formula1>
      <formula2>2000000</formula2>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26</vt:i4>
      </vt:variant>
    </vt:vector>
  </HeadingPairs>
  <TitlesOfParts>
    <vt:vector size="38" baseType="lpstr">
      <vt:lpstr>Administration</vt:lpstr>
      <vt:lpstr>Rates</vt:lpstr>
      <vt:lpstr>Calculation</vt:lpstr>
      <vt:lpstr>Administration (2)</vt:lpstr>
      <vt:lpstr>Rates (2)</vt:lpstr>
      <vt:lpstr>Calculation (2)</vt:lpstr>
      <vt:lpstr>TW-Working</vt:lpstr>
      <vt:lpstr>TW</vt:lpstr>
      <vt:lpstr>MC</vt:lpstr>
      <vt:lpstr>MC-Working</vt:lpstr>
      <vt:lpstr>NITF</vt:lpstr>
      <vt:lpstr>MC-TW New Premiums</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'MC-Working'!Print_Area</vt:lpstr>
      <vt:lpstr>Rates!Print_Area</vt:lpstr>
      <vt:lpstr>'Rates (2)'!Print_Area</vt:lpstr>
      <vt:lpstr>TW!Print_Area</vt:lpstr>
      <vt:lpstr>'TW-Working'!Print_Area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2023-07-25T09:26:03Z</cp:lastPrinted>
  <dcterms:created xsi:type="dcterms:W3CDTF">2002-11-28T09:30:00Z</dcterms:created>
  <dcterms:modified xsi:type="dcterms:W3CDTF">2024-02-26T04:24:35Z</dcterms:modified>
</cp:coreProperties>
</file>