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Sarvodaya\"/>
    </mc:Choice>
  </mc:AlternateContent>
  <xr:revisionPtr revIDLastSave="0" documentId="13_ncr:1_{C15CF8BF-937A-4E6F-ACFC-D262A51181CC}" xr6:coauthVersionLast="36" xr6:coauthVersionMax="36" xr10:uidLastSave="{00000000-0000-0000-0000-000000000000}"/>
  <workbookProtection workbookPassword="F6CE" lockStructure="1"/>
  <bookViews>
    <workbookView xWindow="0" yWindow="0" windowWidth="19200" windowHeight="6930" firstSheet="3" activeTab="3" xr2:uid="{00000000-000D-0000-FFFF-FFFF00000000}"/>
  </bookViews>
  <sheets>
    <sheet name="Administration" sheetId="14" state="hidden" r:id="rId1"/>
    <sheet name="Rates" sheetId="10" state="hidden" r:id="rId2"/>
    <sheet name="Calculation" sheetId="16" state="hidden" r:id="rId3"/>
    <sheet name="SRC Quote" sheetId="13" r:id="rId4"/>
    <sheet name="Working" sheetId="4" r:id="rId5"/>
  </sheets>
  <externalReferences>
    <externalReference r:id="rId6"/>
  </externalReferences>
  <definedNames>
    <definedName name="_xlnm._FilterDatabase" localSheetId="0" hidden="1">Administration!$I$7:$I$18</definedName>
    <definedName name="_xlnm._FilterDatabase" localSheetId="3" hidden="1">'SRC Quote'!$C$12:$Y$58</definedName>
    <definedName name="_xlnm._FilterDatabase" localSheetId="4" hidden="1">Working!$M$70:$M$70</definedName>
    <definedName name="Birthyear">'[1]Data Entry'!$AI$5:$AI$84</definedName>
    <definedName name="Branch">Administration!$O$4:$O$31</definedName>
    <definedName name="BRANCHES">Working!$AK$42:$AK$43</definedName>
    <definedName name="Date">Administration!$Q$4:$Q$34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2">Calculation!$A$1:$M$43</definedName>
    <definedName name="_xlnm.Print_Area" localSheetId="1">Rates!$A$1:$P$55</definedName>
    <definedName name="_xlnm.Print_Area" localSheetId="3">'SRC Quote'!$A$1:$S$60</definedName>
    <definedName name="_xlnm.Print_Area" localSheetId="4">Working!$D$1:$M$72</definedName>
    <definedName name="usage">Administration!$G$20:$G$24</definedName>
    <definedName name="usages">Working!$AP$6:$AP$10</definedName>
    <definedName name="VEHICLE">Working!$AM$6:$AM$13</definedName>
    <definedName name="vehicles">Administration!$G$7:$G$19</definedName>
    <definedName name="YOM">Working!$AU$8:$AU$85</definedName>
  </definedNames>
  <calcPr calcId="191029"/>
</workbook>
</file>

<file path=xl/calcChain.xml><?xml version="1.0" encoding="utf-8"?>
<calcChain xmlns="http://schemas.openxmlformats.org/spreadsheetml/2006/main">
  <c r="F70" i="4" l="1"/>
  <c r="AW46" i="4" s="1"/>
  <c r="H54" i="4"/>
  <c r="M36" i="13" s="1"/>
  <c r="H48" i="4"/>
  <c r="H25" i="4"/>
  <c r="M12" i="4"/>
  <c r="I36" i="13"/>
  <c r="I37" i="13"/>
  <c r="T13" i="13"/>
  <c r="B13" i="13"/>
  <c r="M15" i="4" s="1"/>
  <c r="I100" i="13"/>
  <c r="H49" i="4"/>
  <c r="O48" i="4"/>
  <c r="L6" i="4"/>
  <c r="H7" i="4"/>
  <c r="L10" i="4"/>
  <c r="H10" i="4"/>
  <c r="H13" i="4"/>
  <c r="V2" i="4"/>
  <c r="H11" i="4"/>
  <c r="M8" i="4"/>
  <c r="K14" i="4"/>
  <c r="H14" i="4"/>
  <c r="H36" i="4"/>
  <c r="C42" i="4"/>
  <c r="H43" i="4" s="1"/>
  <c r="H15" i="4"/>
  <c r="J12" i="4"/>
  <c r="M18" i="10"/>
  <c r="E34" i="4"/>
  <c r="O45" i="4"/>
  <c r="Y42" i="13"/>
  <c r="B45" i="4"/>
  <c r="B46" i="4"/>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K29" i="4"/>
  <c r="P29" i="4"/>
  <c r="F112" i="4"/>
  <c r="F111" i="4"/>
  <c r="F110" i="4"/>
  <c r="F109" i="4"/>
  <c r="F108" i="4"/>
  <c r="F107" i="4"/>
  <c r="F106" i="4"/>
  <c r="F105" i="4"/>
  <c r="F104" i="4"/>
  <c r="F103" i="4"/>
  <c r="F102" i="4"/>
  <c r="F101" i="4"/>
  <c r="F100" i="4"/>
  <c r="F99" i="4"/>
  <c r="F98" i="4"/>
  <c r="F97" i="4"/>
  <c r="F96" i="4"/>
  <c r="F95" i="4"/>
  <c r="C47" i="13"/>
  <c r="F92" i="10"/>
  <c r="D92" i="10"/>
  <c r="P6" i="4"/>
  <c r="N5" i="4"/>
  <c r="AB4" i="13"/>
  <c r="P4" i="13"/>
  <c r="AA4" i="13"/>
  <c r="V12" i="13"/>
  <c r="I16" i="13"/>
  <c r="C17" i="13"/>
  <c r="L22" i="13"/>
  <c r="L23" i="13"/>
  <c r="L24" i="13"/>
  <c r="Q24" i="13"/>
  <c r="B45" i="13"/>
  <c r="V55" i="13"/>
  <c r="N2" i="4"/>
  <c r="R2" i="4"/>
  <c r="X2" i="4"/>
  <c r="AA2" i="4"/>
  <c r="D3" i="4"/>
  <c r="O3" i="4"/>
  <c r="N4" i="4"/>
  <c r="T7" i="4"/>
  <c r="U7" i="4"/>
  <c r="W7" i="4"/>
  <c r="L8" i="4"/>
  <c r="O8" i="4"/>
  <c r="AU9" i="4"/>
  <c r="AU10" i="4" s="1"/>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C24" i="4"/>
  <c r="Y25" i="4"/>
  <c r="E26" i="4"/>
  <c r="L27" i="4" s="1"/>
  <c r="Q25" i="4" s="1"/>
  <c r="G26" i="4"/>
  <c r="L26" i="4"/>
  <c r="O30" i="4"/>
  <c r="U43" i="13" s="1"/>
  <c r="T30" i="4"/>
  <c r="O31" i="4"/>
  <c r="Q31" i="4"/>
  <c r="E32" i="4"/>
  <c r="W32" i="4"/>
  <c r="U32" i="4"/>
  <c r="T32" i="4"/>
  <c r="E33" i="4"/>
  <c r="C36" i="4"/>
  <c r="B39" i="4"/>
  <c r="U33" i="13"/>
  <c r="B40" i="4"/>
  <c r="K41" i="4"/>
  <c r="Q42" i="4"/>
  <c r="T42" i="4"/>
  <c r="W42" i="4"/>
  <c r="Q43" i="4"/>
  <c r="T43" i="4"/>
  <c r="W43" i="4"/>
  <c r="R44" i="4"/>
  <c r="R45" i="4"/>
  <c r="O47" i="4"/>
  <c r="O50" i="4"/>
  <c r="U38" i="13" s="1"/>
  <c r="O51" i="4"/>
  <c r="U39" i="13"/>
  <c r="Q51" i="4"/>
  <c r="B52" i="4"/>
  <c r="P52" i="4"/>
  <c r="Q52" i="4"/>
  <c r="O53" i="4"/>
  <c r="P53" i="4"/>
  <c r="B55" i="4"/>
  <c r="B56" i="4"/>
  <c r="H58" i="4"/>
  <c r="M58" i="4"/>
  <c r="O58" i="4"/>
  <c r="T40" i="13"/>
  <c r="D40" i="13"/>
  <c r="H59" i="4"/>
  <c r="M59" i="4"/>
  <c r="O59" i="4"/>
  <c r="U40" i="13" s="1"/>
  <c r="Q61" i="4"/>
  <c r="K62" i="4"/>
  <c r="K66" i="4"/>
  <c r="R79" i="4"/>
  <c r="R80" i="4"/>
  <c r="S2" i="16"/>
  <c r="Q13" i="16" s="1"/>
  <c r="U2" i="16"/>
  <c r="K3" i="16"/>
  <c r="T2" i="16" s="1"/>
  <c r="V2" i="16"/>
  <c r="J3" i="16"/>
  <c r="W2" i="16"/>
  <c r="I3" i="16" s="1"/>
  <c r="P3" i="16"/>
  <c r="O3" i="16"/>
  <c r="U10" i="16" s="1"/>
  <c r="Q3" i="16"/>
  <c r="U4" i="16"/>
  <c r="V4" i="16"/>
  <c r="W5" i="16"/>
  <c r="I5" i="16"/>
  <c r="U5" i="16"/>
  <c r="V5" i="16"/>
  <c r="Q6" i="16"/>
  <c r="P6" i="16" s="1"/>
  <c r="X11" i="16"/>
  <c r="L19" i="16"/>
  <c r="B1" i="10"/>
  <c r="A1" i="10" s="1"/>
  <c r="A4" i="10"/>
  <c r="A5" i="10"/>
  <c r="A6" i="10"/>
  <c r="A7" i="10"/>
  <c r="A8" i="10" s="1"/>
  <c r="A9" i="10" s="1"/>
  <c r="A10" i="10" s="1"/>
  <c r="A11" i="10" s="1"/>
  <c r="A12" i="10" s="1"/>
  <c r="A13" i="10" s="1"/>
  <c r="A14" i="10" s="1"/>
  <c r="A15" i="10" s="1"/>
  <c r="A16" i="10" s="1"/>
  <c r="I5" i="10"/>
  <c r="I7" i="10"/>
  <c r="D10" i="10"/>
  <c r="I12" i="10"/>
  <c r="I13" i="10"/>
  <c r="I14" i="10"/>
  <c r="I15" i="10" s="1"/>
  <c r="I16" i="10" s="1"/>
  <c r="M17" i="10"/>
  <c r="G20" i="10"/>
  <c r="I21" i="10"/>
  <c r="I22" i="10" s="1"/>
  <c r="Q23" i="4"/>
  <c r="E29" i="10"/>
  <c r="B52" i="10"/>
  <c r="H3" i="14"/>
  <c r="G3" i="14"/>
  <c r="I3" i="14" s="1"/>
  <c r="K3" i="14" s="1"/>
  <c r="K5" i="14"/>
  <c r="J5" i="14" s="1"/>
  <c r="I5" i="14" s="1"/>
  <c r="H5" i="14" s="1"/>
  <c r="C5" i="14" s="1"/>
  <c r="Q5" i="14"/>
  <c r="Q6" i="14"/>
  <c r="Q7" i="14"/>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c r="G8" i="14"/>
  <c r="AM7" i="4" s="1"/>
  <c r="H8" i="14"/>
  <c r="G9" i="14"/>
  <c r="AM8" i="4"/>
  <c r="H9" i="14"/>
  <c r="G10" i="14"/>
  <c r="AM9" i="4"/>
  <c r="H10" i="14"/>
  <c r="G11" i="14"/>
  <c r="AM10" i="4"/>
  <c r="H11" i="14"/>
  <c r="G12" i="14"/>
  <c r="AM11" i="4" s="1"/>
  <c r="H12" i="14"/>
  <c r="G13" i="14"/>
  <c r="AM14" i="4"/>
  <c r="H13" i="14"/>
  <c r="G14" i="14"/>
  <c r="AM12" i="4"/>
  <c r="H14" i="14"/>
  <c r="G15" i="14"/>
  <c r="AM13" i="4"/>
  <c r="H15" i="14"/>
  <c r="G16" i="14"/>
  <c r="AM15" i="4" s="1"/>
  <c r="H16" i="14"/>
  <c r="G17" i="14"/>
  <c r="AM16" i="4" s="1"/>
  <c r="H17" i="14"/>
  <c r="G20" i="14"/>
  <c r="I20" i="14"/>
  <c r="I21" i="14" s="1"/>
  <c r="G21" i="14"/>
  <c r="G22" i="14"/>
  <c r="G23" i="14"/>
  <c r="G24" i="14"/>
  <c r="A32" i="14"/>
  <c r="F16" i="13"/>
  <c r="N3" i="4"/>
  <c r="F4" i="4"/>
  <c r="H41" i="4"/>
  <c r="M40" i="13"/>
  <c r="O39" i="4"/>
  <c r="Q38" i="4"/>
  <c r="U34" i="13"/>
  <c r="D30" i="13"/>
  <c r="C9" i="13"/>
  <c r="C21" i="4"/>
  <c r="B21" i="4"/>
  <c r="O54" i="4"/>
  <c r="U41" i="13" s="1"/>
  <c r="E15" i="4"/>
  <c r="O22" i="4"/>
  <c r="W39" i="13"/>
  <c r="M22" i="4"/>
  <c r="W4" i="16"/>
  <c r="R96" i="4"/>
  <c r="O16" i="4"/>
  <c r="H26" i="4"/>
  <c r="L25" i="13"/>
  <c r="N7" i="4"/>
  <c r="O5" i="4" s="1"/>
  <c r="O2" i="4"/>
  <c r="S2" i="4"/>
  <c r="T31" i="4"/>
  <c r="I31" i="4" s="1"/>
  <c r="S3" i="16"/>
  <c r="K4" i="4"/>
  <c r="D4" i="10"/>
  <c r="M56" i="4"/>
  <c r="Z2" i="4"/>
  <c r="Q5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R83" i="4"/>
  <c r="AI6" i="4"/>
  <c r="T57" i="4"/>
  <c r="R91" i="4"/>
  <c r="R89" i="4"/>
  <c r="O49" i="4"/>
  <c r="W57" i="4"/>
  <c r="Q12" i="4"/>
  <c r="I29" i="4" s="1"/>
  <c r="Q50" i="4"/>
  <c r="AB43" i="13"/>
  <c r="K43" i="4"/>
  <c r="AD42" i="4"/>
  <c r="Q55" i="4"/>
  <c r="U42" i="13"/>
  <c r="M39" i="13"/>
  <c r="Q33" i="4"/>
  <c r="Q32" i="4" s="1"/>
  <c r="I32" i="4" s="1"/>
  <c r="T47" i="4"/>
  <c r="K47" i="4" s="1"/>
  <c r="U31" i="4"/>
  <c r="S52" i="4"/>
  <c r="R52" i="4" s="1"/>
  <c r="X7" i="4"/>
  <c r="B41" i="4"/>
  <c r="Q39" i="4" s="1"/>
  <c r="M25" i="4"/>
  <c r="F26" i="4"/>
  <c r="P25" i="4"/>
  <c r="R25" i="4"/>
  <c r="K26" i="4"/>
  <c r="I14" i="4"/>
  <c r="N8" i="4"/>
  <c r="M60" i="4"/>
  <c r="I13" i="4"/>
  <c r="F88" i="10"/>
  <c r="I18" i="4"/>
  <c r="F87" i="10"/>
  <c r="Z48" i="4"/>
  <c r="R36" i="4"/>
  <c r="I36" i="4" s="1"/>
  <c r="I52" i="4"/>
  <c r="AP7" i="4"/>
  <c r="H31" i="4"/>
  <c r="U30" i="4"/>
  <c r="F34" i="4"/>
  <c r="E31" i="4"/>
  <c r="H32" i="4"/>
  <c r="F30" i="4"/>
  <c r="H33" i="4"/>
  <c r="H21" i="4"/>
  <c r="Y4" i="13"/>
  <c r="U32" i="13"/>
  <c r="H32" i="13"/>
  <c r="Q21" i="4"/>
  <c r="U13" i="16"/>
  <c r="U11" i="16"/>
  <c r="H34" i="4"/>
  <c r="U15" i="16"/>
  <c r="U16" i="16"/>
  <c r="Q4" i="16"/>
  <c r="P4" i="16"/>
  <c r="V13" i="13"/>
  <c r="I33" i="4"/>
  <c r="I22" i="14"/>
  <c r="AP8" i="4" s="1"/>
  <c r="L7" i="4"/>
  <c r="Q56" i="4"/>
  <c r="I56" i="4"/>
  <c r="R61" i="4"/>
  <c r="W43" i="13"/>
  <c r="I34" i="4"/>
  <c r="Q66" i="4"/>
  <c r="R87" i="4"/>
  <c r="V29" i="4"/>
  <c r="R90" i="4"/>
  <c r="R84" i="4"/>
  <c r="S4" i="16"/>
  <c r="O4" i="16"/>
  <c r="O8" i="16"/>
  <c r="O9" i="16" s="1"/>
  <c r="Q34" i="14" l="1"/>
  <c r="Q29" i="4"/>
  <c r="R29" i="4" s="1"/>
  <c r="W33" i="13" s="1"/>
  <c r="T29" i="4"/>
  <c r="O6" i="16"/>
  <c r="S6" i="16"/>
  <c r="Q45" i="13"/>
  <c r="L45" i="13"/>
  <c r="R31" i="4"/>
  <c r="O46" i="4"/>
  <c r="Y43" i="13"/>
  <c r="W2" i="4"/>
  <c r="Q44" i="4"/>
  <c r="AH6" i="4"/>
  <c r="O57" i="4"/>
  <c r="R12" i="4"/>
  <c r="AA48" i="4"/>
  <c r="Y2" i="4"/>
  <c r="R88" i="4"/>
  <c r="U49" i="13"/>
  <c r="AG6" i="4"/>
  <c r="AF6" i="4" s="1"/>
  <c r="AE6" i="4" s="1"/>
  <c r="AD6" i="4" s="1"/>
  <c r="AC6" i="4" s="1"/>
  <c r="AB6" i="4" s="1"/>
  <c r="Q2" i="4"/>
  <c r="AA6" i="4"/>
  <c r="Z6" i="4" s="1"/>
  <c r="Y6" i="4" s="1"/>
  <c r="X6" i="4" s="1"/>
  <c r="W6" i="4" s="1"/>
  <c r="U6" i="4" s="1"/>
  <c r="T6" i="4" s="1"/>
  <c r="R6" i="4" s="1"/>
  <c r="Q6" i="4" s="1"/>
  <c r="R86" i="4"/>
  <c r="R85" i="4"/>
  <c r="U36" i="13"/>
  <c r="Y43" i="4"/>
  <c r="U37" i="13" s="1"/>
  <c r="F5" i="4"/>
  <c r="L3" i="4"/>
  <c r="D87" i="10"/>
  <c r="D88" i="10"/>
  <c r="R23" i="4"/>
  <c r="I53" i="4"/>
  <c r="Q49" i="4"/>
  <c r="AA35" i="13"/>
  <c r="AB37" i="13"/>
  <c r="U25" i="4"/>
  <c r="T12" i="4"/>
  <c r="M13" i="4"/>
  <c r="T2" i="4"/>
  <c r="AP6" i="4"/>
  <c r="AE25" i="4"/>
  <c r="O15" i="4"/>
  <c r="Q15" i="4" s="1"/>
  <c r="K15" i="4" s="1"/>
  <c r="I23" i="14"/>
  <c r="AP9" i="4" s="1"/>
  <c r="D3" i="10"/>
  <c r="H23" i="4"/>
  <c r="C60" i="13" s="1"/>
  <c r="D76" i="10"/>
  <c r="H37" i="4"/>
  <c r="U14" i="16"/>
  <c r="S1" i="16"/>
  <c r="T1" i="16" s="1"/>
  <c r="W11" i="16"/>
  <c r="U12" i="16"/>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6"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U153" i="4" s="1"/>
  <c r="Q33" i="14"/>
  <c r="X15" i="4"/>
  <c r="Y15" i="4" s="1"/>
  <c r="R78" i="4" s="1"/>
  <c r="R81" i="4" s="1"/>
  <c r="R92" i="4" s="1"/>
  <c r="R93" i="4" s="1"/>
  <c r="C67" i="4"/>
  <c r="C70" i="4" s="1"/>
  <c r="L3" i="14"/>
  <c r="M3" i="14" s="1"/>
  <c r="IR7" i="14"/>
  <c r="H35" i="4" l="1"/>
  <c r="R37" i="4"/>
  <c r="G36" i="4"/>
  <c r="U1" i="4" s="1"/>
  <c r="G37" i="4"/>
  <c r="I37" i="4" s="1"/>
  <c r="K9" i="4"/>
  <c r="U2" i="4"/>
  <c r="I24" i="14"/>
  <c r="AP10" i="4" s="1"/>
  <c r="P8" i="16"/>
  <c r="I6" i="16"/>
  <c r="O12" i="16" s="1"/>
  <c r="U18" i="16"/>
  <c r="T23" i="4"/>
  <c r="U23" i="4" s="1"/>
  <c r="G24" i="4" s="1"/>
  <c r="X48" i="4"/>
  <c r="Y48" i="4" s="1"/>
  <c r="Q54" i="4"/>
  <c r="O6" i="4"/>
  <c r="Q48" i="4"/>
  <c r="R50" i="4"/>
  <c r="AC25" i="4"/>
  <c r="U62" i="4"/>
  <c r="R57" i="4"/>
  <c r="O56" i="4" s="1"/>
  <c r="W49" i="13" s="1"/>
  <c r="U57" i="4"/>
  <c r="H8" i="16"/>
  <c r="R49" i="4"/>
  <c r="I49" i="4"/>
  <c r="AA37" i="13"/>
  <c r="O71" i="4"/>
  <c r="F71" i="4" s="1"/>
  <c r="O44" i="4"/>
  <c r="K5" i="4"/>
  <c r="N11" i="16"/>
  <c r="E16" i="4"/>
  <c r="J3" i="14"/>
  <c r="Q32" i="14"/>
  <c r="P38" i="4" l="1"/>
  <c r="M40" i="4" s="1"/>
  <c r="P5" i="4" s="1"/>
  <c r="P39" i="4"/>
  <c r="M42" i="4" s="1"/>
  <c r="N67" i="4"/>
  <c r="N17" i="4"/>
  <c r="N33" i="4"/>
  <c r="Z49" i="4"/>
  <c r="AC42" i="4"/>
  <c r="AB42" i="4"/>
  <c r="Y49" i="4"/>
  <c r="U3" i="13"/>
  <c r="U46" i="4"/>
  <c r="Q46" i="4" s="1"/>
  <c r="R46" i="4" s="1"/>
  <c r="T46" i="4" s="1"/>
  <c r="AA43" i="13" s="1"/>
  <c r="K48" i="4"/>
  <c r="T48" i="4"/>
  <c r="W34" i="13" s="1"/>
  <c r="R48" i="4"/>
  <c r="O14" i="16"/>
  <c r="J9" i="16" s="1"/>
  <c r="H9" i="16"/>
  <c r="I3" i="4" s="1"/>
  <c r="AB56" i="4"/>
  <c r="AA56" i="4" s="1"/>
  <c r="Z56" i="4" s="1"/>
  <c r="Y56" i="4" s="1"/>
  <c r="X56" i="4" s="1"/>
  <c r="W56" i="4" s="1"/>
  <c r="U56" i="4" s="1"/>
  <c r="AC56" i="4"/>
  <c r="T56" i="4"/>
  <c r="R56" i="4"/>
  <c r="AA25" i="4"/>
  <c r="W25" i="4"/>
  <c r="N16" i="4"/>
  <c r="I16" i="4" s="1"/>
  <c r="O11" i="4"/>
  <c r="Q7" i="4"/>
  <c r="R15" i="4" l="1"/>
  <c r="W8" i="4"/>
  <c r="Z25" i="4"/>
  <c r="I26" i="4" s="1"/>
  <c r="AE42" i="4" s="1"/>
  <c r="Y42" i="4" s="1"/>
  <c r="U35" i="13" s="1"/>
  <c r="AD25" i="4"/>
  <c r="L25" i="4" s="1"/>
  <c r="AB25" i="4"/>
  <c r="Z32" i="13"/>
  <c r="W32" i="13"/>
  <c r="F27" i="4"/>
  <c r="D41" i="4"/>
  <c r="M2" i="13"/>
  <c r="R24" i="13"/>
  <c r="C46" i="13"/>
  <c r="R19" i="13"/>
  <c r="I45" i="13"/>
  <c r="X43" i="4"/>
  <c r="X42" i="4"/>
  <c r="H46" i="4"/>
  <c r="Y35" i="13" l="1"/>
  <c r="H42" i="4"/>
  <c r="F41" i="4"/>
  <c r="F43" i="4"/>
  <c r="F57" i="4"/>
  <c r="M29" i="4"/>
  <c r="M19" i="4"/>
  <c r="C1" i="4"/>
  <c r="M48" i="4"/>
  <c r="M50" i="4"/>
  <c r="M53" i="4"/>
  <c r="M57" i="4"/>
  <c r="M54" i="4"/>
  <c r="R98" i="4" s="1"/>
  <c r="M51" i="4"/>
  <c r="M49" i="4"/>
  <c r="R95" i="4"/>
  <c r="Y37" i="13"/>
  <c r="H44" i="4"/>
  <c r="O26" i="4"/>
  <c r="I28" i="4"/>
  <c r="Z28" i="4"/>
  <c r="AH42" i="4" s="1"/>
  <c r="X25" i="4"/>
  <c r="AE43" i="4"/>
  <c r="AH43" i="4" l="1"/>
  <c r="O52" i="4"/>
  <c r="W36" i="13" s="1"/>
  <c r="Q53" i="4"/>
  <c r="R53" i="4" s="1"/>
  <c r="M44" i="4"/>
  <c r="M46" i="4"/>
  <c r="R99" i="4" s="1"/>
  <c r="M39" i="4"/>
  <c r="R97" i="4" s="1"/>
  <c r="M21" i="4"/>
  <c r="M23" i="4" s="1"/>
  <c r="M20" i="4"/>
  <c r="AG43" i="4"/>
  <c r="AF43" i="4" s="1"/>
  <c r="AG42" i="4"/>
  <c r="AF42" i="4" s="1"/>
  <c r="Z42" i="4"/>
  <c r="Z43" i="4"/>
  <c r="M24" i="4" l="1"/>
  <c r="O24" i="4" s="1"/>
  <c r="I23" i="4"/>
  <c r="P23" i="4"/>
  <c r="W38" i="13" s="1"/>
  <c r="Z4" i="13"/>
  <c r="W35" i="13"/>
  <c r="K42" i="4"/>
  <c r="K44" i="4"/>
  <c r="W37" i="13"/>
  <c r="M43" i="4"/>
  <c r="R20" i="13" s="1"/>
  <c r="M35" i="4" l="1"/>
  <c r="M37" i="4"/>
  <c r="M36" i="4"/>
  <c r="O36" i="4" l="1"/>
  <c r="W41" i="13" s="1"/>
  <c r="X4" i="13"/>
  <c r="Z22" i="4"/>
  <c r="Z23" i="4" s="1"/>
  <c r="M38" i="4"/>
  <c r="M61" i="4" s="1"/>
  <c r="O38" i="4"/>
  <c r="X49" i="13"/>
  <c r="W4" i="13"/>
  <c r="K38" i="13"/>
  <c r="D36" i="13" s="1"/>
  <c r="M62" i="4" l="1"/>
  <c r="K64" i="4"/>
  <c r="O61" i="4"/>
  <c r="R18" i="13" s="1"/>
  <c r="M1" i="13"/>
  <c r="M65" i="4" l="1"/>
  <c r="R21" i="13" s="1"/>
  <c r="M66" i="4" l="1"/>
  <c r="R22" i="13" s="1"/>
  <c r="M67" i="4" l="1"/>
  <c r="R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4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<sst xmlns="http://schemas.openxmlformats.org/spreadsheetml/2006/main" count="881" uniqueCount="546">
  <si>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</si>
  <si>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</si>
  <si>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</si>
  <si>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</si>
  <si>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</si>
  <si>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</si>
  <si>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</si>
  <si>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</si>
  <si>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</si>
  <si>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</si>
  <si>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</si>
  <si>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</si>
  <si>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</si>
  <si>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</si>
  <si>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</si>
  <si>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</si>
  <si>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</si>
  <si>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</si>
  <si>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</si>
  <si>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</si>
  <si>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</si>
  <si>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</si>
  <si>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</si>
  <si>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</si>
  <si>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</si>
  <si>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</si>
  <si>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</si>
  <si>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</si>
  <si>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</si>
  <si>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</si>
  <si>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</si>
  <si>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</si>
  <si>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</si>
  <si>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</si>
  <si>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</si>
  <si>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</si>
  <si>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</si>
  <si>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</si>
  <si>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</si>
  <si>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</si>
  <si>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</si>
  <si>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</si>
  <si>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</si>
  <si>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</si>
  <si>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</si>
  <si>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</si>
  <si>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</si>
  <si>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</si>
  <si>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</si>
  <si>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</si>
  <si>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</si>
  <si>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</si>
  <si>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</si>
  <si>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</si>
  <si>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</si>
  <si>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</si>
  <si>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</si>
  <si>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</si>
  <si>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</si>
  <si>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</si>
  <si>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</si>
  <si>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</si>
  <si>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</si>
  <si>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</si>
  <si>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</si>
  <si>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</si>
  <si>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</si>
  <si>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</si>
  <si>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</si>
  <si>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</si>
  <si>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</si>
  <si>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</si>
  <si>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</si>
  <si>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</si>
  <si>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</si>
  <si>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</si>
  <si>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</si>
  <si>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</si>
  <si>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</si>
  <si>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</si>
  <si>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</si>
  <si>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</si>
  <si>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</si>
  <si>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</si>
  <si>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</si>
  <si>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</si>
  <si>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</si>
  <si>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</si>
  <si>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</si>
  <si>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</si>
  <si>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</si>
  <si>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</si>
  <si>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</si>
  <si>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</si>
  <si>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</si>
  <si>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</si>
  <si>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</si>
  <si>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</si>
  <si>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</si>
  <si>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</si>
  <si>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</si>
  <si>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</si>
  <si>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</si>
  <si>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</si>
  <si>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</si>
  <si>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</si>
  <si>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</si>
  <si>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</si>
  <si>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</si>
  <si>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</si>
  <si>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</si>
  <si>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</si>
  <si>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</si>
  <si>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</si>
  <si>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</si>
  <si>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</si>
  <si>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</si>
  <si>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</si>
  <si>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</si>
  <si>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</si>
  <si>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</si>
  <si>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</si>
  <si>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</si>
  <si>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</si>
  <si>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</si>
  <si>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</si>
  <si>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</si>
  <si>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</si>
  <si>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</si>
  <si>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</si>
  <si>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</si>
  <si>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</si>
  <si>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</si>
  <si>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</si>
  <si>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</si>
  <si>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</si>
  <si>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</si>
  <si>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</si>
  <si>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</si>
  <si>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</si>
  <si>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</si>
  <si>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</si>
  <si>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</si>
  <si>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</si>
  <si>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</si>
  <si>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</si>
  <si>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</si>
  <si>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</si>
  <si>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</si>
  <si>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</si>
  <si>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</si>
  <si>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</si>
  <si>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</si>
  <si>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</si>
  <si>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</si>
  <si>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</si>
  <si>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</si>
  <si>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</si>
  <si>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</si>
  <si>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</si>
  <si>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</si>
  <si>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</si>
  <si>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</si>
  <si>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</si>
  <si>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</si>
  <si>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</si>
  <si>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</si>
  <si>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</si>
  <si>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</si>
  <si>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</si>
  <si>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</si>
  <si>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</si>
  <si>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</si>
  <si>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</si>
  <si>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</si>
  <si>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</si>
  <si>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</si>
  <si>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</si>
  <si>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</si>
  <si>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</si>
  <si>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</si>
  <si>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</si>
  <si>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</si>
  <si>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</si>
  <si>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</si>
  <si>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</si>
  <si>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</si>
  <si>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</si>
  <si>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</si>
  <si>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</si>
  <si>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</si>
  <si>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</si>
  <si>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</si>
  <si>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</si>
  <si>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</si>
  <si>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</si>
  <si>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</si>
  <si>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</si>
  <si>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</si>
  <si>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</si>
  <si>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</si>
  <si>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</si>
  <si>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</si>
  <si>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</si>
  <si>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</si>
  <si>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</si>
  <si>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</si>
  <si>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</si>
  <si>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</si>
  <si>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</si>
  <si>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</si>
  <si>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</si>
  <si>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</si>
  <si>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</si>
  <si>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</si>
  <si>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</si>
  <si>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</si>
  <si>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</si>
  <si>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</si>
  <si>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</si>
  <si>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</si>
  <si>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</si>
  <si>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</si>
  <si>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</si>
  <si>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</si>
  <si>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</si>
  <si>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</si>
  <si>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</si>
  <si>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</si>
  <si>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</si>
  <si>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</si>
  <si>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</si>
  <si>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</si>
  <si>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</si>
  <si>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</si>
  <si>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</si>
  <si>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</si>
  <si>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</si>
  <si>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</si>
  <si>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</si>
  <si>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</si>
  <si>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</si>
  <si>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</si>
  <si>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</si>
  <si>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</si>
  <si>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</si>
  <si>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</si>
  <si>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</si>
  <si>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</si>
  <si>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</si>
  <si>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</si>
  <si>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</si>
  <si>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</si>
  <si>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</si>
  <si>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</si>
  <si>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</si>
  <si>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</si>
  <si>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</si>
  <si>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</si>
  <si>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</si>
  <si>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</si>
  <si>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</si>
  <si>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</si>
  <si>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</si>
  <si>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</si>
  <si>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</si>
  <si>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</si>
  <si>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</si>
  <si>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</si>
  <si>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</si>
  <si>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</si>
  <si>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</si>
  <si>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</si>
  <si>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</si>
  <si>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</si>
  <si>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</si>
  <si>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</si>
  <si>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</si>
  <si>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</si>
  <si>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</si>
  <si>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</si>
  <si>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</si>
  <si>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</si>
  <si>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</si>
  <si>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</si>
  <si>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</si>
  <si>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</si>
  <si>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</si>
  <si>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</si>
  <si>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</si>
  <si>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</si>
  <si>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</si>
  <si>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</si>
  <si>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</si>
  <si>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</si>
  <si>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</si>
  <si>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</si>
  <si>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</si>
  <si>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</si>
  <si>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</si>
  <si>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</si>
  <si>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</si>
  <si>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</si>
  <si>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</si>
  <si>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</si>
  <si>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</si>
  <si>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</si>
  <si>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</si>
  <si>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</si>
  <si>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</si>
  <si>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</si>
  <si>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</si>
  <si>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</si>
  <si>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</si>
  <si>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</si>
  <si>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</si>
  <si>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</si>
  <si>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</si>
  <si>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</si>
  <si>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</si>
  <si>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</si>
  <si>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</si>
  <si>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</si>
  <si>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</si>
  <si>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</si>
  <si>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</si>
  <si>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</si>
  <si>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</si>
  <si>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</si>
  <si>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</si>
  <si>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</si>
  <si>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</si>
  <si>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</si>
  <si>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</si>
  <si>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</si>
  <si>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</si>
  <si>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</si>
  <si>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</si>
  <si>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</si>
  <si>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</si>
  <si>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</si>
  <si>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</si>
  <si>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</si>
  <si>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</si>
  <si>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</si>
  <si>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</si>
  <si>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</si>
  <si>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</si>
  <si>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</si>
  <si>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</si>
  <si>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</si>
  <si>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</si>
  <si>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</si>
  <si>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</si>
  <si>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</si>
  <si>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</si>
  <si>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</si>
  <si>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</si>
  <si>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</si>
  <si>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</si>
  <si>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</si>
  <si>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</si>
  <si>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</si>
  <si>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</si>
  <si>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</si>
  <si>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</si>
  <si>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</si>
  <si>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</si>
  <si>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</si>
  <si>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</si>
  <si>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</si>
  <si>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</si>
  <si>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</si>
  <si>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</si>
  <si>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</si>
  <si>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</si>
  <si>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</si>
  <si>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</si>
  <si>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</si>
  <si>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</si>
  <si>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</si>
  <si>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</si>
  <si>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</si>
  <si>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</si>
  <si>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</si>
  <si>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</si>
  <si>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</si>
  <si>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</si>
  <si>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</si>
  <si>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</si>
  <si>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</si>
  <si>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</si>
  <si>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</si>
  <si>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</si>
  <si>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</si>
  <si>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</si>
  <si>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</si>
  <si>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</si>
  <si>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</si>
  <si>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</si>
  <si>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</si>
  <si>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</si>
  <si>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</si>
  <si>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</si>
  <si>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</si>
  <si>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</si>
  <si>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</si>
  <si>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</si>
  <si>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</si>
  <si>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</si>
  <si>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</si>
  <si>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</si>
  <si>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</si>
  <si>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</si>
  <si>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</si>
  <si>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</si>
  <si>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</si>
  <si>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</si>
  <si>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</si>
  <si>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</si>
  <si>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</si>
  <si>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</si>
  <si>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</si>
  <si>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</si>
  <si>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</si>
  <si>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</si>
  <si>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</si>
  <si>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</si>
  <si>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</si>
  <si>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</si>
  <si>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</si>
  <si>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</si>
  <si>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</si>
  <si>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</si>
  <si>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</si>
  <si>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</si>
  <si>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</si>
  <si>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</si>
  <si>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</si>
  <si>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</si>
  <si>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</si>
  <si>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</si>
  <si>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</si>
  <si>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</si>
  <si>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</si>
  <si>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</si>
  <si>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</si>
  <si>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</si>
  <si>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</si>
  <si>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</si>
  <si>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</si>
  <si>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</si>
  <si>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</si>
  <si>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</si>
  <si>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</si>
  <si>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</si>
  <si>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</si>
  <si>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</si>
  <si>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</si>
  <si>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</si>
  <si>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</si>
  <si>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</si>
  <si>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</si>
  <si>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</si>
  <si>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</si>
  <si>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</si>
  <si>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</si>
  <si>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</si>
  <si>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</si>
  <si>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</si>
  <si>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</si>
  <si>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</si>
  <si>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</si>
  <si>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</si>
  <si>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</si>
  <si>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</si>
  <si>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</si>
  <si>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</si>
  <si>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</si>
  <si>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</si>
  <si>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</si>
  <si>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</si>
  <si>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</si>
  <si>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</si>
  <si>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</si>
  <si>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</si>
  <si>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</si>
  <si>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</si>
  <si>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</si>
  <si>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</si>
  <si>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</si>
  <si>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</si>
  <si>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</si>
  <si>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</si>
  <si>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</si>
  <si>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</si>
  <si>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</si>
  <si>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</si>
  <si>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</si>
  <si>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</si>
  <si>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</si>
  <si>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</si>
  <si>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</si>
  <si>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</si>
  <si>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</si>
  <si>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</si>
  <si>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</si>
  <si>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</si>
  <si>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</si>
  <si>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</si>
  <si>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</si>
  <si>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</si>
  <si>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</si>
  <si>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</si>
  <si>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</si>
  <si>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</si>
  <si>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</si>
  <si>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</si>
  <si>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</si>
  <si>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</si>
  <si>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</si>
  <si>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</si>
  <si>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</si>
  <si>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</si>
  <si>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</si>
  <si>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</si>
  <si>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</si>
  <si>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</si>
  <si>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</si>
  <si>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</si>
  <si>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Rs.2,500/-</t>
  </si>
  <si>
    <t>Motor Cycle Takaful</t>
  </si>
  <si>
    <t>Pesonal Accident Cover</t>
  </si>
  <si>
    <r>
      <t>SRCC -</t>
    </r>
    <r>
      <rPr>
        <sz val="8"/>
        <rFont val="Tahoma"/>
        <family val="2"/>
      </rPr>
      <t xml:space="preserve"> Strike, Riots &amp; Civil Commotion</t>
    </r>
  </si>
  <si>
    <t>Special Leasing/2019</t>
  </si>
  <si>
    <r>
      <rPr>
        <b/>
        <u/>
        <sz val="14"/>
        <color indexed="10"/>
        <rFont val="Tahoma"/>
        <family val="2"/>
      </rPr>
      <t>SPECIAL LEASING PRMOTION</t>
    </r>
    <r>
      <rPr>
        <b/>
        <sz val="14"/>
        <color indexed="10"/>
        <rFont val="Tahoma"/>
        <family val="2"/>
      </rPr>
      <t>.                                         This Quote is applicable ONLY for Leasing Channels.</t>
    </r>
  </si>
  <si>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</si>
  <si>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</si>
  <si>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</si>
  <si>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Learner D</t>
  </si>
  <si>
    <t>MOTOR CYCLE</t>
  </si>
  <si>
    <t>OTHER</t>
  </si>
  <si>
    <t>PRIVATE USE ONLY</t>
  </si>
  <si>
    <t>INCENTIVE</t>
  </si>
  <si>
    <t>SSCL</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</si>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</sst>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_);\(0\)"/>
    <numFmt numFmtId="171" formatCode="0.0"/>
    <numFmt numFmtId="172" formatCode="[$-409]mmmm\ d\,\ yyyy;@"/>
    <numFmt numFmtId="173" formatCode="[$-409]d\-mmm\-yy;@"/>
    <numFmt numFmtId="174" formatCode="0.000"/>
    <numFmt numFmtId="175" formatCode="0_);[Red]\(0\)"/>
    <numFmt numFmtId="176" formatCode="0.000_);[Red]\(0.000\)"/>
  </numFmts>
  <fonts count="238"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sz val="14"/>
      <color rgb="FFFF0000"/>
      <name val="Tahoma"/>
      <family val="2"/>
    </font>
    <font>
      <b/>
      <sz val="11"/>
      <color theme="1"/>
      <name val="Tahoma"/>
      <family val="2"/>
    </font>
  </fonts>
  <fills count="2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rgb="FFFFCC66"/>
        <bgColor indexed="64"/>
      </patternFill>
    </fill>
  </fills>
  <borders count="167">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s>
  <cellStyleXfs count="5">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932">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2" applyFont="1" applyFill="1" applyBorder="1" applyAlignment="1" applyProtection="1">
      <alignment horizontal="center" vertical="center"/>
      <protection hidden="1"/>
    </xf>
    <xf numFmtId="0" fontId="73" fillId="12" borderId="52" xfId="2"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2"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3"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2"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2" fontId="48" fillId="2" borderId="0" xfId="0" applyNumberFormat="1" applyFont="1" applyFill="1" applyBorder="1" applyAlignment="1" applyProtection="1">
      <alignment vertical="center"/>
      <protection hidden="1"/>
    </xf>
    <xf numFmtId="172" fontId="46" fillId="2" borderId="0" xfId="0" applyNumberFormat="1" applyFont="1" applyFill="1" applyBorder="1" applyAlignment="1" applyProtection="1">
      <protection hidden="1"/>
    </xf>
    <xf numFmtId="172"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5" fontId="32" fillId="5" borderId="0" xfId="0" applyNumberFormat="1" applyFont="1" applyFill="1" applyBorder="1" applyProtection="1">
      <protection hidden="1"/>
    </xf>
    <xf numFmtId="172" fontId="46" fillId="2" borderId="0" xfId="0" applyNumberFormat="1" applyFont="1" applyFill="1" applyBorder="1" applyAlignment="1" applyProtection="1">
      <alignment vertical="center"/>
      <protection hidden="1"/>
    </xf>
    <xf numFmtId="176"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4"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0" fontId="85" fillId="11" borderId="0" xfId="0" applyNumberFormat="1" applyFont="1" applyFill="1" applyAlignment="1" applyProtection="1">
      <alignment horizontal="left"/>
      <protection hidden="1"/>
    </xf>
    <xf numFmtId="170" fontId="175" fillId="11" borderId="0" xfId="0" applyNumberFormat="1" applyFont="1" applyFill="1" applyBorder="1" applyAlignment="1" applyProtection="1">
      <alignment vertical="top" wrapText="1"/>
      <protection hidden="1"/>
    </xf>
    <xf numFmtId="10" fontId="85" fillId="11" borderId="0" xfId="4"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4" fontId="207" fillId="11" borderId="0" xfId="0" applyNumberFormat="1" applyFont="1" applyFill="1" applyBorder="1" applyAlignment="1" applyProtection="1">
      <alignment horizontal="left"/>
      <protection hidden="1"/>
    </xf>
    <xf numFmtId="174"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1"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3" applyBorder="1" applyProtection="1">
      <protection hidden="1"/>
    </xf>
    <xf numFmtId="0" fontId="11" fillId="0" borderId="48" xfId="3" applyFont="1" applyBorder="1" applyProtection="1">
      <protection hidden="1"/>
    </xf>
    <xf numFmtId="171" fontId="11" fillId="0" borderId="48" xfId="3" applyNumberFormat="1" applyFont="1" applyBorder="1" applyAlignment="1" applyProtection="1">
      <alignment horizontal="right"/>
      <protection hidden="1"/>
    </xf>
    <xf numFmtId="0" fontId="11" fillId="0" borderId="48" xfId="3" applyFont="1" applyBorder="1" applyAlignment="1" applyProtection="1">
      <alignment horizontal="left"/>
      <protection hidden="1"/>
    </xf>
    <xf numFmtId="171" fontId="11" fillId="0" borderId="48" xfId="3" applyNumberFormat="1" applyFont="1" applyBorder="1" applyAlignment="1" applyProtection="1">
      <alignment horizontal="center"/>
      <protection hidden="1"/>
    </xf>
    <xf numFmtId="0" fontId="81" fillId="0" borderId="48" xfId="3" applyFont="1" applyBorder="1" applyAlignment="1" applyProtection="1">
      <alignment horizontal="right"/>
      <protection hidden="1"/>
    </xf>
    <xf numFmtId="0" fontId="189" fillId="0" borderId="49" xfId="3"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1"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1"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1"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1"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18" borderId="95" xfId="0" applyFont="1" applyFill="1" applyBorder="1" applyAlignment="1" applyProtection="1">
      <alignment horizontal="left" vertical="center"/>
      <protection locked="0" hidden="1"/>
    </xf>
    <xf numFmtId="0" fontId="218" fillId="0" borderId="0" xfId="0" applyFont="1" applyFill="1" applyBorder="1" applyProtection="1">
      <protection hidden="1"/>
    </xf>
    <xf numFmtId="0" fontId="218"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9"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6"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0"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1"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2" fillId="11" borderId="0" xfId="0" applyNumberFormat="1" applyFont="1" applyFill="1" applyBorder="1" applyProtection="1">
      <protection hidden="1"/>
    </xf>
    <xf numFmtId="0" fontId="77" fillId="11" borderId="0" xfId="2"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3" fillId="2" borderId="0" xfId="0" applyFont="1" applyFill="1" applyBorder="1" applyAlignment="1" applyProtection="1">
      <alignment horizontal="left"/>
      <protection hidden="1"/>
    </xf>
    <xf numFmtId="0" fontId="224" fillId="2" borderId="6" xfId="0" applyFont="1" applyFill="1" applyBorder="1" applyAlignment="1" applyProtection="1">
      <alignment horizontal="right" vertical="center"/>
      <protection hidden="1"/>
    </xf>
    <xf numFmtId="0" fontId="225" fillId="17" borderId="104" xfId="0" applyFont="1" applyFill="1" applyBorder="1" applyAlignment="1" applyProtection="1">
      <alignment horizontal="center" vertical="center" shrinkToFit="1"/>
      <protection hidden="1"/>
    </xf>
    <xf numFmtId="0" fontId="226"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95"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0" xfId="0" applyNumberFormat="1" applyFont="1" applyFill="1" applyBorder="1" applyAlignment="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2"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3" fillId="11" borderId="0" xfId="0" applyFont="1" applyFill="1" applyAlignment="1" applyProtection="1">
      <alignment horizontal="center" vertical="center"/>
      <protection hidden="1"/>
    </xf>
    <xf numFmtId="0" fontId="234" fillId="11" borderId="0" xfId="0" applyFont="1" applyFill="1" applyAlignment="1" applyProtection="1">
      <alignment horizontal="center" vertical="center"/>
      <protection hidden="1"/>
    </xf>
    <xf numFmtId="0" fontId="228"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0" applyFont="1" applyFill="1" applyBorder="1" applyAlignment="1" applyProtection="1">
      <alignment vertical="top" wrapText="1"/>
      <protection hidden="1"/>
    </xf>
    <xf numFmtId="0" fontId="115" fillId="2" borderId="0" xfId="3" applyFont="1" applyFill="1" applyBorder="1" applyAlignment="1" applyProtection="1">
      <alignment vertical="center"/>
      <protection hidden="1"/>
    </xf>
    <xf numFmtId="0" fontId="56" fillId="2" borderId="0" xfId="3" applyFont="1" applyFill="1" applyBorder="1" applyAlignment="1" applyProtection="1">
      <alignment vertical="top"/>
      <protection hidden="1"/>
    </xf>
    <xf numFmtId="0" fontId="56" fillId="2" borderId="0" xfId="3" applyFont="1" applyFill="1" applyBorder="1" applyAlignment="1" applyProtection="1">
      <protection hidden="1"/>
    </xf>
    <xf numFmtId="0" fontId="46" fillId="2" borderId="0" xfId="3" applyFont="1" applyFill="1" applyBorder="1" applyAlignment="1" applyProtection="1">
      <alignment vertical="center"/>
      <protection hidden="1"/>
    </xf>
    <xf numFmtId="0" fontId="46" fillId="2" borderId="0" xfId="3" applyFont="1" applyFill="1" applyBorder="1" applyAlignment="1" applyProtection="1">
      <alignment vertical="top"/>
      <protection hidden="1"/>
    </xf>
    <xf numFmtId="0" fontId="46" fillId="2" borderId="0" xfId="3" applyFont="1" applyFill="1" applyBorder="1" applyAlignment="1" applyProtection="1">
      <protection hidden="1"/>
    </xf>
    <xf numFmtId="2" fontId="60" fillId="2" borderId="0" xfId="0" applyNumberFormat="1" applyFont="1" applyFill="1" applyBorder="1" applyAlignment="1" applyProtection="1">
      <alignment horizontal="left" vertical="top" wrapText="1"/>
      <protection hidden="1"/>
    </xf>
    <xf numFmtId="174" fontId="60" fillId="2" borderId="0" xfId="0" applyNumberFormat="1" applyFont="1" applyFill="1" applyBorder="1" applyAlignment="1" applyProtection="1">
      <alignment horizontal="left" vertical="top" wrapText="1"/>
      <protection hidden="1"/>
    </xf>
    <xf numFmtId="0" fontId="113" fillId="2" borderId="0" xfId="0" applyFont="1" applyFill="1" applyBorder="1" applyAlignment="1" applyProtection="1">
      <alignment horizontal="right" vertical="top" wrapText="1"/>
      <protection hidden="1"/>
    </xf>
    <xf numFmtId="0" fontId="113" fillId="2" borderId="0" xfId="0" applyFont="1" applyFill="1" applyBorder="1" applyAlignment="1" applyProtection="1">
      <alignment horizontal="right" vertical="top"/>
      <protection hidden="1"/>
    </xf>
    <xf numFmtId="0" fontId="113" fillId="2" borderId="0" xfId="0" applyFont="1" applyFill="1" applyBorder="1" applyAlignment="1" applyProtection="1">
      <alignment horizontal="left" vertical="top" wrapText="1"/>
      <protection hidden="1"/>
    </xf>
    <xf numFmtId="0" fontId="136" fillId="0" borderId="48" xfId="3" applyFont="1" applyBorder="1" applyProtection="1">
      <protection hidden="1"/>
    </xf>
    <xf numFmtId="0" fontId="235" fillId="0" borderId="106" xfId="0" applyFont="1" applyFill="1" applyBorder="1" applyAlignment="1" applyProtection="1">
      <alignment vertical="center" shrinkToFit="1"/>
      <protection locked="0" hidden="1"/>
    </xf>
    <xf numFmtId="9" fontId="55" fillId="2" borderId="0" xfId="4" applyFont="1" applyFill="1" applyBorder="1" applyProtection="1">
      <protection hidden="1"/>
    </xf>
    <xf numFmtId="0" fontId="100" fillId="4" borderId="107" xfId="0" applyFont="1" applyFill="1" applyBorder="1" applyAlignment="1" applyProtection="1">
      <alignment horizontal="left"/>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172" fontId="68" fillId="0" borderId="110" xfId="0" applyNumberFormat="1" applyFont="1" applyBorder="1" applyAlignment="1" applyProtection="1">
      <alignment horizontal="left" vertical="top"/>
      <protection hidden="1"/>
    </xf>
    <xf numFmtId="0" fontId="54" fillId="9" borderId="111" xfId="0" applyFont="1" applyFill="1" applyBorder="1" applyAlignment="1" applyProtection="1">
      <alignment horizontal="center"/>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14" xfId="0" applyFont="1" applyFill="1" applyBorder="1" applyAlignment="1" applyProtection="1">
      <alignment horizontal="left"/>
      <protection hidden="1"/>
    </xf>
    <xf numFmtId="0" fontId="28" fillId="5" borderId="115" xfId="0" applyFont="1" applyFill="1" applyBorder="1" applyAlignment="1" applyProtection="1">
      <alignment horizontal="left"/>
      <protection hidden="1"/>
    </xf>
    <xf numFmtId="0" fontId="35" fillId="3" borderId="116" xfId="0" applyFont="1" applyFill="1" applyBorder="1" applyAlignment="1" applyProtection="1">
      <alignment horizontal="left"/>
      <protection hidden="1"/>
    </xf>
    <xf numFmtId="0" fontId="35" fillId="3" borderId="117" xfId="0" applyFont="1" applyFill="1" applyBorder="1" applyAlignment="1" applyProtection="1">
      <alignment horizontal="left"/>
      <protection hidden="1"/>
    </xf>
    <xf numFmtId="0" fontId="50" fillId="5" borderId="118"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2" fillId="5" borderId="121" xfId="0" applyFont="1" applyFill="1" applyBorder="1" applyAlignment="1" applyProtection="1">
      <alignment horizontal="center"/>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2" fillId="5" borderId="132" xfId="0" applyFont="1" applyFill="1" applyBorder="1" applyAlignment="1" applyProtection="1">
      <alignment horizontal="center"/>
      <protection hidden="1"/>
    </xf>
    <xf numFmtId="171" fontId="38" fillId="6" borderId="124" xfId="0" applyNumberFormat="1" applyFont="1" applyFill="1" applyBorder="1" applyAlignment="1" applyProtection="1">
      <alignment horizontal="center"/>
      <protection hidden="1"/>
    </xf>
    <xf numFmtId="171" fontId="38" fillId="6" borderId="125" xfId="0" applyNumberFormat="1" applyFont="1" applyFill="1" applyBorder="1" applyAlignment="1" applyProtection="1">
      <alignment horizontal="center"/>
      <protection hidden="1"/>
    </xf>
    <xf numFmtId="3" fontId="6" fillId="15" borderId="121" xfId="0" applyNumberFormat="1" applyFont="1" applyFill="1" applyBorder="1" applyAlignment="1" applyProtection="1">
      <alignment horizontal="right"/>
      <protection hidden="1"/>
    </xf>
    <xf numFmtId="3" fontId="6" fillId="15" borderId="123" xfId="0" applyNumberFormat="1" applyFont="1" applyFill="1" applyBorder="1" applyAlignment="1" applyProtection="1">
      <alignment horizontal="right"/>
      <protection hidden="1"/>
    </xf>
    <xf numFmtId="0" fontId="51" fillId="9" borderId="12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4"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5" xfId="0" applyNumberFormat="1" applyFont="1" applyFill="1" applyBorder="1" applyAlignment="1" applyProtection="1">
      <alignment horizontal="center"/>
      <protection hidden="1"/>
    </xf>
    <xf numFmtId="0" fontId="3" fillId="6" borderId="124" xfId="0"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124" fillId="11" borderId="12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1" xfId="0" applyFont="1" applyFill="1" applyBorder="1" applyAlignment="1" applyProtection="1">
      <alignment horizontal="center"/>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4"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3"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224" fillId="2" borderId="0" xfId="0" applyFont="1" applyFill="1" applyBorder="1" applyAlignment="1" applyProtection="1">
      <alignment horizontal="left" vertical="center" wrapText="1"/>
      <protection hidden="1"/>
    </xf>
    <xf numFmtId="0" fontId="224" fillId="2" borderId="5" xfId="0" applyFont="1" applyFill="1" applyBorder="1" applyAlignment="1" applyProtection="1">
      <alignment horizontal="left" vertical="center" wrapText="1"/>
      <protection hidden="1"/>
    </xf>
    <xf numFmtId="0" fontId="237" fillId="18" borderId="140" xfId="0" applyFont="1" applyFill="1" applyBorder="1" applyAlignment="1" applyProtection="1">
      <alignment horizontal="left" vertical="center" shrinkToFit="1"/>
      <protection locked="0" hidden="1"/>
    </xf>
    <xf numFmtId="0" fontId="237" fillId="18" borderId="120" xfId="0" applyFont="1" applyFill="1" applyBorder="1" applyAlignment="1" applyProtection="1">
      <alignment horizontal="left" vertical="center" shrinkToFit="1"/>
      <protection locked="0" hidden="1"/>
    </xf>
    <xf numFmtId="0" fontId="237" fillId="18" borderId="141" xfId="0" applyFont="1" applyFill="1" applyBorder="1" applyAlignment="1" applyProtection="1">
      <alignment horizontal="left" vertical="center" shrinkToFit="1"/>
      <protection locked="0" hidden="1"/>
    </xf>
    <xf numFmtId="0" fontId="235" fillId="21" borderId="134" xfId="0" applyFont="1" applyFill="1" applyBorder="1" applyAlignment="1" applyProtection="1">
      <alignment horizontal="left" vertical="center" shrinkToFit="1"/>
      <protection locked="0" hidden="1"/>
    </xf>
    <xf numFmtId="0" fontId="235" fillId="21" borderId="135" xfId="0" applyFont="1" applyFill="1" applyBorder="1" applyAlignment="1" applyProtection="1">
      <alignment horizontal="left" vertical="center" shrinkToFit="1"/>
      <protection locked="0" hidden="1"/>
    </xf>
    <xf numFmtId="0" fontId="66" fillId="19" borderId="134" xfId="0" applyFont="1" applyFill="1" applyBorder="1" applyAlignment="1" applyProtection="1">
      <alignment horizontal="left" vertical="center" shrinkToFit="1"/>
      <protection locked="0" hidden="1"/>
    </xf>
    <xf numFmtId="0" fontId="66" fillId="19" borderId="135"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0" fillId="2" borderId="0" xfId="0" applyFill="1" applyBorder="1" applyAlignment="1" applyProtection="1">
      <alignment horizontal="left"/>
      <protection hidden="1"/>
    </xf>
    <xf numFmtId="0" fontId="71" fillId="19" borderId="134"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0" fontId="71" fillId="19" borderId="7" xfId="0" applyFont="1" applyFill="1" applyBorder="1" applyAlignment="1" applyProtection="1">
      <alignment horizontal="left" vertical="center"/>
      <protection locked="0" hidden="1"/>
    </xf>
    <xf numFmtId="4" fontId="191" fillId="18" borderId="136" xfId="0" applyNumberFormat="1" applyFont="1" applyFill="1" applyBorder="1" applyAlignment="1" applyProtection="1">
      <alignment horizontal="right" vertical="center"/>
      <protection locked="0" hidden="1"/>
    </xf>
    <xf numFmtId="4" fontId="191" fillId="18" borderId="137" xfId="0" applyNumberFormat="1" applyFont="1" applyFill="1" applyBorder="1" applyAlignment="1" applyProtection="1">
      <alignment horizontal="right" vertical="center"/>
      <protection locked="0" hidden="1"/>
    </xf>
    <xf numFmtId="4" fontId="191" fillId="18" borderId="138" xfId="0" applyNumberFormat="1" applyFont="1" applyFill="1" applyBorder="1" applyAlignment="1" applyProtection="1">
      <alignment horizontal="right" vertical="center"/>
      <protection locked="0" hidden="1"/>
    </xf>
    <xf numFmtId="4" fontId="191" fillId="18" borderId="139" xfId="0" applyNumberFormat="1" applyFont="1" applyFill="1" applyBorder="1" applyAlignment="1" applyProtection="1">
      <alignment horizontal="right" vertical="center"/>
      <protection locked="0"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46" fillId="2" borderId="0" xfId="3" applyFont="1" applyFill="1" applyBorder="1" applyAlignment="1" applyProtection="1">
      <alignment horizontal="left" vertical="top" wrapText="1"/>
      <protection hidden="1"/>
    </xf>
    <xf numFmtId="0" fontId="60" fillId="2" borderId="0" xfId="0" applyFont="1" applyFill="1" applyBorder="1" applyAlignment="1" applyProtection="1">
      <alignment horizontal="left"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2" fontId="48" fillId="2" borderId="0" xfId="0" applyNumberFormat="1" applyFont="1" applyFill="1" applyBorder="1" applyAlignment="1" applyProtection="1">
      <alignment horizontal="right" vertical="top"/>
      <protection hidden="1"/>
    </xf>
    <xf numFmtId="0" fontId="194" fillId="2" borderId="0" xfId="0" applyFont="1" applyFill="1" applyBorder="1" applyAlignment="1" applyProtection="1">
      <alignment horizontal="left" vertical="top" wrapText="1"/>
      <protection hidden="1"/>
    </xf>
    <xf numFmtId="0" fontId="236"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69" fillId="2" borderId="6" xfId="0" applyFont="1" applyFill="1" applyBorder="1" applyAlignment="1" applyProtection="1">
      <alignment horizontal="left" wrapText="1"/>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49" xfId="0" applyFont="1" applyFill="1" applyBorder="1" applyAlignment="1" applyProtection="1">
      <alignment horizontal="center"/>
      <protection hidden="1"/>
    </xf>
    <xf numFmtId="0" fontId="146" fillId="3" borderId="150" xfId="0" applyFont="1" applyFill="1" applyBorder="1" applyAlignment="1" applyProtection="1">
      <alignment horizontal="center"/>
      <protection hidden="1"/>
    </xf>
    <xf numFmtId="0" fontId="88" fillId="16" borderId="142" xfId="0" applyFont="1" applyFill="1" applyBorder="1" applyAlignment="1" applyProtection="1">
      <alignment horizontal="center" vertic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5" xfId="0" applyNumberFormat="1" applyFont="1" applyFill="1" applyBorder="1" applyAlignment="1" applyProtection="1">
      <alignment horizontal="left"/>
      <protection hidden="1"/>
    </xf>
    <xf numFmtId="0" fontId="140" fillId="16" borderId="151" xfId="0" applyFont="1" applyFill="1" applyBorder="1" applyAlignment="1" applyProtection="1">
      <alignment horizontal="left"/>
      <protection hidden="1"/>
    </xf>
    <xf numFmtId="0" fontId="72" fillId="2" borderId="142" xfId="0" applyFont="1" applyFill="1" applyBorder="1" applyAlignment="1" applyProtection="1">
      <alignment horizontal="left"/>
      <protection hidden="1"/>
    </xf>
    <xf numFmtId="0" fontId="72" fillId="2" borderId="144"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2" xfId="0" applyFont="1" applyFill="1" applyBorder="1" applyAlignment="1" applyProtection="1">
      <alignment horizontal="left" vertical="center"/>
      <protection hidden="1"/>
    </xf>
    <xf numFmtId="0" fontId="55" fillId="9" borderId="151" xfId="0" applyFont="1" applyFill="1" applyBorder="1" applyAlignment="1" applyProtection="1">
      <alignment horizontal="left" vertical="center"/>
      <protection hidden="1"/>
    </xf>
    <xf numFmtId="0" fontId="55" fillId="9" borderId="142" xfId="0" applyFont="1" applyFill="1" applyBorder="1" applyAlignment="1" applyProtection="1">
      <alignment horizontal="left"/>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78" fillId="9" borderId="142"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6" fillId="2"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45" fillId="16" borderId="142" xfId="0" applyFont="1" applyFill="1" applyBorder="1" applyAlignment="1" applyProtection="1">
      <alignment horizontal="left"/>
      <protection hidden="1"/>
    </xf>
    <xf numFmtId="0" fontId="45" fillId="16" borderId="144"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163"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54"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5" xfId="0" applyFont="1" applyFill="1" applyBorder="1" applyAlignment="1" applyProtection="1">
      <alignment horizontal="left"/>
      <protection hidden="1"/>
    </xf>
    <xf numFmtId="0" fontId="169" fillId="9" borderId="157" xfId="0" applyFont="1" applyFill="1" applyBorder="1" applyAlignment="1" applyProtection="1">
      <alignment horizontal="left"/>
      <protection hidden="1"/>
    </xf>
    <xf numFmtId="164" fontId="114" fillId="16" borderId="158" xfId="1" applyFont="1" applyFill="1" applyBorder="1" applyAlignment="1" applyProtection="1">
      <alignment horizontal="center"/>
      <protection hidden="1"/>
    </xf>
    <xf numFmtId="164" fontId="114" fillId="16" borderId="159" xfId="1" applyFont="1" applyFill="1" applyBorder="1" applyAlignment="1" applyProtection="1">
      <alignment horizontal="center"/>
      <protection hidden="1"/>
    </xf>
    <xf numFmtId="0" fontId="47" fillId="9" borderId="142" xfId="0" applyFont="1" applyFill="1" applyBorder="1" applyAlignment="1" applyProtection="1">
      <alignment horizontal="left"/>
      <protection hidden="1"/>
    </xf>
    <xf numFmtId="0" fontId="47" fillId="9" borderId="144" xfId="0" applyFont="1" applyFill="1" applyBorder="1" applyAlignment="1" applyProtection="1">
      <alignment horizontal="left"/>
      <protection hidden="1"/>
    </xf>
    <xf numFmtId="0" fontId="220" fillId="2" borderId="154" xfId="0" applyFont="1" applyFill="1" applyBorder="1" applyAlignment="1" applyProtection="1">
      <alignment horizontal="left" vertical="center"/>
      <protection hidden="1"/>
    </xf>
    <xf numFmtId="0" fontId="220"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4" xfId="0" applyFont="1" applyFill="1" applyBorder="1" applyAlignment="1" applyProtection="1">
      <alignment horizontal="left" vertical="center"/>
      <protection hidden="1"/>
    </xf>
    <xf numFmtId="0" fontId="180" fillId="2" borderId="160"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36" fillId="16" borderId="161" xfId="0" applyFont="1" applyFill="1" applyBorder="1" applyAlignment="1" applyProtection="1">
      <alignment horizontal="right"/>
      <protection hidden="1"/>
    </xf>
    <xf numFmtId="0" fontId="236" fillId="16" borderId="162"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2"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9" fillId="2" borderId="0" xfId="1" applyFont="1" applyFill="1" applyBorder="1" applyAlignment="1" applyProtection="1">
      <alignment horizontal="left"/>
      <protection hidden="1"/>
    </xf>
    <xf numFmtId="0" fontId="124" fillId="15" borderId="164" xfId="2" applyFont="1" applyFill="1" applyBorder="1" applyAlignment="1" applyProtection="1">
      <alignment horizontal="center" vertical="center"/>
      <protection hidden="1"/>
    </xf>
    <xf numFmtId="0" fontId="124" fillId="15" borderId="165" xfId="2" applyFont="1" applyFill="1" applyBorder="1" applyAlignment="1" applyProtection="1">
      <alignment horizontal="center" vertical="center"/>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37" fillId="16" borderId="59" xfId="0" applyFont="1" applyFill="1" applyBorder="1" applyAlignment="1" applyProtection="1">
      <alignment horizontal="left"/>
      <protection hidden="1"/>
    </xf>
    <xf numFmtId="0" fontId="237" fillId="16" borderId="0" xfId="0" applyFont="1" applyFill="1" applyBorder="1" applyAlignment="1" applyProtection="1">
      <alignment horizontal="left"/>
      <protection hidden="1"/>
    </xf>
    <xf numFmtId="38" fontId="61" fillId="22" borderId="142" xfId="0" applyNumberFormat="1" applyFont="1" applyFill="1" applyBorder="1" applyAlignment="1" applyProtection="1">
      <alignment horizontal="center"/>
      <protection hidden="1"/>
    </xf>
    <xf numFmtId="38" fontId="61" fillId="22" borderId="143" xfId="0" applyNumberFormat="1" applyFont="1" applyFill="1" applyBorder="1" applyAlignment="1" applyProtection="1">
      <alignment horizontal="center"/>
      <protection hidden="1"/>
    </xf>
    <xf numFmtId="38" fontId="61" fillId="22" borderId="144"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3"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cellXfs>
  <cellStyles count="5">
    <cellStyle name="Comma" xfId="1" builtinId="3"/>
    <cellStyle name="Hyperlink" xfId="2" builtinId="8"/>
    <cellStyle name="Normal" xfId="0" builtinId="0"/>
    <cellStyle name="Normal 2" xfId="3" xr:uid="{00000000-0005-0000-0000-000003000000}"/>
    <cellStyle name="Percent" xfId="4" builtinId="5"/>
  </cellStyles>
  <dxfs count="171">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517" name="Rectangle 18">
          <a:extLst>
            <a:ext uri="{FF2B5EF4-FFF2-40B4-BE49-F238E27FC236}">
              <a16:creationId xmlns:a16="http://schemas.microsoft.com/office/drawing/2014/main" id="{A415D977-85F8-4DD6-A463-D52C800890DC}"/>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4014D662-0EAE-42A7-8C2D-0A50CAE9216A}"/>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D5665198-94F5-4702-85C5-C45B8BA08AEA}"/>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7A0234C2-ACA9-4B0D-89A6-7D08557C0733}"/>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39749" name="AutoShape 4">
          <a:extLst>
            <a:ext uri="{FF2B5EF4-FFF2-40B4-BE49-F238E27FC236}">
              <a16:creationId xmlns:a16="http://schemas.microsoft.com/office/drawing/2014/main" id="{30463C78-647F-483A-A07F-848A0F2B7BF9}"/>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656A08D9-0EE2-4E3B-87FD-151C0C7D7222}"/>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8A4B1C26-E9F2-479C-811D-5A2EF58F4D05}"/>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A7C2E1EF-98DD-4AF5-9056-867F77530A87}"/>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C3D600A1-AC1D-48FD-A1AF-6280EF325347}"/>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C5C0F54C-2439-4EA8-806A-A78936BE5B62}"/>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18CFB1D3-1956-4F28-A6C6-A16A1D074AD0}"/>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8FEB5968-B3EC-4B40-AC73-CBC6B6AA0F0D}"/>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BA941717-EF49-4598-A13C-D5CA975A00F4}"/>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A2BC8E45-0E5E-4EF9-9D81-062BCADBFE29}"/>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84B73E58-B016-4269-A35F-F912BE21117F}"/>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F85512C0-CA9B-4690-AB63-A074DDFAFCD2}"/>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BD4DE1C6-83AC-4990-B031-18C281E95021}"/>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5116488F-EF41-48C3-BCF7-032588B92963}"/>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5F528FAF-FB33-4750-9570-F145FDE9873D}"/>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8D4FEB0-58AA-4B6D-9992-FACD6FE68CBE}"/>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12E6218A-CC10-4261-A130-A9EEEF27A88C}"/>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6B039630-2EF8-40C4-AED1-2E3A3C042D16}"/>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D75A5F17-6D91-4265-AE7F-B2E85965B5FA}"/>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1A45649D-F2C1-4FB7-90E0-C3FCCD06E464}"/>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D0582ADD-D16B-458D-89CA-83F824D290F0}"/>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CBD5BADD-7311-47E5-B3A8-0C3D26C3381A}"/>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8A1144EE-6525-48BB-BBE6-FCE46C6CE735}"/>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752BEEEF-B24C-4A99-9CA0-B0274B3189B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571630DE-DBA6-49E0-9BE2-F61D66E50102}"/>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A9D388AC-7E07-40F0-ABC1-9BCA83B1DACA}"/>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2D96AA34-1E82-40D7-92B7-148E36FE081A}"/>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B053985-D4D4-4B5A-8582-E2CEF40B23B3}"/>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CC4493CC-B9A0-46BC-AA82-416BECDF1E09}"/>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17A9AD67-16BF-4D03-85B6-B48B719E0FC4}"/>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8E465B9D-C53C-44EC-BCFC-94D70AA6B0E1}"/>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39780" name="AutoShape 66">
          <a:extLst>
            <a:ext uri="{FF2B5EF4-FFF2-40B4-BE49-F238E27FC236}">
              <a16:creationId xmlns:a16="http://schemas.microsoft.com/office/drawing/2014/main" id="{59B341D9-A8F7-46D3-865F-581145DB064B}"/>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39781" name="AutoShape 67">
          <a:extLst>
            <a:ext uri="{FF2B5EF4-FFF2-40B4-BE49-F238E27FC236}">
              <a16:creationId xmlns:a16="http://schemas.microsoft.com/office/drawing/2014/main" id="{E0FB135F-709B-469D-970F-AC711C78E191}"/>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345B8A0F-2078-4C18-8AA0-65471081EBE3}"/>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5DDE05BF-1752-42A4-A8A8-659680CEEC3C}"/>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ACE3C602-975E-4ED7-A733-1C77C7C9AB50}"/>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8460C5E5-2049-41D5-AB35-75CF37B2CBAE}"/>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3F6D59BB-4FF4-4A0D-9B0A-AE3D3FC69F6C}"/>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25BE7881-09D0-4F44-B7F3-62B2EF5EFD38}"/>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A1CBE4AE-0C8E-4550-AA1D-1F11C0D44992}"/>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9DBB24B2-2A6E-4316-A606-73997EEE9882}"/>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01F8FD15-1A2F-4098-9884-08DA28FA0216}"/>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71223828-B0AB-49BE-905C-C7F91A62D5FE}"/>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521F6CE1-F6BA-4414-8E29-B9AED0F3B446}"/>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B361B5D5-6E04-492A-995F-322A77AA61BD}"/>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8C206E17-ECFD-4CE8-B4D3-2223FC933D8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AEE98364-3DED-420A-874B-4AA862B4BAC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16FB9C6C-2C1E-460E-8876-52CB10655E00}"/>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C0412756-1FA1-4198-AB69-9F2A8C4792E8}"/>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009F2CB1-8AF1-4DE9-9087-FF8BFED07043}"/>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8D7C78EE-26EC-4DCF-BB76-0FAC3B4EE67C}"/>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26694</xdr:rowOff>
    </xdr:to>
    <xdr:sp macro="" textlink="">
      <xdr:nvSpPr>
        <xdr:cNvPr id="11292" name="Text Box 28">
          <a:extLst>
            <a:ext uri="{FF2B5EF4-FFF2-40B4-BE49-F238E27FC236}">
              <a16:creationId xmlns:a16="http://schemas.microsoft.com/office/drawing/2014/main" id="{04D69590-D93B-4C35-9771-4D990993F33B}"/>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415B585D-2450-4D23-8365-D6E729AB716B}"/>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BA27298A-9CE0-4683-AC5E-AB1A528F57C3}"/>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4362450</xdr:colOff>
      <xdr:row>6</xdr:row>
      <xdr:rowOff>0</xdr:rowOff>
    </xdr:from>
    <xdr:to>
      <xdr:col>24</xdr:col>
      <xdr:colOff>69850</xdr:colOff>
      <xdr:row>6</xdr:row>
      <xdr:rowOff>196850</xdr:rowOff>
    </xdr:to>
    <xdr:sp macro="" textlink="">
      <xdr:nvSpPr>
        <xdr:cNvPr id="140388" name="Text Box 35">
          <a:extLst>
            <a:ext uri="{FF2B5EF4-FFF2-40B4-BE49-F238E27FC236}">
              <a16:creationId xmlns:a16="http://schemas.microsoft.com/office/drawing/2014/main" id="{9D0F6AC2-E1A2-4427-BDD1-94676A4D2359}"/>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52188677-494B-4322-B0D8-868196F0D7F9}"/>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B3E0D34F-2833-4F5E-B7F1-653C9C26D8E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100552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E821C5AF-FC90-40F5-B13D-5142B0B4D188}"/>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262792</xdr:colOff>
      <xdr:row>32</xdr:row>
      <xdr:rowOff>219075</xdr:rowOff>
    </xdr:to>
    <xdr:sp macro="" textlink="">
      <xdr:nvSpPr>
        <xdr:cNvPr id="11346" name="Text Box 82">
          <a:extLst>
            <a:ext uri="{FF2B5EF4-FFF2-40B4-BE49-F238E27FC236}">
              <a16:creationId xmlns:a16="http://schemas.microsoft.com/office/drawing/2014/main" id="{02906D89-E0D1-412D-8481-FD67012FEABE}"/>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8CC32934-504D-44A7-B676-1FCA9E474459}"/>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662BFDAE-A9D0-48B4-9551-C6621C9B077D}"/>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2F5F4E52-9C92-44CF-BBEE-6E2059C9C4A3}"/>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63166</xdr:colOff>
      <xdr:row>56</xdr:row>
      <xdr:rowOff>0</xdr:rowOff>
    </xdr:from>
    <xdr:to>
      <xdr:col>18</xdr:col>
      <xdr:colOff>310144</xdr:colOff>
      <xdr:row>59</xdr:row>
      <xdr:rowOff>720</xdr:rowOff>
    </xdr:to>
    <xdr:sp macro="" textlink="">
      <xdr:nvSpPr>
        <xdr:cNvPr id="35" name="Text Box 86">
          <a:extLst>
            <a:ext uri="{FF2B5EF4-FFF2-40B4-BE49-F238E27FC236}">
              <a16:creationId xmlns:a16="http://schemas.microsoft.com/office/drawing/2014/main" id="{7DA8B3EB-1D13-41A3-9727-055628E99BCD}"/>
            </a:ext>
          </a:extLst>
        </xdr:cNvPr>
        <xdr:cNvSpPr txBox="1">
          <a:spLocks noChangeArrowheads="1"/>
        </xdr:cNvSpPr>
      </xdr:nvSpPr>
      <xdr:spPr bwMode="auto">
        <a:xfrm>
          <a:off x="223504" y="11778520"/>
          <a:ext cx="8526104" cy="212634"/>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infor@takaful.lk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33020</xdr:rowOff>
    </xdr:from>
    <xdr:to>
      <xdr:col>14</xdr:col>
      <xdr:colOff>37977</xdr:colOff>
      <xdr:row>3</xdr:row>
      <xdr:rowOff>100521</xdr:rowOff>
    </xdr:to>
    <xdr:sp macro="" textlink="">
      <xdr:nvSpPr>
        <xdr:cNvPr id="52" name="WordArt 111">
          <a:extLst>
            <a:ext uri="{FF2B5EF4-FFF2-40B4-BE49-F238E27FC236}">
              <a16:creationId xmlns:a16="http://schemas.microsoft.com/office/drawing/2014/main" id="{2C3BFCAF-0B81-4DCF-8DA4-D01B0637B17B}"/>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1429</xdr:rowOff>
    </xdr:to>
    <xdr:sp macro="" textlink="">
      <xdr:nvSpPr>
        <xdr:cNvPr id="47" name="Text Box 82">
          <a:extLst>
            <a:ext uri="{FF2B5EF4-FFF2-40B4-BE49-F238E27FC236}">
              <a16:creationId xmlns:a16="http://schemas.microsoft.com/office/drawing/2014/main" id="{FFE21E4A-5E33-44F2-BBF1-4F4367DEB063}"/>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1906</xdr:rowOff>
    </xdr:from>
    <xdr:to>
      <xdr:col>17</xdr:col>
      <xdr:colOff>341626</xdr:colOff>
      <xdr:row>34</xdr:row>
      <xdr:rowOff>183559</xdr:rowOff>
    </xdr:to>
    <xdr:sp macro="" textlink="">
      <xdr:nvSpPr>
        <xdr:cNvPr id="49" name="Text Box 82">
          <a:extLst>
            <a:ext uri="{FF2B5EF4-FFF2-40B4-BE49-F238E27FC236}">
              <a16:creationId xmlns:a16="http://schemas.microsoft.com/office/drawing/2014/main" id="{809A97F6-02CC-48EC-B788-A2AEB8CBCCEA}"/>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3B922F3F-B7FD-4BBF-B215-C3B7A9F974D0}"/>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D0A82AE8-E753-4C99-B041-F663AEEFB16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A79B3D82-ACAE-4707-BF5E-84ABD2BAC25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402EC5C7-AD94-4CF3-A81F-AF798A336F0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96F6322F-9692-47F2-95AC-D296008CB510}"/>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8CDB56E2-D0C8-4F21-9B47-936D1636BD35}"/>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0D22C2DA-5DBF-475D-9B52-43D2DE9663AB}"/>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13</xdr:row>
      <xdr:rowOff>40481</xdr:rowOff>
    </xdr:to>
    <xdr:sp macro="" textlink="">
      <xdr:nvSpPr>
        <xdr:cNvPr id="54" name="Text Box 114">
          <a:extLst>
            <a:ext uri="{FF2B5EF4-FFF2-40B4-BE49-F238E27FC236}">
              <a16:creationId xmlns:a16="http://schemas.microsoft.com/office/drawing/2014/main" id="{928EADA9-CFD0-407E-8B95-CB406CF217C1}"/>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57" name="Text Box 48">
          <a:extLst>
            <a:ext uri="{FF2B5EF4-FFF2-40B4-BE49-F238E27FC236}">
              <a16:creationId xmlns:a16="http://schemas.microsoft.com/office/drawing/2014/main" id="{64F11F7D-69EB-442B-A4E8-3C2D6F218BCC}"/>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50" name="Text Box 48">
          <a:extLst>
            <a:ext uri="{FF2B5EF4-FFF2-40B4-BE49-F238E27FC236}">
              <a16:creationId xmlns:a16="http://schemas.microsoft.com/office/drawing/2014/main" id="{ABB2A806-5DAF-41D7-8F05-321E31B0739E}"/>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63" name="Text Box 48">
          <a:extLst>
            <a:ext uri="{FF2B5EF4-FFF2-40B4-BE49-F238E27FC236}">
              <a16:creationId xmlns:a16="http://schemas.microsoft.com/office/drawing/2014/main" id="{254DFFF4-84CA-4524-92BC-864F6AE457EF}"/>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98D5C758-9BE1-4A32-A1B5-8CE29F54DB3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D6BCD23E-FAD4-440E-B47A-9C5E10A2D6F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B4553E49-25FA-4DA0-A165-C89D7AF58F0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37413E63-13CC-47A9-A307-EE6D6E03539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155EB3A8-B6E0-4598-8042-3ACBBED80C1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729F9827-D478-49AA-9E15-54CF0FD1CA7C}"/>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E272BFD1-FD9E-4C4B-BAD7-97200ADCD703}"/>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2AA4E940-0B86-4877-9DAE-A65FE0E6941C}"/>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3" name="Text Box 48">
          <a:extLst>
            <a:ext uri="{FF2B5EF4-FFF2-40B4-BE49-F238E27FC236}">
              <a16:creationId xmlns:a16="http://schemas.microsoft.com/office/drawing/2014/main" id="{79E983C3-0820-4EEF-B350-0ED6111F459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4" name="Text Box 49">
          <a:extLst>
            <a:ext uri="{FF2B5EF4-FFF2-40B4-BE49-F238E27FC236}">
              <a16:creationId xmlns:a16="http://schemas.microsoft.com/office/drawing/2014/main" id="{1C122E96-BCB7-477B-A86F-27C84F173D8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5" name="Text Box 44">
          <a:extLst>
            <a:ext uri="{FF2B5EF4-FFF2-40B4-BE49-F238E27FC236}">
              <a16:creationId xmlns:a16="http://schemas.microsoft.com/office/drawing/2014/main" id="{772478D5-14FD-4CEB-A9E9-9255CC245BA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6" name="Text Box 48">
          <a:extLst>
            <a:ext uri="{FF2B5EF4-FFF2-40B4-BE49-F238E27FC236}">
              <a16:creationId xmlns:a16="http://schemas.microsoft.com/office/drawing/2014/main" id="{EEA71761-C768-4954-A43E-B8D00C60CA0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7" name="Text Box 58">
          <a:extLst>
            <a:ext uri="{FF2B5EF4-FFF2-40B4-BE49-F238E27FC236}">
              <a16:creationId xmlns:a16="http://schemas.microsoft.com/office/drawing/2014/main" id="{F3A354F8-5719-43E4-B19F-87F29B0F18D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41365</xdr:rowOff>
    </xdr:to>
    <xdr:sp macro="" textlink="">
      <xdr:nvSpPr>
        <xdr:cNvPr id="2" name="TextBox 1">
          <a:extLst>
            <a:ext uri="{FF2B5EF4-FFF2-40B4-BE49-F238E27FC236}">
              <a16:creationId xmlns:a16="http://schemas.microsoft.com/office/drawing/2014/main" id="{737E35D4-683D-49DB-BFF6-FA209637C222}"/>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1</xdr:row>
      <xdr:rowOff>40005</xdr:rowOff>
    </xdr:from>
    <xdr:to>
      <xdr:col>8</xdr:col>
      <xdr:colOff>8929</xdr:colOff>
      <xdr:row>1</xdr:row>
      <xdr:rowOff>304973</xdr:rowOff>
    </xdr:to>
    <xdr:sp macro="" textlink="">
      <xdr:nvSpPr>
        <xdr:cNvPr id="79" name="WordArt 111">
          <a:extLst>
            <a:ext uri="{FF2B5EF4-FFF2-40B4-BE49-F238E27FC236}">
              <a16:creationId xmlns:a16="http://schemas.microsoft.com/office/drawing/2014/main" id="{FEB9F312-3D8A-45EC-A297-4915DCD8DEAC}"/>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B4AEC800-2B92-4331-B7C0-43CF326A928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F57C25C8-B062-4FB6-8DAD-B01F921FC41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4120FBA6-6AF0-4D3A-82EB-093C271AB0F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AE7BBD30-6B1F-4656-B394-919796E0A95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EF188F48-0B6A-4B6B-B717-3809D9A49D2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40431" name="Picture 85" descr="C:\Users\mumtaz\Downloads\motorcycle-types-objects-icons-set-vector-6122963.jpg">
          <a:extLst>
            <a:ext uri="{FF2B5EF4-FFF2-40B4-BE49-F238E27FC236}">
              <a16:creationId xmlns:a16="http://schemas.microsoft.com/office/drawing/2014/main" id="{12C5DB4E-08B4-4221-B53E-EBD5BD46DC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023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40432" name="Picture 84" descr="C:\Users\mumtaz\Desktop\ATI Logo\Amana-Logos-04.png">
          <a:extLst>
            <a:ext uri="{FF2B5EF4-FFF2-40B4-BE49-F238E27FC236}">
              <a16:creationId xmlns:a16="http://schemas.microsoft.com/office/drawing/2014/main" id="{FFF9253A-1BB8-4B29-8BD3-8728A9EF74D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389255</xdr:colOff>
      <xdr:row>7</xdr:row>
      <xdr:rowOff>57150</xdr:rowOff>
    </xdr:from>
    <xdr:to>
      <xdr:col>14</xdr:col>
      <xdr:colOff>503555</xdr:colOff>
      <xdr:row>8</xdr:row>
      <xdr:rowOff>125</xdr:rowOff>
    </xdr:to>
    <xdr:sp macro="" textlink="">
      <xdr:nvSpPr>
        <xdr:cNvPr id="55" name="Text Box 27">
          <a:extLst>
            <a:ext uri="{FF2B5EF4-FFF2-40B4-BE49-F238E27FC236}">
              <a16:creationId xmlns:a16="http://schemas.microsoft.com/office/drawing/2014/main" id="{B78A27E6-062F-40D9-8893-87B0404255C6}"/>
            </a:ext>
          </a:extLst>
        </xdr:cNvPr>
        <xdr:cNvSpPr txBox="1">
          <a:spLocks noChangeArrowheads="1"/>
        </xdr:cNvSpPr>
      </xdr:nvSpPr>
      <xdr:spPr bwMode="auto">
        <a:xfrm>
          <a:off x="5863590" y="1933575"/>
          <a:ext cx="114300"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26694</xdr:rowOff>
    </xdr:to>
    <xdr:sp macro="" textlink="">
      <xdr:nvSpPr>
        <xdr:cNvPr id="67" name="Text Box 28">
          <a:extLst>
            <a:ext uri="{FF2B5EF4-FFF2-40B4-BE49-F238E27FC236}">
              <a16:creationId xmlns:a16="http://schemas.microsoft.com/office/drawing/2014/main" id="{F6E34B4A-99A5-44CC-A093-0FCE9824CBC1}"/>
            </a:ext>
          </a:extLst>
        </xdr:cNvPr>
        <xdr:cNvSpPr txBox="1">
          <a:spLocks noChangeArrowheads="1"/>
        </xdr:cNvSpPr>
      </xdr:nvSpPr>
      <xdr:spPr bwMode="auto">
        <a:xfrm>
          <a:off x="5863590" y="3057525"/>
          <a:ext cx="251940" cy="23812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78" name="Text Box 29">
          <a:extLst>
            <a:ext uri="{FF2B5EF4-FFF2-40B4-BE49-F238E27FC236}">
              <a16:creationId xmlns:a16="http://schemas.microsoft.com/office/drawing/2014/main" id="{79FE41F6-CE98-4450-BE6B-661F57B64FBE}"/>
            </a:ext>
          </a:extLst>
        </xdr:cNvPr>
        <xdr:cNvSpPr txBox="1">
          <a:spLocks noChangeArrowheads="1"/>
        </xdr:cNvSpPr>
      </xdr:nvSpPr>
      <xdr:spPr bwMode="auto">
        <a:xfrm>
          <a:off x="5863590" y="2628900"/>
          <a:ext cx="123825" cy="21941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85" name="Text Box 30">
          <a:extLst>
            <a:ext uri="{FF2B5EF4-FFF2-40B4-BE49-F238E27FC236}">
              <a16:creationId xmlns:a16="http://schemas.microsoft.com/office/drawing/2014/main" id="{B325FD83-6F03-4E11-9BCD-73A305CE729C}"/>
            </a:ext>
          </a:extLst>
        </xdr:cNvPr>
        <xdr:cNvSpPr txBox="1">
          <a:spLocks noChangeArrowheads="1"/>
        </xdr:cNvSpPr>
      </xdr:nvSpPr>
      <xdr:spPr bwMode="auto">
        <a:xfrm>
          <a:off x="5863590" y="2847975"/>
          <a:ext cx="104775"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86" name="Text Box 92">
          <a:extLst>
            <a:ext uri="{FF2B5EF4-FFF2-40B4-BE49-F238E27FC236}">
              <a16:creationId xmlns:a16="http://schemas.microsoft.com/office/drawing/2014/main" id="{28DD545A-4BE3-4F31-A7D6-5523E6E04A50}"/>
            </a:ext>
          </a:extLst>
        </xdr:cNvPr>
        <xdr:cNvSpPr txBox="1">
          <a:spLocks noChangeArrowheads="1"/>
        </xdr:cNvSpPr>
      </xdr:nvSpPr>
      <xdr:spPr bwMode="auto">
        <a:xfrm>
          <a:off x="5863590"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87" name="Text Box 102">
          <a:extLst>
            <a:ext uri="{FF2B5EF4-FFF2-40B4-BE49-F238E27FC236}">
              <a16:creationId xmlns:a16="http://schemas.microsoft.com/office/drawing/2014/main" id="{71BF1F1A-6BDA-4D7B-816D-2914A653A768}"/>
            </a:ext>
          </a:extLst>
        </xdr:cNvPr>
        <xdr:cNvSpPr txBox="1">
          <a:spLocks noChangeArrowheads="1"/>
        </xdr:cNvSpPr>
      </xdr:nvSpPr>
      <xdr:spPr bwMode="auto">
        <a:xfrm>
          <a:off x="5836920" y="2362200"/>
          <a:ext cx="141194" cy="222997"/>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88" name="Text Box 35">
          <a:extLst>
            <a:ext uri="{FF2B5EF4-FFF2-40B4-BE49-F238E27FC236}">
              <a16:creationId xmlns:a16="http://schemas.microsoft.com/office/drawing/2014/main" id="{7714EA64-CDC4-4B57-9DA3-AF3D43AE9D82}"/>
            </a:ext>
          </a:extLst>
        </xdr:cNvPr>
        <xdr:cNvSpPr txBox="1">
          <a:spLocks noChangeArrowheads="1"/>
        </xdr:cNvSpPr>
      </xdr:nvSpPr>
      <xdr:spPr bwMode="auto">
        <a:xfrm>
          <a:off x="5863590" y="21145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BEDDAF32-9A7F-4FE9-B070-3D90E3D63B25}"/>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AF4B0B18-82B6-4C48-8912-A479D615E11A}"/>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E88D8E03-88D9-4286-AC98-DC2DBCA9F8C4}"/>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2114" name="Text Box 66">
          <a:extLst>
            <a:ext uri="{FF2B5EF4-FFF2-40B4-BE49-F238E27FC236}">
              <a16:creationId xmlns:a16="http://schemas.microsoft.com/office/drawing/2014/main" id="{36D1C66A-A22F-4D38-A613-AF084E42D844}"/>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83C89125-2F58-458E-96C6-F974AA5AD6DB}"/>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444E5F75-FC25-4DD2-AB8C-22363DCF6AD1}"/>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2517" name="Text Box 469" descr="Large grid">
          <a:extLst>
            <a:ext uri="{FF2B5EF4-FFF2-40B4-BE49-F238E27FC236}">
              <a16:creationId xmlns:a16="http://schemas.microsoft.com/office/drawing/2014/main" id="{61FDDD0F-8827-4B56-A8DE-08840110A4F2}"/>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14442" name="Text Box 522">
          <a:extLst>
            <a:ext uri="{FF2B5EF4-FFF2-40B4-BE49-F238E27FC236}">
              <a16:creationId xmlns:a16="http://schemas.microsoft.com/office/drawing/2014/main" id="{AA3E79CE-1235-47C0-A64E-FE3C0570C676}"/>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2EE75E01-A0B0-4D17-97A5-DCDF2F8E5F54}"/>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1F9774E2-ED7F-479F-B43E-82B37B334AB6}"/>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G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16384" width="9.1796875" style="248"/>
  </cols>
  <sheetData>
    <row r="1" spans="1:254" ht="25" customHeight="1" thickBot="1" x14ac:dyDescent="0.35">
      <c r="A1" s="747" t="s">
        <v>217</v>
      </c>
      <c r="B1" s="748"/>
      <c r="C1" s="748"/>
      <c r="D1" s="749"/>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234</v>
      </c>
      <c r="Q3" s="249" t="s">
        <v>205</v>
      </c>
    </row>
    <row r="4" spans="1:254" ht="25" customHeight="1" thickBot="1" x14ac:dyDescent="0.35">
      <c r="A4" s="250"/>
      <c r="G4" s="359"/>
      <c r="H4" s="359"/>
      <c r="I4" s="360"/>
      <c r="J4" s="360"/>
      <c r="K4" s="360"/>
      <c r="L4" s="216"/>
      <c r="M4" s="216"/>
      <c r="N4" s="259" t="s">
        <v>235</v>
      </c>
      <c r="O4" s="217" t="s">
        <v>176</v>
      </c>
      <c r="Q4" s="248">
        <v>1</v>
      </c>
      <c r="IR4" s="296" t="s">
        <v>203</v>
      </c>
      <c r="IS4" s="296" t="s">
        <v>204</v>
      </c>
      <c r="IT4" s="296" t="s">
        <v>205</v>
      </c>
    </row>
    <row r="5" spans="1:254" ht="25" customHeight="1" thickBot="1" x14ac:dyDescent="0.35">
      <c r="A5" s="218" t="s">
        <v>206</v>
      </c>
      <c r="C5" s="751" t="str">
        <f>H5</f>
        <v/>
      </c>
      <c r="D5" s="752"/>
      <c r="E5" s="753"/>
      <c r="G5" s="359"/>
      <c r="H5" s="359" t="str">
        <f>IF(Working!$H$65530=N4,O4,IF(Working!$H$65530=N5,O5,IF(Working!$H$65530=N6,O6,IF(Working!$H$65530=N7,O7,IF(Working!$H$65530=N8,O8,IF(Working!$H$65530=N9,O9,IF(Working!$H$65530=N10,O10,IF(Working!$H$65530=N11,O11,I5))))))))</f>
        <v/>
      </c>
      <c r="I5" s="359" t="str">
        <f>IF(Working!$H$65530=N12,O12,IF(Working!$H$65530=N13,O13,IF(Working!$H$65530=N14,O14,IF(Working!$H$65530=N15,O15,IF(Working!$H$65530=N16,O16,IF(Working!$H$65530=N17,O17,IF(Working!$H$65530=N18,O18,IF(Working!$H$65530=N19,O19,J5))))))))</f>
        <v/>
      </c>
      <c r="J5" s="359" t="str">
        <f>IF(Working!$H$65530=N20,O20,IF(Working!$H$65530=N21,O21,IF(Working!$H$65530=N22,O22,IF(Working!$H$65530=N23,O23,IF(Working!$H$65530=N24,O24,IF(Working!$H$65530=N25,O25,IF(Working!$H$65530=N26,O26,IF(Working!$H$65530=N27,O27,K5))))))))</f>
        <v/>
      </c>
      <c r="K5" s="359" t="str">
        <f>IF(Working!$H$65530=N28,O28,IF(Working!$H$65530=N29,O29,IF(Working!$H$65530=N30,O30,IF(Working!$H$65530=N31,O31,""))))</f>
        <v/>
      </c>
      <c r="N5" s="259" t="s">
        <v>236</v>
      </c>
      <c r="O5" s="217" t="s">
        <v>177</v>
      </c>
      <c r="Q5" s="248">
        <f>Q4+1</f>
        <v>2</v>
      </c>
      <c r="IR5" s="215">
        <v>2024</v>
      </c>
      <c r="IS5" s="215" t="s">
        <v>347</v>
      </c>
      <c r="IT5" s="215">
        <v>1</v>
      </c>
    </row>
    <row r="6" spans="1:254" ht="25" customHeight="1" thickBot="1" x14ac:dyDescent="0.3">
      <c r="G6" s="359"/>
      <c r="H6" s="359"/>
      <c r="I6" s="359"/>
      <c r="J6" s="576" t="s">
        <v>417</v>
      </c>
      <c r="K6" s="359"/>
      <c r="N6" s="259" t="s">
        <v>240</v>
      </c>
      <c r="O6" s="217" t="s">
        <v>178</v>
      </c>
      <c r="Q6" s="248">
        <f t="shared" ref="Q6:Q18" si="0">Q5+1</f>
        <v>3</v>
      </c>
    </row>
    <row r="7" spans="1:254" ht="25" customHeight="1" thickBot="1" x14ac:dyDescent="0.35">
      <c r="A7" s="218" t="s">
        <v>207</v>
      </c>
      <c r="C7" s="248" t="s">
        <v>174</v>
      </c>
      <c r="F7" s="251" t="s">
        <v>78</v>
      </c>
      <c r="G7" s="359" t="str">
        <f t="shared" ref="G7:G17" si="1">IF(F7="Yes",C7,"")</f>
        <v>Motor Car</v>
      </c>
      <c r="H7" s="359">
        <f>IF(F7="Yes",1,0)</f>
        <v>1</v>
      </c>
      <c r="I7" s="359" t="str">
        <f>IF(H7=1,C7,IF(H8=1,C8,IF(H9=1,C9,IF(H10=1,C10,IF(H11=1,C16,IF(H12=1,C11,IF(I5=1,C12,IF(H14=1,C13,J15))))))))</f>
        <v>Motor Car</v>
      </c>
      <c r="J7" s="576" t="s">
        <v>381</v>
      </c>
      <c r="K7" s="359"/>
      <c r="N7" s="259" t="s">
        <v>238</v>
      </c>
      <c r="O7" s="217" t="s">
        <v>179</v>
      </c>
      <c r="Q7" s="248">
        <f t="shared" si="0"/>
        <v>4</v>
      </c>
      <c r="IR7" s="750">
        <f>I3</f>
        <v>45413</v>
      </c>
      <c r="IS7" s="750"/>
      <c r="IT7" s="750"/>
    </row>
    <row r="8" spans="1:254" ht="17.149999999999999" customHeight="1" thickBot="1" x14ac:dyDescent="0.3">
      <c r="C8" s="248" t="s">
        <v>208</v>
      </c>
      <c r="F8" s="251" t="s">
        <v>78</v>
      </c>
      <c r="G8" s="359" t="str">
        <f t="shared" si="1"/>
        <v>Jeep</v>
      </c>
      <c r="H8" s="359">
        <f>IF(F8="Yes",1,0)</f>
        <v>1</v>
      </c>
      <c r="I8" s="359"/>
      <c r="J8" s="576" t="s">
        <v>382</v>
      </c>
      <c r="K8" s="359"/>
      <c r="N8" s="259" t="s">
        <v>239</v>
      </c>
      <c r="O8" s="217" t="s">
        <v>180</v>
      </c>
      <c r="Q8" s="248">
        <f t="shared" si="0"/>
        <v>5</v>
      </c>
    </row>
    <row r="9" spans="1:254" ht="17.149999999999999" customHeight="1" thickBot="1" x14ac:dyDescent="0.3">
      <c r="C9" s="248" t="s">
        <v>209</v>
      </c>
      <c r="F9" s="251" t="s">
        <v>78</v>
      </c>
      <c r="G9" s="359" t="str">
        <f t="shared" si="1"/>
        <v>Dual Purpose</v>
      </c>
      <c r="H9" s="359">
        <f>IF(F9="Yes",1,0)</f>
        <v>1</v>
      </c>
      <c r="I9" s="359"/>
      <c r="J9" s="576" t="s">
        <v>389</v>
      </c>
      <c r="K9" s="359"/>
      <c r="N9" s="259" t="s">
        <v>237</v>
      </c>
      <c r="O9" s="217" t="s">
        <v>181</v>
      </c>
      <c r="Q9" s="248">
        <f t="shared" si="0"/>
        <v>6</v>
      </c>
    </row>
    <row r="10" spans="1:254" ht="17.149999999999999" customHeight="1" thickBot="1" x14ac:dyDescent="0.3">
      <c r="C10" s="248" t="s">
        <v>210</v>
      </c>
      <c r="F10" s="251" t="s">
        <v>78</v>
      </c>
      <c r="G10" s="359" t="str">
        <f t="shared" si="1"/>
        <v>Motor Coach</v>
      </c>
      <c r="H10" s="359">
        <f>IF(F10="Yes",1,0)</f>
        <v>1</v>
      </c>
      <c r="I10" s="359"/>
      <c r="J10" s="576" t="s">
        <v>427</v>
      </c>
      <c r="K10" s="359"/>
      <c r="N10" s="259" t="s">
        <v>260</v>
      </c>
      <c r="O10" s="217" t="s">
        <v>182</v>
      </c>
      <c r="Q10" s="248">
        <f t="shared" si="0"/>
        <v>7</v>
      </c>
    </row>
    <row r="11" spans="1:254" ht="17.149999999999999" customHeight="1" thickBot="1" x14ac:dyDescent="0.3">
      <c r="C11" s="248" t="s">
        <v>358</v>
      </c>
      <c r="F11" s="251" t="s">
        <v>78</v>
      </c>
      <c r="G11" s="359" t="str">
        <f t="shared" si="1"/>
        <v>Motor Lorry</v>
      </c>
      <c r="H11" s="359">
        <f>IF(F16="Yes",1,0)</f>
        <v>1</v>
      </c>
      <c r="I11" s="359"/>
      <c r="J11" s="576" t="s">
        <v>431</v>
      </c>
      <c r="K11" s="359"/>
      <c r="N11" s="259" t="s">
        <v>241</v>
      </c>
      <c r="O11" s="217" t="s">
        <v>183</v>
      </c>
      <c r="Q11" s="248">
        <f t="shared" si="0"/>
        <v>8</v>
      </c>
    </row>
    <row r="12" spans="1:254" ht="17.149999999999999" customHeight="1" thickBot="1" x14ac:dyDescent="0.3">
      <c r="C12" s="248" t="s">
        <v>211</v>
      </c>
      <c r="F12" s="251" t="s">
        <v>78</v>
      </c>
      <c r="G12" s="359" t="str">
        <f t="shared" si="1"/>
        <v>Three Wheeler</v>
      </c>
      <c r="H12" s="359">
        <f>IF(F11="Yes",1,0)</f>
        <v>1</v>
      </c>
      <c r="I12" s="359"/>
      <c r="J12" s="576" t="s">
        <v>383</v>
      </c>
      <c r="K12" s="359"/>
      <c r="N12" s="259" t="s">
        <v>242</v>
      </c>
      <c r="O12" s="217" t="s">
        <v>184</v>
      </c>
      <c r="Q12" s="248">
        <f t="shared" si="0"/>
        <v>9</v>
      </c>
    </row>
    <row r="13" spans="1:254" ht="17.149999999999999" customHeight="1" thickBot="1" x14ac:dyDescent="0.3">
      <c r="C13" s="248" t="s">
        <v>213</v>
      </c>
      <c r="F13" s="251" t="s">
        <v>78</v>
      </c>
      <c r="G13" s="359" t="str">
        <f t="shared" si="1"/>
        <v>Motor Cycle (Chinese)</v>
      </c>
      <c r="H13" s="359">
        <f>IF(F12="Yes",1,0)</f>
        <v>1</v>
      </c>
      <c r="I13" s="359"/>
      <c r="J13" s="576" t="s">
        <v>416</v>
      </c>
      <c r="K13" s="359"/>
      <c r="N13" s="259" t="s">
        <v>261</v>
      </c>
      <c r="O13" s="217" t="s">
        <v>185</v>
      </c>
      <c r="Q13" s="248">
        <f t="shared" si="0"/>
        <v>10</v>
      </c>
    </row>
    <row r="14" spans="1:254" ht="17.149999999999999" customHeight="1" thickBot="1" x14ac:dyDescent="0.3">
      <c r="C14" s="248" t="s">
        <v>360</v>
      </c>
      <c r="F14" s="251" t="s">
        <v>78</v>
      </c>
      <c r="G14" s="359" t="str">
        <f t="shared" si="1"/>
        <v>Motor Cycle</v>
      </c>
      <c r="H14" s="359">
        <f>IF(F13="Yes",1,0)</f>
        <v>1</v>
      </c>
      <c r="I14" s="359"/>
      <c r="J14" s="576" t="s">
        <v>440</v>
      </c>
      <c r="K14" s="359"/>
      <c r="N14" s="259" t="s">
        <v>262</v>
      </c>
      <c r="O14" s="217" t="s">
        <v>186</v>
      </c>
      <c r="Q14" s="248">
        <f t="shared" si="0"/>
        <v>11</v>
      </c>
    </row>
    <row r="15" spans="1:254" ht="17.149999999999999" customHeight="1" thickBot="1" x14ac:dyDescent="0.3">
      <c r="C15" s="248" t="s">
        <v>214</v>
      </c>
      <c r="F15" s="251" t="s">
        <v>78</v>
      </c>
      <c r="G15" s="359" t="str">
        <f t="shared" si="1"/>
        <v>Tractor</v>
      </c>
      <c r="H15" s="359">
        <f>IF(F14="Yes",1,0)</f>
        <v>1</v>
      </c>
      <c r="I15" s="359"/>
      <c r="J15" s="576" t="s">
        <v>420</v>
      </c>
      <c r="K15" s="359"/>
      <c r="N15" s="259" t="s">
        <v>243</v>
      </c>
      <c r="O15" s="217" t="s">
        <v>187</v>
      </c>
      <c r="Q15" s="248">
        <f t="shared" si="0"/>
        <v>12</v>
      </c>
    </row>
    <row r="16" spans="1:254" ht="17.149999999999999" customHeight="1" thickBot="1" x14ac:dyDescent="0.3">
      <c r="C16" s="248" t="s">
        <v>212</v>
      </c>
      <c r="F16" s="251" t="s">
        <v>78</v>
      </c>
      <c r="G16" s="359" t="str">
        <f t="shared" si="1"/>
        <v>Motor Lorry (Chinese)</v>
      </c>
      <c r="H16" s="359">
        <f>IF(F15="Yes",1,0)</f>
        <v>1</v>
      </c>
      <c r="I16" s="359"/>
      <c r="J16" s="576" t="s">
        <v>424</v>
      </c>
      <c r="K16" s="359"/>
      <c r="N16" s="259" t="s">
        <v>244</v>
      </c>
      <c r="O16" s="217" t="s">
        <v>188</v>
      </c>
      <c r="Q16" s="248">
        <f t="shared" si="0"/>
        <v>13</v>
      </c>
    </row>
    <row r="17" spans="1:17" ht="17.149999999999999" customHeight="1" thickBot="1" x14ac:dyDescent="0.3">
      <c r="C17" s="248" t="s">
        <v>215</v>
      </c>
      <c r="F17" s="251" t="s">
        <v>78</v>
      </c>
      <c r="G17" s="359" t="str">
        <f t="shared" si="1"/>
        <v>Others</v>
      </c>
      <c r="H17" s="359">
        <f>IF(F17="Yes",1,0)</f>
        <v>1</v>
      </c>
      <c r="I17" s="361"/>
      <c r="J17" s="576" t="s">
        <v>390</v>
      </c>
      <c r="K17" s="359"/>
      <c r="N17" s="259" t="s">
        <v>245</v>
      </c>
      <c r="O17" s="217" t="s">
        <v>189</v>
      </c>
      <c r="Q17" s="248">
        <f t="shared" si="0"/>
        <v>14</v>
      </c>
    </row>
    <row r="18" spans="1:17" ht="17.149999999999999" customHeight="1" x14ac:dyDescent="0.25">
      <c r="H18" s="359"/>
      <c r="I18" s="361"/>
      <c r="J18" s="576" t="s">
        <v>385</v>
      </c>
      <c r="K18" s="359"/>
      <c r="N18" s="259" t="s">
        <v>246</v>
      </c>
      <c r="O18" s="217" t="s">
        <v>190</v>
      </c>
      <c r="Q18" s="248">
        <f t="shared" si="0"/>
        <v>15</v>
      </c>
    </row>
    <row r="19" spans="1:17" ht="17.149999999999999" customHeight="1" thickBot="1" x14ac:dyDescent="0.3">
      <c r="G19" s="359"/>
      <c r="H19" s="359"/>
      <c r="I19" s="359"/>
      <c r="J19" s="576" t="s">
        <v>386</v>
      </c>
      <c r="K19" s="359"/>
      <c r="N19" s="259" t="s">
        <v>247</v>
      </c>
      <c r="O19" s="217" t="s">
        <v>191</v>
      </c>
      <c r="Q19" s="248">
        <f t="shared" ref="Q19:Q31" si="2">Q18+1</f>
        <v>16</v>
      </c>
    </row>
    <row r="20" spans="1:17" ht="17.149999999999999" customHeight="1" thickBot="1" x14ac:dyDescent="0.3">
      <c r="A20" s="252" t="s">
        <v>35</v>
      </c>
      <c r="C20" s="248" t="s">
        <v>322</v>
      </c>
      <c r="F20" s="251" t="s">
        <v>78</v>
      </c>
      <c r="G20" s="359" t="str">
        <f>IF(F20="Yes",C20,"")</f>
        <v>Private Use Only</v>
      </c>
      <c r="H20" s="359"/>
      <c r="I20" s="359" t="str">
        <f>IF(G20&lt;&gt;"",G20,IF(G21&lt;&gt;"",G21,IF(G22&lt;&gt;"",G22,IF(G23&lt;&gt;"",G23,IF(G24&lt;&gt;"",G24,"")))))</f>
        <v>Private Use Only</v>
      </c>
      <c r="J20" s="576" t="s">
        <v>429</v>
      </c>
      <c r="K20" s="359"/>
      <c r="N20" s="259" t="s">
        <v>248</v>
      </c>
      <c r="O20" s="217" t="s">
        <v>175</v>
      </c>
      <c r="Q20" s="248">
        <f t="shared" si="2"/>
        <v>17</v>
      </c>
    </row>
    <row r="21" spans="1:17" ht="17.149999999999999" customHeight="1" thickBot="1" x14ac:dyDescent="0.3">
      <c r="C21" s="248" t="s">
        <v>41</v>
      </c>
      <c r="F21" s="251" t="s">
        <v>78</v>
      </c>
      <c r="G21" s="359" t="str">
        <f>IF(F21="Yes",C21,"")</f>
        <v>Hiring</v>
      </c>
      <c r="I21" s="359" t="str">
        <f>IF(AND(G21&lt;&gt;"",G21&lt;&gt;I20),G21,IF(AND(G22&lt;&gt;"",G22&lt;&gt;I20),G22,IF(AND(G23&lt;&gt;"",G23&lt;&gt;I20),G23,IF(AND(G24&lt;&gt;"",G24&lt;&gt;I20),G24,""))))</f>
        <v>Hiring</v>
      </c>
      <c r="J21" s="576" t="s">
        <v>387</v>
      </c>
      <c r="K21" s="359"/>
      <c r="N21" s="259" t="s">
        <v>249</v>
      </c>
      <c r="O21" s="217" t="s">
        <v>192</v>
      </c>
      <c r="Q21" s="248">
        <f t="shared" si="2"/>
        <v>18</v>
      </c>
    </row>
    <row r="22" spans="1:17" ht="18" customHeight="1" thickBot="1" x14ac:dyDescent="0.3">
      <c r="C22" s="248" t="s">
        <v>7</v>
      </c>
      <c r="F22" s="251" t="s">
        <v>78</v>
      </c>
      <c r="G22" s="359" t="str">
        <f>IF(F22="Yes",C22,"")</f>
        <v>Rent A Vehicle</v>
      </c>
      <c r="H22" s="359"/>
      <c r="I22" s="359" t="str">
        <f>IF(AND(G22&lt;&gt;"",G22&lt;&gt;I21,G22&lt;&gt;I20),G22,IF(AND(G23&lt;&gt;"",G23&lt;&gt;I21,G23&lt;&gt;I20),G23,IF(AND(G24&lt;&gt;"",G24&lt;&gt;I20,G24&lt;&gt;I21),G24,"")))</f>
        <v>Rent A Vehicle</v>
      </c>
      <c r="J22" s="576" t="s">
        <v>423</v>
      </c>
      <c r="K22" s="359"/>
      <c r="N22" s="259" t="s">
        <v>250</v>
      </c>
      <c r="O22" s="217" t="s">
        <v>193</v>
      </c>
      <c r="Q22" s="248">
        <f t="shared" si="2"/>
        <v>19</v>
      </c>
    </row>
    <row r="23" spans="1:17" ht="18" customHeight="1" thickBot="1" x14ac:dyDescent="0.3">
      <c r="C23" s="248" t="s">
        <v>218</v>
      </c>
      <c r="F23" s="251" t="s">
        <v>78</v>
      </c>
      <c r="G23" s="359" t="str">
        <f>IF(F23="Yes",C23,"")</f>
        <v xml:space="preserve">SLTB Route </v>
      </c>
      <c r="H23" s="359"/>
      <c r="I23" s="359" t="str">
        <f>IF(AND(G23&lt;&gt;"",I20&lt;&gt;G23,I21&lt;&gt;G23,I22&lt;&gt;G23),G23,IF(AND(G24&lt;&gt;"",G24&lt;&gt;I20,G24&lt;&gt;I21,G24&lt;&gt;I22),G24,""))</f>
        <v xml:space="preserve">SLTB Route </v>
      </c>
      <c r="J23" s="576" t="s">
        <v>422</v>
      </c>
      <c r="K23" s="359"/>
      <c r="N23" s="259" t="s">
        <v>251</v>
      </c>
      <c r="O23" s="217" t="s">
        <v>194</v>
      </c>
      <c r="Q23" s="248">
        <f t="shared" si="2"/>
        <v>20</v>
      </c>
    </row>
    <row r="24" spans="1:17" ht="18" customHeight="1" thickBot="1" x14ac:dyDescent="0.3">
      <c r="C24" s="248" t="s">
        <v>220</v>
      </c>
      <c r="F24" s="251" t="s">
        <v>114</v>
      </c>
      <c r="G24" s="359" t="str">
        <f>IF(F24="Yes",C24,"")</f>
        <v/>
      </c>
      <c r="H24" s="359"/>
      <c r="I24" s="359" t="str">
        <f>IF(AND(G24&lt;&gt;"",I21&lt;&gt;G24,I22&lt;&gt;G24,I23&lt;&gt;G24,G24&lt;&gt;I20),G24,"")</f>
        <v/>
      </c>
      <c r="J24" s="576" t="s">
        <v>432</v>
      </c>
      <c r="K24" s="359"/>
      <c r="N24" s="259" t="s">
        <v>252</v>
      </c>
      <c r="O24" s="217" t="s">
        <v>195</v>
      </c>
      <c r="Q24" s="248">
        <f t="shared" si="2"/>
        <v>21</v>
      </c>
    </row>
    <row r="25" spans="1:17" ht="18" customHeight="1" x14ac:dyDescent="0.25">
      <c r="G25" s="359"/>
      <c r="H25" s="359"/>
      <c r="I25" s="359"/>
      <c r="J25" s="576" t="s">
        <v>419</v>
      </c>
      <c r="K25" s="359"/>
      <c r="N25" s="259" t="s">
        <v>253</v>
      </c>
      <c r="O25" s="217" t="s">
        <v>196</v>
      </c>
      <c r="Q25" s="248">
        <f t="shared" si="2"/>
        <v>22</v>
      </c>
    </row>
    <row r="26" spans="1:17" ht="18" customHeight="1" thickBot="1" x14ac:dyDescent="0.3">
      <c r="G26" s="359"/>
      <c r="H26" s="359"/>
      <c r="I26" s="359"/>
      <c r="J26" s="576" t="s">
        <v>393</v>
      </c>
      <c r="K26" s="359"/>
      <c r="N26" s="259" t="s">
        <v>254</v>
      </c>
      <c r="O26" s="217" t="s">
        <v>197</v>
      </c>
      <c r="Q26" s="248">
        <f t="shared" si="2"/>
        <v>23</v>
      </c>
    </row>
    <row r="27" spans="1:17" ht="25" customHeight="1" thickBot="1" x14ac:dyDescent="0.35">
      <c r="A27" s="253" t="s">
        <v>216</v>
      </c>
      <c r="F27" s="251" t="s">
        <v>78</v>
      </c>
      <c r="G27" s="359"/>
      <c r="H27" s="359"/>
      <c r="I27" s="359"/>
      <c r="J27" s="576" t="s">
        <v>418</v>
      </c>
      <c r="K27" s="359"/>
      <c r="N27" s="259" t="s">
        <v>255</v>
      </c>
      <c r="O27" s="217" t="s">
        <v>198</v>
      </c>
      <c r="Q27" s="248">
        <f t="shared" si="2"/>
        <v>24</v>
      </c>
    </row>
    <row r="28" spans="1:17" ht="25" customHeight="1" thickBot="1" x14ac:dyDescent="0.3">
      <c r="G28" s="359"/>
      <c r="H28" s="359"/>
      <c r="I28" s="359"/>
      <c r="J28" s="576" t="s">
        <v>426</v>
      </c>
      <c r="K28" s="359"/>
      <c r="N28" s="259" t="s">
        <v>256</v>
      </c>
      <c r="O28" s="217" t="s">
        <v>199</v>
      </c>
      <c r="Q28" s="248">
        <f t="shared" si="2"/>
        <v>25</v>
      </c>
    </row>
    <row r="29" spans="1:17" ht="25" customHeight="1" thickBot="1" x14ac:dyDescent="0.35">
      <c r="A29" s="218" t="s">
        <v>277</v>
      </c>
      <c r="C29" s="1"/>
      <c r="F29" s="277">
        <v>19</v>
      </c>
      <c r="G29" s="359"/>
      <c r="I29" s="359"/>
      <c r="J29" s="576" t="s">
        <v>428</v>
      </c>
      <c r="K29" s="359"/>
      <c r="N29" s="259" t="s">
        <v>257</v>
      </c>
      <c r="O29" s="217" t="s">
        <v>200</v>
      </c>
      <c r="Q29" s="248">
        <f t="shared" si="2"/>
        <v>26</v>
      </c>
    </row>
    <row r="30" spans="1:17" ht="25" customHeight="1" thickBot="1" x14ac:dyDescent="0.3">
      <c r="G30" s="359"/>
      <c r="H30" s="359"/>
      <c r="I30" s="359"/>
      <c r="J30" s="576" t="s">
        <v>441</v>
      </c>
      <c r="K30" s="359"/>
      <c r="N30" s="259" t="s">
        <v>258</v>
      </c>
      <c r="O30" s="217" t="s">
        <v>201</v>
      </c>
      <c r="Q30" s="248">
        <f t="shared" si="2"/>
        <v>27</v>
      </c>
    </row>
    <row r="31" spans="1:17" ht="25" customHeight="1" thickBot="1" x14ac:dyDescent="0.35">
      <c r="A31" s="218" t="s">
        <v>288</v>
      </c>
      <c r="C31" s="1"/>
      <c r="F31" s="251" t="s">
        <v>78</v>
      </c>
      <c r="J31" s="576" t="s">
        <v>430</v>
      </c>
      <c r="N31" s="259" t="s">
        <v>259</v>
      </c>
      <c r="O31" s="217" t="s">
        <v>202</v>
      </c>
      <c r="Q31" s="248">
        <f t="shared" si="2"/>
        <v>28</v>
      </c>
    </row>
    <row r="32" spans="1:17" ht="8.25" customHeight="1" x14ac:dyDescent="0.25">
      <c r="A32" s="754"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754"/>
      <c r="C32" s="754"/>
      <c r="D32" s="754"/>
      <c r="E32" s="754"/>
      <c r="F32" s="754"/>
      <c r="G32" s="754"/>
      <c r="J32" s="576" t="s">
        <v>421</v>
      </c>
      <c r="N32" s="259"/>
      <c r="Q32" s="248">
        <f>IF(AND(M3&lt;&gt;0,G3=2),"",29)</f>
        <v>29</v>
      </c>
    </row>
    <row r="33" spans="1:17" ht="25" customHeight="1" x14ac:dyDescent="0.25">
      <c r="A33" s="754"/>
      <c r="B33" s="754"/>
      <c r="C33" s="754"/>
      <c r="D33" s="754"/>
      <c r="E33" s="754"/>
      <c r="F33" s="754"/>
      <c r="G33" s="754"/>
      <c r="J33" s="576" t="s">
        <v>388</v>
      </c>
      <c r="N33" s="259"/>
      <c r="Q33" s="248">
        <f>IF(G3=2,"",30)</f>
        <v>30</v>
      </c>
    </row>
    <row r="34" spans="1:17" ht="25" customHeight="1" x14ac:dyDescent="0.25">
      <c r="I34" s="577" t="s">
        <v>443</v>
      </c>
      <c r="J34" s="576"/>
      <c r="N34" s="259"/>
      <c r="Q34" s="248">
        <f>IF(OR(G3=2,G3=4,G3=6,G3=9,G3=11),"",31)</f>
        <v>31</v>
      </c>
    </row>
    <row r="35" spans="1:17" ht="25" customHeight="1" x14ac:dyDescent="0.25">
      <c r="J35" s="576"/>
      <c r="N35" s="259"/>
    </row>
    <row r="36" spans="1:17" ht="25" customHeight="1" x14ac:dyDescent="0.25">
      <c r="J36" s="576"/>
    </row>
    <row r="37" spans="1:17" ht="25" customHeight="1" x14ac:dyDescent="0.25">
      <c r="J37" s="576"/>
    </row>
    <row r="38" spans="1:17" ht="25" customHeight="1" x14ac:dyDescent="0.25">
      <c r="J38" s="576"/>
    </row>
    <row r="39" spans="1:17" ht="25" customHeight="1" x14ac:dyDescent="0.25">
      <c r="J39" s="576"/>
    </row>
    <row r="40" spans="1:17" ht="25" customHeight="1" x14ac:dyDescent="0.25">
      <c r="J40" s="576"/>
    </row>
  </sheetData>
  <dataConsolidate/>
  <mergeCells count="4">
    <mergeCell ref="A1:D1"/>
    <mergeCell ref="IR7:IT7"/>
    <mergeCell ref="C5:E5"/>
    <mergeCell ref="A32:G33"/>
  </mergeCells>
  <phoneticPr fontId="28" type="noConversion"/>
  <conditionalFormatting sqref="F27 F20:F24 F7:F17 F31">
    <cfRule type="cellIs" dxfId="170"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3"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5">
        <f ca="1">TODAY()</f>
        <v>45346</v>
      </c>
      <c r="F1" s="779" t="s">
        <v>155</v>
      </c>
      <c r="L1" s="338"/>
    </row>
    <row r="2" spans="1:19" ht="20.149999999999999" customHeight="1" thickTop="1" thickBot="1" x14ac:dyDescent="0.4">
      <c r="A2" s="88" t="s">
        <v>55</v>
      </c>
      <c r="B2" s="89"/>
      <c r="F2" s="779"/>
      <c r="G2" s="616" t="s">
        <v>357</v>
      </c>
      <c r="H2" s="616" t="s">
        <v>361</v>
      </c>
      <c r="I2" s="757" t="s">
        <v>57</v>
      </c>
      <c r="J2" s="758"/>
      <c r="L2" s="338"/>
    </row>
    <row r="3" spans="1:19" ht="20.149999999999999" customHeight="1" thickTop="1" thickBot="1" x14ac:dyDescent="0.4">
      <c r="A3" s="90">
        <v>1</v>
      </c>
      <c r="B3" s="91" t="s">
        <v>50</v>
      </c>
      <c r="C3" s="92" t="s">
        <v>51</v>
      </c>
      <c r="D3" s="146">
        <f>IF(Working!M12="Above 250cc",10,IF(AND('SRC Quote'!B13=1,'SRC Quote'!T13="Ijarah"),5,2.2))</f>
        <v>2.2000000000000002</v>
      </c>
      <c r="E3" s="93" t="s">
        <v>56</v>
      </c>
      <c r="F3" s="147">
        <v>2</v>
      </c>
      <c r="I3" s="25">
        <v>1</v>
      </c>
      <c r="J3" s="135" t="s">
        <v>170</v>
      </c>
      <c r="K3" s="148">
        <v>0.2</v>
      </c>
      <c r="L3" s="26" t="s">
        <v>72</v>
      </c>
      <c r="M3" s="27"/>
      <c r="N3" s="763" t="s">
        <v>141</v>
      </c>
      <c r="O3" s="764"/>
      <c r="P3" s="765"/>
      <c r="Q3" s="86" t="s">
        <v>138</v>
      </c>
      <c r="R3" s="87" t="s">
        <v>58</v>
      </c>
    </row>
    <row r="4" spans="1:19" ht="20.149999999999999" customHeight="1" thickTop="1" x14ac:dyDescent="0.35">
      <c r="A4" s="94">
        <f>A3+1</f>
        <v>2</v>
      </c>
      <c r="B4" s="95" t="s">
        <v>52</v>
      </c>
      <c r="C4" s="96" t="s">
        <v>51</v>
      </c>
      <c r="D4" s="149">
        <f>IF(Working!M12="Above 250cc",10,IF(AND('SRC Quote'!B13=1,'SRC Quote'!T13="Ijarah"),5,2.2))</f>
        <v>2.2000000000000002</v>
      </c>
      <c r="E4" s="97" t="s">
        <v>56</v>
      </c>
      <c r="F4" s="150">
        <v>2</v>
      </c>
      <c r="I4" s="32"/>
      <c r="J4" s="134" t="s">
        <v>169</v>
      </c>
      <c r="K4" s="34">
        <v>0.25</v>
      </c>
      <c r="L4" s="35" t="s">
        <v>72</v>
      </c>
      <c r="M4" s="36"/>
      <c r="N4" s="755" t="s">
        <v>139</v>
      </c>
      <c r="O4" s="756"/>
      <c r="P4" s="756"/>
      <c r="Q4" s="151">
        <v>7.0000000000000007E-2</v>
      </c>
      <c r="R4" s="152">
        <v>2.5000000000000001E-2</v>
      </c>
    </row>
    <row r="5" spans="1:19" ht="20.149999999999999" customHeight="1" x14ac:dyDescent="0.35">
      <c r="A5" s="98">
        <f t="shared" ref="A5:A14" si="0">A4+1</f>
        <v>3</v>
      </c>
      <c r="B5" s="99" t="s">
        <v>154</v>
      </c>
      <c r="C5" s="100" t="s">
        <v>51</v>
      </c>
      <c r="D5" s="153">
        <v>2</v>
      </c>
      <c r="E5" s="101" t="s">
        <v>56</v>
      </c>
      <c r="F5" s="154">
        <v>20</v>
      </c>
      <c r="I5" s="28">
        <f>I3+1</f>
        <v>2</v>
      </c>
      <c r="J5" s="29" t="s">
        <v>171</v>
      </c>
      <c r="K5" s="155">
        <v>0.05</v>
      </c>
      <c r="L5" s="30" t="s">
        <v>72</v>
      </c>
      <c r="M5" s="31"/>
      <c r="N5" s="761" t="s">
        <v>148</v>
      </c>
      <c r="O5" s="762"/>
      <c r="P5" s="762"/>
      <c r="Q5" s="156">
        <v>0.04</v>
      </c>
      <c r="R5" s="157">
        <v>1.2500000000000001E-2</v>
      </c>
    </row>
    <row r="6" spans="1:19" ht="20.149999999999999" customHeight="1" x14ac:dyDescent="0.35">
      <c r="A6" s="94">
        <f t="shared" si="0"/>
        <v>4</v>
      </c>
      <c r="B6" s="95" t="s">
        <v>159</v>
      </c>
      <c r="C6" s="96" t="s">
        <v>51</v>
      </c>
      <c r="D6" s="158">
        <v>2.25</v>
      </c>
      <c r="E6" s="97" t="s">
        <v>56</v>
      </c>
      <c r="F6" s="150">
        <v>5</v>
      </c>
      <c r="I6" s="28"/>
      <c r="J6" s="133" t="s">
        <v>169</v>
      </c>
      <c r="K6" s="155">
        <v>6.25E-2</v>
      </c>
      <c r="L6" s="30" t="s">
        <v>72</v>
      </c>
      <c r="M6" s="31"/>
      <c r="N6" s="761" t="s">
        <v>147</v>
      </c>
      <c r="O6" s="762"/>
      <c r="P6" s="762"/>
      <c r="Q6" s="156">
        <v>3.7499999999999999E-2</v>
      </c>
      <c r="R6" s="157">
        <v>1.2500000000000001E-2</v>
      </c>
    </row>
    <row r="7" spans="1:19" ht="20.149999999999999" customHeight="1" thickBot="1" x14ac:dyDescent="0.4">
      <c r="A7" s="98">
        <f t="shared" si="0"/>
        <v>5</v>
      </c>
      <c r="B7" s="99" t="s">
        <v>160</v>
      </c>
      <c r="C7" s="100" t="s">
        <v>51</v>
      </c>
      <c r="D7" s="153">
        <v>2</v>
      </c>
      <c r="E7" s="101" t="s">
        <v>56</v>
      </c>
      <c r="F7" s="154">
        <v>5</v>
      </c>
      <c r="I7" s="32">
        <f>I5+1</f>
        <v>3</v>
      </c>
      <c r="J7" s="33" t="s">
        <v>59</v>
      </c>
      <c r="K7" s="34"/>
      <c r="L7" s="35"/>
      <c r="M7" s="36"/>
      <c r="N7" s="766" t="s">
        <v>140</v>
      </c>
      <c r="O7" s="767"/>
      <c r="P7" s="767"/>
      <c r="Q7" s="159">
        <v>0.05</v>
      </c>
      <c r="R7" s="160">
        <v>1250</v>
      </c>
    </row>
    <row r="8" spans="1:19" ht="20.149999999999999" customHeight="1" thickTop="1" thickBot="1" x14ac:dyDescent="0.4">
      <c r="A8" s="94">
        <f t="shared" si="0"/>
        <v>6</v>
      </c>
      <c r="B8" s="95" t="s">
        <v>162</v>
      </c>
      <c r="C8" s="96" t="s">
        <v>51</v>
      </c>
      <c r="D8" s="158">
        <v>2.25</v>
      </c>
      <c r="E8" s="97" t="s">
        <v>56</v>
      </c>
      <c r="F8" s="150">
        <v>7</v>
      </c>
      <c r="I8" s="32"/>
      <c r="J8" s="35" t="s">
        <v>68</v>
      </c>
      <c r="K8" s="34">
        <v>50</v>
      </c>
      <c r="L8" s="35" t="s">
        <v>61</v>
      </c>
      <c r="M8" s="36"/>
      <c r="N8" s="763" t="s">
        <v>40</v>
      </c>
      <c r="O8" s="764"/>
      <c r="P8" s="765"/>
      <c r="Q8" s="159">
        <v>0.15</v>
      </c>
      <c r="R8" s="160">
        <v>0.25</v>
      </c>
      <c r="S8" s="1" t="s">
        <v>144</v>
      </c>
    </row>
    <row r="9" spans="1:19" ht="20.149999999999999" customHeight="1" thickTop="1" thickBot="1" x14ac:dyDescent="0.4">
      <c r="A9" s="98">
        <f t="shared" si="0"/>
        <v>7</v>
      </c>
      <c r="B9" s="99" t="s">
        <v>161</v>
      </c>
      <c r="C9" s="100" t="s">
        <v>51</v>
      </c>
      <c r="D9" s="153">
        <v>2</v>
      </c>
      <c r="E9" s="101" t="s">
        <v>56</v>
      </c>
      <c r="F9" s="154">
        <v>7</v>
      </c>
      <c r="I9" s="32"/>
      <c r="J9" s="35" t="s">
        <v>67</v>
      </c>
      <c r="K9" s="34">
        <v>25</v>
      </c>
      <c r="L9" s="35" t="s">
        <v>61</v>
      </c>
      <c r="M9" s="36"/>
      <c r="N9" s="768" t="s">
        <v>142</v>
      </c>
      <c r="O9" s="768"/>
      <c r="P9" s="768"/>
      <c r="Q9" s="159">
        <v>15</v>
      </c>
      <c r="R9" s="160">
        <v>3.7499999999999999E-2</v>
      </c>
      <c r="S9" s="1" t="s">
        <v>143</v>
      </c>
    </row>
    <row r="10" spans="1:19" ht="20.149999999999999" customHeight="1" thickTop="1" x14ac:dyDescent="0.35">
      <c r="A10" s="94">
        <f t="shared" si="0"/>
        <v>8</v>
      </c>
      <c r="B10" s="95" t="s">
        <v>316</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153</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163</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166</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317</v>
      </c>
      <c r="C16" s="96" t="s">
        <v>51</v>
      </c>
      <c r="D16" s="370">
        <v>2.25</v>
      </c>
      <c r="E16" s="371" t="s">
        <v>56</v>
      </c>
      <c r="F16" s="164">
        <v>4</v>
      </c>
      <c r="I16" s="32">
        <f>I15+1</f>
        <v>9</v>
      </c>
      <c r="J16" s="33" t="s">
        <v>36</v>
      </c>
      <c r="K16" s="35"/>
      <c r="L16" s="35"/>
      <c r="M16" s="36"/>
    </row>
    <row r="17" spans="1:15" ht="20.149999999999999" customHeight="1" thickBot="1" x14ac:dyDescent="0.4">
      <c r="A17" s="364">
        <v>15</v>
      </c>
      <c r="B17" s="365" t="s">
        <v>164</v>
      </c>
      <c r="C17" s="366" t="s">
        <v>51</v>
      </c>
      <c r="D17" s="372"/>
      <c r="E17" s="373" t="s">
        <v>56</v>
      </c>
      <c r="F17" s="367">
        <v>5</v>
      </c>
      <c r="I17" s="32"/>
      <c r="J17" s="134" t="s">
        <v>71</v>
      </c>
      <c r="K17" s="165">
        <v>100</v>
      </c>
      <c r="L17" s="48" t="s">
        <v>81</v>
      </c>
      <c r="M17" s="49">
        <f>IF(Working!H8=Administration!C12,700,350)</f>
        <v>350</v>
      </c>
    </row>
    <row r="18" spans="1:15" ht="20.149999999999999" customHeight="1" thickTop="1" thickBot="1" x14ac:dyDescent="0.4">
      <c r="A18" s="51">
        <v>1</v>
      </c>
      <c r="B18" s="39"/>
      <c r="C18" s="39"/>
      <c r="D18" s="39"/>
      <c r="E18" s="39"/>
      <c r="F18" s="39"/>
      <c r="I18" s="32"/>
      <c r="J18" s="134" t="s">
        <v>520</v>
      </c>
      <c r="K18" s="165">
        <v>250</v>
      </c>
      <c r="L18" s="50" t="s">
        <v>82</v>
      </c>
      <c r="M18" s="49">
        <f>IF(Working!H8=Administration!C12,100,650)</f>
        <v>650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759" t="s">
        <v>128</v>
      </c>
      <c r="N19" s="760"/>
      <c r="O19" s="54" t="s">
        <v>114</v>
      </c>
    </row>
    <row r="20" spans="1:15" ht="20.149999999999999" customHeight="1" thickTop="1" thickBot="1" x14ac:dyDescent="0.4">
      <c r="A20" s="143"/>
      <c r="B20" s="144" t="s">
        <v>172</v>
      </c>
      <c r="C20" s="145" t="s">
        <v>51</v>
      </c>
      <c r="D20" s="167">
        <v>0</v>
      </c>
      <c r="E20" s="346" t="s">
        <v>56</v>
      </c>
      <c r="F20" s="347" t="s">
        <v>114</v>
      </c>
      <c r="G20" s="617">
        <f>IF(F20="Yes",D20,0)</f>
        <v>0</v>
      </c>
      <c r="H20" s="617"/>
      <c r="I20" s="28"/>
      <c r="J20" s="29"/>
      <c r="K20" s="155"/>
      <c r="L20" s="30"/>
      <c r="M20" s="220"/>
      <c r="N20" s="72"/>
    </row>
    <row r="21" spans="1:15" ht="20.149999999999999" customHeight="1" thickTop="1" thickBot="1" x14ac:dyDescent="0.4">
      <c r="A21" s="44"/>
      <c r="B21" s="45" t="s">
        <v>80</v>
      </c>
      <c r="C21" s="46" t="s">
        <v>51</v>
      </c>
      <c r="D21" s="168">
        <v>18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2500000</v>
      </c>
      <c r="C25" s="85" t="s">
        <v>137</v>
      </c>
      <c r="I25" s="28"/>
      <c r="J25" s="30" t="s">
        <v>76</v>
      </c>
      <c r="K25" s="155">
        <v>150</v>
      </c>
      <c r="L25" s="56" t="s">
        <v>77</v>
      </c>
      <c r="M25" s="31"/>
    </row>
    <row r="26" spans="1:15" ht="20.149999999999999" customHeight="1" thickTop="1" thickBot="1" x14ac:dyDescent="0.4">
      <c r="A26" s="51">
        <v>3</v>
      </c>
      <c r="B26" s="52" t="s">
        <v>113</v>
      </c>
      <c r="F26" s="52" t="s">
        <v>395</v>
      </c>
      <c r="I26" s="32">
        <v>13</v>
      </c>
      <c r="J26" s="33" t="s">
        <v>83</v>
      </c>
      <c r="K26" s="35"/>
      <c r="L26" s="35"/>
      <c r="M26" s="49"/>
    </row>
    <row r="27" spans="1:15" ht="20.149999999999999" customHeight="1" thickTop="1" thickBot="1" x14ac:dyDescent="0.4">
      <c r="A27" s="53"/>
      <c r="B27" s="169">
        <v>28000000</v>
      </c>
      <c r="F27" s="769">
        <v>10</v>
      </c>
      <c r="G27" s="770"/>
      <c r="I27" s="60"/>
      <c r="J27" s="61" t="s">
        <v>84</v>
      </c>
      <c r="K27" s="165">
        <v>6</v>
      </c>
      <c r="L27" s="70" t="s">
        <v>88</v>
      </c>
      <c r="M27" s="49">
        <v>12</v>
      </c>
    </row>
    <row r="28" spans="1:15" ht="20.149999999999999" customHeight="1" thickTop="1" thickBot="1" x14ac:dyDescent="0.4">
      <c r="A28" s="51">
        <v>4</v>
      </c>
      <c r="B28" s="52" t="s">
        <v>115</v>
      </c>
      <c r="C28" s="784" t="s">
        <v>78</v>
      </c>
      <c r="D28" s="785"/>
      <c r="I28" s="60"/>
      <c r="J28" s="61" t="s">
        <v>87</v>
      </c>
      <c r="K28" s="165">
        <v>20</v>
      </c>
      <c r="L28" s="70" t="s">
        <v>89</v>
      </c>
      <c r="M28" s="49">
        <v>30</v>
      </c>
    </row>
    <row r="29" spans="1:15" ht="20.149999999999999" customHeight="1" thickTop="1" thickBot="1" x14ac:dyDescent="0.4">
      <c r="A29" s="51">
        <v>5</v>
      </c>
      <c r="B29" s="59" t="s">
        <v>116</v>
      </c>
      <c r="C29" s="769">
        <v>75</v>
      </c>
      <c r="D29" s="770"/>
      <c r="E29" s="786">
        <f>IF(OR(Working!H8=Administration!C7,Working!H8=Administration!C8),G29,0)</f>
        <v>0</v>
      </c>
      <c r="F29" s="787"/>
      <c r="G29" s="771">
        <v>1200000</v>
      </c>
      <c r="H29" s="772"/>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136</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134</v>
      </c>
      <c r="I37" s="32">
        <v>17</v>
      </c>
      <c r="J37" s="33" t="s">
        <v>2</v>
      </c>
      <c r="K37" s="34"/>
      <c r="L37" s="35"/>
      <c r="M37" s="36"/>
    </row>
    <row r="38" spans="1:13" ht="20.149999999999999" customHeight="1" thickTop="1" thickBot="1" x14ac:dyDescent="0.35">
      <c r="B38" s="83" t="s">
        <v>135</v>
      </c>
      <c r="C38" s="781">
        <v>0</v>
      </c>
      <c r="D38" s="782"/>
      <c r="E38" s="783"/>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781">
        <v>50000</v>
      </c>
      <c r="D40" s="782"/>
      <c r="E40" s="783"/>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158</v>
      </c>
      <c r="D42" s="68">
        <v>10</v>
      </c>
      <c r="I42" s="64"/>
      <c r="J42" s="67" t="s">
        <v>98</v>
      </c>
      <c r="K42" s="155">
        <v>4.5</v>
      </c>
      <c r="L42" s="30" t="s">
        <v>69</v>
      </c>
      <c r="M42" s="31"/>
    </row>
    <row r="43" spans="1:13" ht="17.149999999999999" customHeight="1" thickTop="1" thickBot="1" x14ac:dyDescent="0.4">
      <c r="A43" s="51">
        <v>11</v>
      </c>
      <c r="B43" s="788" t="s">
        <v>131</v>
      </c>
      <c r="D43" s="68" t="s">
        <v>114</v>
      </c>
      <c r="I43" s="64"/>
      <c r="J43" s="67" t="s">
        <v>99</v>
      </c>
      <c r="K43" s="155">
        <v>5.25</v>
      </c>
      <c r="L43" s="30" t="s">
        <v>69</v>
      </c>
      <c r="M43" s="31"/>
    </row>
    <row r="44" spans="1:13" ht="17.149999999999999" customHeight="1" thickTop="1" thickBot="1" x14ac:dyDescent="0.35">
      <c r="B44" s="788"/>
      <c r="I44" s="64"/>
      <c r="J44" s="67" t="s">
        <v>100</v>
      </c>
      <c r="K44" s="155">
        <v>6</v>
      </c>
      <c r="L44" s="30" t="s">
        <v>69</v>
      </c>
      <c r="M44" s="31"/>
    </row>
    <row r="45" spans="1:13" ht="17.149999999999999" customHeight="1" thickTop="1" thickBot="1" x14ac:dyDescent="0.4">
      <c r="A45" s="51">
        <v>12</v>
      </c>
      <c r="B45" s="63" t="s">
        <v>294</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780" t="s">
        <v>401</v>
      </c>
      <c r="D47" s="68" t="s">
        <v>114</v>
      </c>
      <c r="I47" s="64"/>
      <c r="J47" s="67" t="s">
        <v>103</v>
      </c>
      <c r="K47" s="155">
        <v>6.75</v>
      </c>
      <c r="L47" s="30" t="s">
        <v>69</v>
      </c>
      <c r="M47" s="31"/>
    </row>
    <row r="48" spans="1:13" ht="17.149999999999999" customHeight="1" thickTop="1" x14ac:dyDescent="0.3">
      <c r="B48" s="780"/>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263</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293</v>
      </c>
      <c r="I54" s="60"/>
      <c r="J54" s="37" t="s">
        <v>5</v>
      </c>
      <c r="K54" s="173">
        <v>1.5</v>
      </c>
      <c r="L54" s="37" t="s">
        <v>122</v>
      </c>
      <c r="M54" s="36"/>
    </row>
    <row r="55" spans="1:13" ht="20.149999999999999" customHeight="1" thickTop="1" thickBot="1" x14ac:dyDescent="0.35">
      <c r="B55" s="781">
        <v>15000</v>
      </c>
      <c r="C55" s="782"/>
      <c r="D55" s="783"/>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30" t="s">
        <v>362</v>
      </c>
      <c r="I57" s="28">
        <v>20</v>
      </c>
      <c r="J57" s="55" t="s">
        <v>123</v>
      </c>
      <c r="K57" s="155">
        <v>33.33</v>
      </c>
      <c r="L57" s="30" t="s">
        <v>69</v>
      </c>
      <c r="M57" s="31"/>
    </row>
    <row r="58" spans="1:13" ht="20.149999999999999" customHeight="1" thickTop="1" thickBot="1" x14ac:dyDescent="0.35">
      <c r="B58" s="425" t="s">
        <v>366</v>
      </c>
      <c r="D58" s="68" t="s">
        <v>78</v>
      </c>
      <c r="I58" s="32">
        <v>21</v>
      </c>
      <c r="J58" s="33" t="s">
        <v>228</v>
      </c>
      <c r="K58" s="35"/>
      <c r="L58" s="35"/>
      <c r="M58" s="36"/>
    </row>
    <row r="59" spans="1:13" ht="20.149999999999999" customHeight="1" thickTop="1" thickBot="1" x14ac:dyDescent="0.35">
      <c r="B59" s="425" t="s">
        <v>363</v>
      </c>
      <c r="D59" s="251">
        <v>15</v>
      </c>
      <c r="E59" s="1" t="s">
        <v>367</v>
      </c>
      <c r="I59" s="60"/>
      <c r="J59" s="35" t="s">
        <v>229</v>
      </c>
      <c r="K59" s="172">
        <v>0</v>
      </c>
      <c r="L59" s="227" t="s">
        <v>77</v>
      </c>
      <c r="M59" s="36"/>
    </row>
    <row r="60" spans="1:13" ht="20.149999999999999" customHeight="1" thickBot="1" x14ac:dyDescent="0.35">
      <c r="B60" s="425" t="s">
        <v>364</v>
      </c>
      <c r="D60" s="251">
        <v>15</v>
      </c>
      <c r="E60" s="1" t="s">
        <v>367</v>
      </c>
      <c r="I60" s="60"/>
      <c r="J60" s="35" t="s">
        <v>230</v>
      </c>
      <c r="K60" s="173">
        <v>0</v>
      </c>
      <c r="L60" s="227" t="s">
        <v>77</v>
      </c>
      <c r="M60" s="36"/>
    </row>
    <row r="61" spans="1:13" ht="20.149999999999999" customHeight="1" thickTop="1" thickBot="1" x14ac:dyDescent="0.35">
      <c r="A61" s="456"/>
      <c r="B61" s="457" t="s">
        <v>368</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9" t="s">
        <v>365</v>
      </c>
      <c r="D63" s="68" t="s">
        <v>78</v>
      </c>
      <c r="I63" s="60"/>
      <c r="J63" s="37" t="s">
        <v>224</v>
      </c>
      <c r="K63" s="173">
        <v>0</v>
      </c>
      <c r="L63" s="227" t="s">
        <v>77</v>
      </c>
      <c r="M63" s="36"/>
    </row>
    <row r="64" spans="1:13" ht="20.149999999999999" customHeight="1" thickTop="1" thickBot="1" x14ac:dyDescent="0.35">
      <c r="B64" s="425" t="s">
        <v>366</v>
      </c>
      <c r="D64" s="68" t="s">
        <v>78</v>
      </c>
      <c r="I64" s="60"/>
      <c r="J64" s="37" t="s">
        <v>231</v>
      </c>
      <c r="K64" s="173">
        <v>2500</v>
      </c>
      <c r="L64" s="227" t="s">
        <v>77</v>
      </c>
      <c r="M64" s="36"/>
    </row>
    <row r="65" spans="1:13" ht="20.149999999999999" customHeight="1" thickTop="1" thickBot="1" x14ac:dyDescent="0.35">
      <c r="I65" s="60"/>
      <c r="J65" s="37" t="s">
        <v>227</v>
      </c>
      <c r="K65" s="173">
        <v>2000</v>
      </c>
      <c r="L65" s="227" t="s">
        <v>77</v>
      </c>
      <c r="M65" s="36"/>
    </row>
    <row r="66" spans="1:13" ht="20.149999999999999" customHeight="1" thickTop="1" thickBot="1" x14ac:dyDescent="0.45">
      <c r="A66" s="51">
        <v>19</v>
      </c>
      <c r="B66" s="430" t="s">
        <v>369</v>
      </c>
      <c r="I66" s="60"/>
      <c r="J66" s="37" t="s">
        <v>232</v>
      </c>
      <c r="K66" s="173">
        <v>5000</v>
      </c>
      <c r="L66" s="227" t="s">
        <v>77</v>
      </c>
      <c r="M66" s="36"/>
    </row>
    <row r="67" spans="1:13" ht="20.149999999999999" customHeight="1" thickTop="1" thickBot="1" x14ac:dyDescent="0.35">
      <c r="B67" s="428" t="s">
        <v>370</v>
      </c>
      <c r="D67" s="68" t="s">
        <v>78</v>
      </c>
      <c r="I67" s="60"/>
      <c r="J67" s="37" t="s">
        <v>219</v>
      </c>
      <c r="K67" s="173">
        <v>2500</v>
      </c>
      <c r="L67" s="227" t="s">
        <v>77</v>
      </c>
      <c r="M67" s="36"/>
    </row>
    <row r="68" spans="1:13" ht="20.149999999999999" customHeight="1" thickTop="1" x14ac:dyDescent="0.3">
      <c r="A68" s="773" t="s">
        <v>435</v>
      </c>
      <c r="B68" s="774"/>
      <c r="C68" s="774"/>
      <c r="D68" s="774"/>
      <c r="E68" s="774"/>
      <c r="F68" s="774"/>
      <c r="G68" s="775"/>
      <c r="I68" s="60"/>
      <c r="J68" s="37" t="s">
        <v>269</v>
      </c>
      <c r="K68" s="173">
        <v>10</v>
      </c>
      <c r="L68" s="319">
        <v>5000</v>
      </c>
      <c r="M68" s="320" t="s">
        <v>282</v>
      </c>
    </row>
    <row r="69" spans="1:13" ht="20.149999999999999" customHeight="1" x14ac:dyDescent="0.3">
      <c r="A69" s="776"/>
      <c r="B69" s="777"/>
      <c r="C69" s="777"/>
      <c r="D69" s="777"/>
      <c r="E69" s="777"/>
      <c r="F69" s="777"/>
      <c r="G69" s="778"/>
      <c r="I69" s="60"/>
      <c r="J69" s="37" t="s">
        <v>209</v>
      </c>
      <c r="K69" s="173">
        <v>0</v>
      </c>
      <c r="L69" s="227" t="s">
        <v>77</v>
      </c>
      <c r="M69" s="36"/>
    </row>
    <row r="70" spans="1:13" ht="20.149999999999999" customHeight="1" thickBot="1" x14ac:dyDescent="0.35">
      <c r="I70" s="60"/>
      <c r="J70" s="37" t="s">
        <v>270</v>
      </c>
      <c r="K70" s="173">
        <v>0</v>
      </c>
      <c r="L70" s="227" t="s">
        <v>77</v>
      </c>
      <c r="M70" s="36"/>
    </row>
    <row r="71" spans="1:13" ht="20.149999999999999" customHeight="1" thickTop="1" thickBot="1" x14ac:dyDescent="0.35">
      <c r="B71" s="428" t="s">
        <v>371</v>
      </c>
      <c r="D71" s="68" t="s">
        <v>114</v>
      </c>
      <c r="I71" s="60"/>
      <c r="J71" s="37" t="s">
        <v>208</v>
      </c>
      <c r="K71" s="173">
        <v>0</v>
      </c>
      <c r="L71" s="227" t="s">
        <v>77</v>
      </c>
      <c r="M71" s="36"/>
    </row>
    <row r="72" spans="1:13" ht="20.149999999999999" customHeight="1" thickTop="1" x14ac:dyDescent="0.3">
      <c r="A72" s="773"/>
      <c r="B72" s="774"/>
      <c r="C72" s="774"/>
      <c r="D72" s="774"/>
      <c r="E72" s="774"/>
      <c r="F72" s="774"/>
      <c r="G72" s="775"/>
      <c r="I72" s="60"/>
      <c r="J72" s="37" t="s">
        <v>274</v>
      </c>
      <c r="K72" s="173">
        <v>0</v>
      </c>
      <c r="L72" s="227" t="s">
        <v>77</v>
      </c>
      <c r="M72" s="36"/>
    </row>
    <row r="73" spans="1:13" ht="20.149999999999999" customHeight="1" x14ac:dyDescent="0.3">
      <c r="A73" s="776"/>
      <c r="B73" s="777"/>
      <c r="C73" s="777"/>
      <c r="D73" s="777"/>
      <c r="E73" s="777"/>
      <c r="F73" s="777"/>
      <c r="G73" s="778"/>
      <c r="I73" s="60"/>
      <c r="J73" s="37" t="s">
        <v>275</v>
      </c>
      <c r="K73" s="173">
        <v>0</v>
      </c>
      <c r="L73" s="227" t="s">
        <v>77</v>
      </c>
      <c r="M73" s="36"/>
    </row>
    <row r="74" spans="1:13" ht="20.149999999999999" customHeight="1" thickBot="1" x14ac:dyDescent="0.35">
      <c r="I74" s="60"/>
      <c r="J74" s="37" t="s">
        <v>210</v>
      </c>
      <c r="K74" s="173">
        <v>0</v>
      </c>
      <c r="L74" s="227" t="s">
        <v>77</v>
      </c>
      <c r="M74" s="36"/>
    </row>
    <row r="75" spans="1:13" ht="20.149999999999999" customHeight="1" thickTop="1" thickBot="1" x14ac:dyDescent="0.35">
      <c r="B75" s="428" t="s">
        <v>372</v>
      </c>
      <c r="D75" s="68" t="s">
        <v>114</v>
      </c>
      <c r="F75" s="427">
        <v>0.25</v>
      </c>
      <c r="I75" s="60"/>
      <c r="J75" s="37" t="s">
        <v>214</v>
      </c>
      <c r="K75" s="173">
        <v>0</v>
      </c>
      <c r="L75" s="227" t="s">
        <v>77</v>
      </c>
      <c r="M75" s="36"/>
    </row>
    <row r="76" spans="1:13" ht="20.149999999999999" customHeight="1" thickTop="1" thickBot="1" x14ac:dyDescent="0.35">
      <c r="B76" s="425" t="s">
        <v>366</v>
      </c>
      <c r="D76" s="68" t="str">
        <f>IF(OR(Working!H14="Yes",Working!M12="Corporate"),"Yes","No")</f>
        <v>Yes</v>
      </c>
      <c r="I76" s="60"/>
      <c r="J76" s="547" t="s">
        <v>211</v>
      </c>
      <c r="K76" s="173">
        <v>3000</v>
      </c>
      <c r="L76" s="227" t="s">
        <v>77</v>
      </c>
      <c r="M76" s="36"/>
    </row>
    <row r="77" spans="1:13" ht="20.149999999999999" customHeight="1" thickTop="1" x14ac:dyDescent="0.3">
      <c r="I77" s="28">
        <v>22</v>
      </c>
      <c r="J77" s="55" t="s">
        <v>305</v>
      </c>
      <c r="K77" s="30"/>
      <c r="L77" s="30"/>
      <c r="M77" s="31"/>
    </row>
    <row r="78" spans="1:13" ht="20.149999999999999" customHeight="1" thickBot="1" x14ac:dyDescent="0.35">
      <c r="I78" s="64"/>
      <c r="J78" s="67" t="s">
        <v>315</v>
      </c>
      <c r="K78" s="356">
        <v>0.125</v>
      </c>
      <c r="L78" s="30" t="s">
        <v>306</v>
      </c>
      <c r="M78" s="31"/>
    </row>
    <row r="79" spans="1:13" ht="20.149999999999999" customHeight="1" thickTop="1" thickBot="1" x14ac:dyDescent="0.45">
      <c r="A79" s="51">
        <v>20</v>
      </c>
      <c r="B79" s="430" t="s">
        <v>396</v>
      </c>
      <c r="D79" s="68" t="s">
        <v>78</v>
      </c>
      <c r="I79" s="64"/>
      <c r="J79" s="67" t="s">
        <v>307</v>
      </c>
      <c r="K79" s="356">
        <v>0.25</v>
      </c>
      <c r="L79" s="30" t="s">
        <v>306</v>
      </c>
      <c r="M79" s="31"/>
    </row>
    <row r="80" spans="1:13" ht="20.149999999999999" customHeight="1" thickTop="1" thickBot="1" x14ac:dyDescent="0.35">
      <c r="I80" s="64"/>
      <c r="J80" s="67" t="s">
        <v>308</v>
      </c>
      <c r="K80" s="356">
        <v>0.375</v>
      </c>
      <c r="L80" s="30" t="s">
        <v>306</v>
      </c>
      <c r="M80" s="31"/>
    </row>
    <row r="81" spans="1:13" ht="20.149999999999999" customHeight="1" thickTop="1" thickBot="1" x14ac:dyDescent="0.4">
      <c r="A81" s="51">
        <v>24</v>
      </c>
      <c r="B81" s="536" t="s">
        <v>407</v>
      </c>
      <c r="D81" s="68" t="s">
        <v>114</v>
      </c>
      <c r="F81" s="68">
        <v>1000</v>
      </c>
      <c r="I81" s="64"/>
      <c r="J81" s="67" t="s">
        <v>301</v>
      </c>
      <c r="K81" s="356">
        <v>0.5</v>
      </c>
      <c r="L81" s="30" t="s">
        <v>69</v>
      </c>
      <c r="M81" s="31"/>
    </row>
    <row r="82" spans="1:13" ht="20.149999999999999" customHeight="1" thickTop="1" thickBot="1" x14ac:dyDescent="0.35">
      <c r="B82" s="545" t="s">
        <v>409</v>
      </c>
      <c r="I82" s="64"/>
      <c r="J82" s="67" t="s">
        <v>309</v>
      </c>
      <c r="K82" s="356">
        <v>0.625</v>
      </c>
      <c r="L82" s="30" t="s">
        <v>69</v>
      </c>
      <c r="M82" s="31"/>
    </row>
    <row r="83" spans="1:13" ht="20.149999999999999" customHeight="1" thickTop="1" thickBot="1" x14ac:dyDescent="0.35">
      <c r="B83" s="546" t="s">
        <v>222</v>
      </c>
      <c r="D83" s="68">
        <v>2500</v>
      </c>
      <c r="I83" s="64"/>
      <c r="J83" s="67" t="s">
        <v>304</v>
      </c>
      <c r="K83" s="356">
        <v>0.75</v>
      </c>
      <c r="L83" s="30" t="s">
        <v>69</v>
      </c>
      <c r="M83" s="31"/>
    </row>
    <row r="84" spans="1:13" ht="20.149999999999999" customHeight="1" thickTop="1" x14ac:dyDescent="0.3">
      <c r="I84" s="64"/>
      <c r="J84" s="67" t="s">
        <v>310</v>
      </c>
      <c r="K84" s="356">
        <v>0.75</v>
      </c>
      <c r="L84" s="30" t="s">
        <v>69</v>
      </c>
      <c r="M84" s="31"/>
    </row>
    <row r="85" spans="1:13" ht="20.149999999999999" customHeight="1" thickBot="1" x14ac:dyDescent="0.35">
      <c r="I85" s="64"/>
      <c r="J85" s="67" t="s">
        <v>311</v>
      </c>
      <c r="K85" s="356">
        <v>0.875</v>
      </c>
      <c r="L85" s="30" t="s">
        <v>306</v>
      </c>
      <c r="M85" s="31"/>
    </row>
    <row r="86" spans="1:13" ht="20.149999999999999" customHeight="1" thickTop="1" thickBot="1" x14ac:dyDescent="0.4">
      <c r="A86" s="51">
        <v>25</v>
      </c>
      <c r="B86" s="536" t="s">
        <v>412</v>
      </c>
      <c r="D86" s="554" t="s">
        <v>414</v>
      </c>
      <c r="E86" s="554"/>
      <c r="F86" s="554" t="s">
        <v>0</v>
      </c>
      <c r="I86" s="64"/>
      <c r="J86" s="67" t="s">
        <v>303</v>
      </c>
      <c r="K86" s="356">
        <v>0.875</v>
      </c>
      <c r="L86" s="30" t="s">
        <v>306</v>
      </c>
      <c r="M86" s="31"/>
    </row>
    <row r="87" spans="1:13" ht="20.149999999999999" customHeight="1" thickTop="1" x14ac:dyDescent="0.3">
      <c r="B87" s="552" t="s">
        <v>60</v>
      </c>
      <c r="D87" s="555">
        <f>IF(OR(Working!K14=Working!F108,Working!K14=Working!F115),1,IF(Working!K14=Working!F100,0,IF(Working!K14=Working!F113,0,IF(Working!K14=Working!F98,Rates!D98,0))))</f>
        <v>0</v>
      </c>
      <c r="E87" s="556"/>
      <c r="F87" s="555">
        <f>IF(Working!K14=Working!F100,10,IF(Working!K14=Working!F113,10,IF(Working!K14=Working!F98,Rates!F98,15)))</f>
        <v>15</v>
      </c>
      <c r="I87" s="64"/>
      <c r="J87" s="67" t="s">
        <v>312</v>
      </c>
      <c r="K87" s="354">
        <v>1</v>
      </c>
      <c r="L87" s="30" t="s">
        <v>306</v>
      </c>
      <c r="M87" s="31"/>
    </row>
    <row r="88" spans="1:13" ht="20.149999999999999" customHeight="1" x14ac:dyDescent="0.3">
      <c r="B88" s="552" t="s">
        <v>413</v>
      </c>
      <c r="D88" s="555">
        <f>IF(OR(Working!K14=Working!F108,Working!K14=Working!F115),0,IF(Working!K14=Working!F113,D92,IF(OR(Working!K14=Working!F103,Working!K14=Working!F119),D104,0)))</f>
        <v>0</v>
      </c>
      <c r="E88" s="556"/>
      <c r="F88" s="555">
        <f>IF(OR(Working!K14=Working!F108,Working!K14=Working!F115),15,IF(Working!K14=Working!F113,F92,IF(OR(Working!K14=Working!F103,Working!K14=Working!F119),F104,15)))</f>
        <v>15</v>
      </c>
      <c r="I88" s="64"/>
      <c r="J88" s="67" t="s">
        <v>313</v>
      </c>
      <c r="K88" s="354">
        <v>1</v>
      </c>
      <c r="L88" s="30" t="s">
        <v>306</v>
      </c>
      <c r="M88" s="31"/>
    </row>
    <row r="89" spans="1:13" ht="20.149999999999999" customHeight="1" x14ac:dyDescent="0.3">
      <c r="I89" s="64"/>
      <c r="J89" s="67" t="s">
        <v>314</v>
      </c>
      <c r="K89" s="354">
        <v>1</v>
      </c>
      <c r="L89" s="30" t="s">
        <v>306</v>
      </c>
      <c r="M89" s="31"/>
    </row>
    <row r="90" spans="1:13" ht="20.149999999999999" customHeight="1" x14ac:dyDescent="0.3">
      <c r="B90" s="553"/>
      <c r="I90" s="64"/>
      <c r="J90" s="67" t="s">
        <v>302</v>
      </c>
      <c r="K90" s="354">
        <v>1</v>
      </c>
      <c r="L90" s="30" t="s">
        <v>306</v>
      </c>
      <c r="M90" s="31"/>
    </row>
    <row r="91" spans="1:13" ht="20.149999999999999" customHeight="1" x14ac:dyDescent="0.3">
      <c r="B91" s="568" t="s">
        <v>433</v>
      </c>
      <c r="C91" s="568"/>
      <c r="D91" s="569" t="s">
        <v>414</v>
      </c>
      <c r="E91" s="569"/>
      <c r="F91" s="569" t="s">
        <v>0</v>
      </c>
      <c r="I91" s="64"/>
      <c r="J91" s="67"/>
      <c r="K91" s="155"/>
      <c r="L91" s="30"/>
      <c r="M91" s="31"/>
    </row>
    <row r="92" spans="1:13" ht="20.149999999999999" customHeight="1" x14ac:dyDescent="0.3">
      <c r="B92" s="572" t="s">
        <v>434</v>
      </c>
      <c r="D92" s="555">
        <f>IF(Working!H9="Hiring",Rates!D95,Rates!F95)</f>
        <v>10</v>
      </c>
      <c r="E92" s="556"/>
      <c r="F92" s="555">
        <f>IF(Working!H9="Hiring",Rates!D96,Rates!F96)</f>
        <v>38.32</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3" t="s">
        <v>414</v>
      </c>
      <c r="D95" s="1">
        <v>33.799999999999997</v>
      </c>
      <c r="F95" s="1">
        <v>10</v>
      </c>
    </row>
    <row r="96" spans="1:13" ht="20.149999999999999" customHeight="1" x14ac:dyDescent="0.25">
      <c r="B96" s="570" t="s">
        <v>0</v>
      </c>
      <c r="C96" s="19"/>
      <c r="D96" s="19">
        <v>65</v>
      </c>
      <c r="E96" s="19"/>
      <c r="F96" s="19">
        <v>38.32</v>
      </c>
    </row>
    <row r="97" spans="2:6" ht="20.149999999999999" customHeight="1" x14ac:dyDescent="0.3">
      <c r="B97" s="571" t="s">
        <v>437</v>
      </c>
      <c r="C97" s="568"/>
      <c r="D97" s="569" t="s">
        <v>414</v>
      </c>
      <c r="E97" s="569"/>
      <c r="F97" s="569" t="s">
        <v>0</v>
      </c>
    </row>
    <row r="98" spans="2:6" ht="20.149999999999999" customHeight="1" x14ac:dyDescent="0.3">
      <c r="B98" s="572" t="s">
        <v>436</v>
      </c>
      <c r="D98" s="555">
        <v>0</v>
      </c>
      <c r="E98" s="556"/>
      <c r="F98" s="555">
        <v>15</v>
      </c>
    </row>
    <row r="99" spans="2:6" ht="20.149999999999999" customHeight="1" x14ac:dyDescent="0.25">
      <c r="D99" s="574" t="s">
        <v>438</v>
      </c>
      <c r="F99" s="573" t="s">
        <v>439</v>
      </c>
    </row>
    <row r="100" spans="2:6" ht="20.149999999999999" customHeight="1" x14ac:dyDescent="0.25">
      <c r="B100" s="563" t="s">
        <v>444</v>
      </c>
      <c r="D100" s="1">
        <v>0</v>
      </c>
      <c r="F100" s="1">
        <v>0</v>
      </c>
    </row>
    <row r="101" spans="2:6" ht="20.149999999999999" customHeight="1" x14ac:dyDescent="0.25">
      <c r="B101" s="570" t="s">
        <v>445</v>
      </c>
      <c r="C101" s="19"/>
      <c r="D101" s="19">
        <v>15</v>
      </c>
      <c r="E101" s="19"/>
      <c r="F101" s="19">
        <v>15</v>
      </c>
    </row>
    <row r="102" spans="2:6" ht="20.149999999999999" customHeight="1" x14ac:dyDescent="0.25">
      <c r="B102" s="570"/>
      <c r="C102" s="19"/>
      <c r="D102" s="19"/>
      <c r="E102" s="19"/>
      <c r="F102" s="19"/>
    </row>
    <row r="103" spans="2:6" ht="23.25" customHeight="1" x14ac:dyDescent="0.3">
      <c r="B103" s="575" t="s">
        <v>442</v>
      </c>
      <c r="C103" s="568"/>
      <c r="D103" s="569" t="s">
        <v>414</v>
      </c>
      <c r="E103" s="569"/>
      <c r="F103" s="569" t="s">
        <v>0</v>
      </c>
    </row>
    <row r="104" spans="2:6" ht="20.149999999999999" customHeight="1" x14ac:dyDescent="0.3">
      <c r="B104" s="572" t="s">
        <v>434</v>
      </c>
      <c r="D104" s="555">
        <v>33</v>
      </c>
      <c r="E104" s="556"/>
      <c r="F104" s="555">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169"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3" customWidth="1"/>
    <col min="2" max="3" width="10.453125" style="383" customWidth="1"/>
    <col min="4" max="4" width="1.54296875" style="383" customWidth="1"/>
    <col min="5" max="5" width="3.54296875" style="383" customWidth="1"/>
    <col min="6" max="6" width="10.1796875" style="383" customWidth="1"/>
    <col min="7" max="7" width="5.453125" style="383" customWidth="1"/>
    <col min="8" max="8" width="4.1796875" style="383" customWidth="1"/>
    <col min="9" max="9" width="3.54296875" style="383" customWidth="1"/>
    <col min="10" max="10" width="10.1796875" style="383" customWidth="1"/>
    <col min="11" max="11" width="6.54296875" style="383" customWidth="1"/>
    <col min="12" max="12" width="9.54296875" style="383" customWidth="1"/>
    <col min="13" max="13" width="2.453125" style="383" customWidth="1"/>
    <col min="14" max="14" width="10.54296875" style="383" customWidth="1"/>
    <col min="15" max="15" width="13.54296875" style="383" customWidth="1"/>
    <col min="16" max="16" width="9.453125" style="383" bestFit="1" customWidth="1"/>
    <col min="17" max="19" width="9.1796875" style="383"/>
    <col min="20" max="20" width="11.453125" style="383" customWidth="1"/>
    <col min="21" max="21" width="10.453125" style="383" bestFit="1" customWidth="1"/>
    <col min="22" max="16384" width="9.1796875" style="383"/>
  </cols>
  <sheetData>
    <row r="1" spans="1:24" ht="20.149999999999999" customHeight="1" x14ac:dyDescent="0.3">
      <c r="A1" s="789"/>
      <c r="B1" s="790"/>
      <c r="C1" s="790"/>
      <c r="D1" s="790"/>
      <c r="E1" s="790"/>
      <c r="F1" s="790"/>
      <c r="G1" s="790"/>
      <c r="H1" s="790"/>
      <c r="I1" s="790"/>
      <c r="J1" s="421"/>
      <c r="K1" s="421"/>
      <c r="L1" s="421"/>
      <c r="M1" s="422"/>
      <c r="R1" s="406" t="s">
        <v>326</v>
      </c>
      <c r="S1" s="406">
        <f>IF(O3&gt;DATE(Working!I4,2,28),K3,Working!I4)</f>
        <v>2014</v>
      </c>
      <c r="T1" s="383">
        <f>IF(OR(S1=2008,S1=2012,S1=2016,S1=2020),366,365)</f>
        <v>365</v>
      </c>
      <c r="U1" s="423" t="s">
        <v>221</v>
      </c>
      <c r="V1" s="423" t="s">
        <v>327</v>
      </c>
      <c r="W1" s="396" t="s">
        <v>328</v>
      </c>
    </row>
    <row r="2" spans="1:24" ht="20.149999999999999" customHeight="1" thickBot="1" x14ac:dyDescent="0.3">
      <c r="A2" s="404"/>
      <c r="B2" s="405"/>
      <c r="C2" s="405"/>
      <c r="D2" s="405"/>
      <c r="E2" s="405"/>
      <c r="F2" s="405"/>
      <c r="G2" s="405"/>
      <c r="H2" s="406"/>
      <c r="I2" s="406"/>
      <c r="J2" s="406"/>
      <c r="K2" s="406"/>
      <c r="L2" s="406"/>
      <c r="M2" s="407"/>
      <c r="O2" s="396" t="s">
        <v>205</v>
      </c>
      <c r="P2" s="396" t="s">
        <v>204</v>
      </c>
      <c r="Q2" s="396"/>
      <c r="R2" s="383" t="s">
        <v>329</v>
      </c>
      <c r="S2" s="383">
        <f>IF(OR(Working!I4=2008,Working!I4=2012,Working!I4=2016,Working!I4=2020),29,28)</f>
        <v>28</v>
      </c>
      <c r="T2" s="383">
        <f>IF(OR(K3=2008,K3=2012,K3=2016,K3=2020),29,28)</f>
        <v>28</v>
      </c>
      <c r="U2" s="396">
        <f>IF(AND(Working!G4=1,Working!H4="January"),Working!I4,Working!I4+1)</f>
        <v>2014</v>
      </c>
      <c r="V2" s="383" t="str">
        <f>IF(Working!G4-1=0,V4,Working!H4)</f>
        <v>August</v>
      </c>
      <c r="W2" s="383">
        <f>IF(Working!G4-1=0,W4,Working!G4-1)</f>
        <v>23</v>
      </c>
    </row>
    <row r="3" spans="1:24" ht="15.75" customHeight="1" thickBot="1" x14ac:dyDescent="0.3">
      <c r="A3" s="404"/>
      <c r="B3" s="405"/>
      <c r="C3" s="405"/>
      <c r="D3" s="405"/>
      <c r="E3" s="405"/>
      <c r="F3" s="405"/>
      <c r="G3" s="405"/>
      <c r="H3" s="408" t="s">
        <v>330</v>
      </c>
      <c r="I3" s="409">
        <f>W2</f>
        <v>23</v>
      </c>
      <c r="J3" s="409" t="str">
        <f>V2</f>
        <v>August</v>
      </c>
      <c r="K3" s="409">
        <f>U2</f>
        <v>2014</v>
      </c>
      <c r="L3" s="406"/>
      <c r="M3" s="407"/>
      <c r="O3" s="397">
        <f>DATE(Working!I4,P3,Working!G4)</f>
        <v>41510</v>
      </c>
      <c r="P3" s="383">
        <f>IF(Working!H4="January",1,IF(Working!H4="February",2,IF(Working!H4="March",3,IF(Working!H4="April",4,IF(Working!H4="May",5,IF(Working!H4="June",6,IF(Working!H4="July",7,IF(Working!H4="August",8,Q3))))))))</f>
        <v>8</v>
      </c>
      <c r="Q3" s="383">
        <f>IF(Working!H4="September",9,IF(Working!H4="October",10,IF(Working!H4="November",11,12)))</f>
        <v>12</v>
      </c>
      <c r="R3" s="383" t="s">
        <v>331</v>
      </c>
      <c r="S3" s="383">
        <f>IF(AND(P3=2,Working!G4&gt;S2),0,IF(AND(P3=4,Working!G4&gt;30),0,IF(AND(P3=6,Working!G4&gt;30),0,IF(AND(P3=9,Working!G4&gt;30),0,IF(AND(P3=11,Working!G4&gt;30),0,1)))))</f>
        <v>1</v>
      </c>
    </row>
    <row r="4" spans="1:24" ht="15.75" customHeight="1" x14ac:dyDescent="0.25">
      <c r="A4" s="404"/>
      <c r="B4" s="405"/>
      <c r="C4" s="405"/>
      <c r="D4" s="405"/>
      <c r="E4" s="405"/>
      <c r="F4" s="405"/>
      <c r="G4" s="405"/>
      <c r="H4" s="406"/>
      <c r="I4" s="410"/>
      <c r="J4" s="410"/>
      <c r="K4" s="410"/>
      <c r="L4" s="410"/>
      <c r="M4" s="411"/>
      <c r="N4" s="398"/>
      <c r="O4" s="397">
        <f>DATE(K3,P4,I3)</f>
        <v>41874</v>
      </c>
      <c r="P4" s="383">
        <f>IF(J3="January",1,IF(J3="February",2,IF(J3="March",3,IF(J3="April",4,IF(J3="May",5,IF(J3="June",6,IF(J3="July",7,IF(J3="August",8,Q4))))))))</f>
        <v>8</v>
      </c>
      <c r="Q4" s="383">
        <f>IF(J3="September",9,IF(J3="October",10,IF(J3="November",11,12)))</f>
        <v>12</v>
      </c>
      <c r="R4" s="383" t="s">
        <v>331</v>
      </c>
      <c r="S4" s="383">
        <f>IF(AND(P4=2,I3&gt;S2),0,IF(AND(P4=4,I3&gt;30),0,IF(AND(P4=6,I3&gt;30),0,IF(AND(P4=9,I3&gt;30),0,IF(AND(P4=11,I3&gt;30),0,1)))))</f>
        <v>1</v>
      </c>
      <c r="T4" s="399" t="s">
        <v>332</v>
      </c>
      <c r="U4" s="383">
        <f>IF(Working!$H$4="January",31,IF(Working!$H$4="February",S2,IF(Working!$H$4="March",31,IF(Working!$H$4="April",30,IF(Working!$H$4="May",31,IF(Working!$H$4="June",30,IF(Working!$H$4="July",31,IF(Working!$H$4="August",31,U5))))))))</f>
        <v>31</v>
      </c>
      <c r="V4" s="383" t="str">
        <f>IF(Working!$H$4="January","December",IF(Working!$H$4="February","January",IF(Working!$H$4="March","February",IF(Working!$H$4="April","March",IF(Working!$H$4="May","April",IF(Working!$H$4="June","May",IF(Working!$H$4="July","June",IF(Working!$H$4="August","July",V5))))))))</f>
        <v>July</v>
      </c>
      <c r="W4" s="383">
        <f>IF(V4="January",31,IF(V4="February",T2,IF(V4="March",31,IF(V4="April",30,IF(V4="May",31,IF(V4="June",30,IF(V4="July",31,IF(V4="August",31,W5))))))))</f>
        <v>31</v>
      </c>
    </row>
    <row r="5" spans="1:24" ht="12.75" customHeight="1" thickBot="1" x14ac:dyDescent="0.3">
      <c r="A5" s="404"/>
      <c r="B5" s="405"/>
      <c r="C5" s="405"/>
      <c r="D5" s="405"/>
      <c r="E5" s="405"/>
      <c r="F5" s="405"/>
      <c r="G5" s="405"/>
      <c r="H5" s="412"/>
      <c r="I5" s="793" t="str">
        <f>IF(Working!H3="Short period","Period Used (only for Short Period)","")</f>
        <v/>
      </c>
      <c r="J5" s="793"/>
      <c r="K5" s="793"/>
      <c r="L5" s="793"/>
      <c r="M5" s="411"/>
      <c r="N5" s="400"/>
      <c r="O5" s="397"/>
      <c r="U5" s="383">
        <f>IF(Working!$H$4="September",30,IF(Working!$H$4="October",31,IF(Working!$H$4="November",30,31)))</f>
        <v>31</v>
      </c>
      <c r="V5" s="383" t="str">
        <f>IF(Working!$H$4="September","August",IF(Working!$H$4="October","September",IF(Working!$H$4="November","October","November")))</f>
        <v>November</v>
      </c>
      <c r="W5" s="383">
        <f>IF(V4="September",30,IF(V4="October",31,IF(V4="November",30,31)))</f>
        <v>31</v>
      </c>
    </row>
    <row r="6" spans="1:24" ht="13.5" customHeight="1" thickBot="1" x14ac:dyDescent="0.3">
      <c r="A6" s="404"/>
      <c r="B6" s="405"/>
      <c r="C6" s="405"/>
      <c r="D6" s="405"/>
      <c r="E6" s="405"/>
      <c r="F6" s="405"/>
      <c r="G6" s="405"/>
      <c r="H6" s="413"/>
      <c r="I6" s="79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795"/>
      <c r="K6" s="795"/>
      <c r="L6" s="796"/>
      <c r="M6" s="407"/>
      <c r="O6" s="397">
        <f>DATE(Working!I5,P6,Working!G5)</f>
        <v>41606</v>
      </c>
      <c r="P6" s="383">
        <f>IF(Working!H5="January",1,IF(Working!H5="February",2,IF(Working!H5="March",3,IF(Working!H5="April",4,IF(Working!H5="May",5,IF(Working!H5="June",6,IF(Working!H5="July",7,IF(Working!H5="August",8,Q6))))))))</f>
        <v>11</v>
      </c>
      <c r="Q6" s="383">
        <f>IF(Working!H5="September",9,IF(Working!H5="October",10,IF(Working!H5="November",11,12)))</f>
        <v>11</v>
      </c>
      <c r="R6" s="383" t="s">
        <v>331</v>
      </c>
      <c r="S6" s="383">
        <f>IF(AND(P6=2,Working!G5&gt;S2),0,IF(AND(P6=4,Working!G5&gt;30),0,IF(AND(P6=6,Working!G5&gt;30),0,IF(AND(P6=9,Working!G5&gt;30),0,IF(AND(P6=11,Working!G5&gt;30),0,1)))))</f>
        <v>1</v>
      </c>
    </row>
    <row r="7" spans="1:24" ht="15" customHeight="1" thickBot="1" x14ac:dyDescent="0.3">
      <c r="A7" s="404"/>
      <c r="B7" s="405"/>
      <c r="C7" s="405"/>
      <c r="D7" s="405"/>
      <c r="E7" s="405"/>
      <c r="F7" s="405"/>
      <c r="G7" s="405"/>
      <c r="H7" s="413"/>
      <c r="I7" s="406"/>
      <c r="J7" s="413"/>
      <c r="K7" s="406"/>
      <c r="L7" s="406"/>
      <c r="M7" s="407"/>
      <c r="O7" s="396" t="s">
        <v>334</v>
      </c>
    </row>
    <row r="8" spans="1:24" ht="16.5" customHeight="1" thickBot="1" x14ac:dyDescent="0.3">
      <c r="A8" s="404"/>
      <c r="B8" s="405"/>
      <c r="C8" s="405"/>
      <c r="D8" s="414"/>
      <c r="E8" s="414" t="s">
        <v>335</v>
      </c>
      <c r="F8" s="406"/>
      <c r="G8" s="413"/>
      <c r="H8" s="415">
        <f>T1-P8</f>
        <v>268</v>
      </c>
      <c r="I8" s="414" t="s">
        <v>336</v>
      </c>
      <c r="J8" s="413"/>
      <c r="K8" s="406"/>
      <c r="L8" s="406"/>
      <c r="M8" s="407"/>
      <c r="O8" s="401">
        <f>((O4-O3))*S3*S4</f>
        <v>364</v>
      </c>
      <c r="P8" s="401">
        <f>(O6-O3)+1</f>
        <v>97</v>
      </c>
    </row>
    <row r="9" spans="1:24" ht="14.25" customHeight="1" thickBot="1" x14ac:dyDescent="0.3">
      <c r="A9" s="404"/>
      <c r="B9" s="405"/>
      <c r="C9" s="405"/>
      <c r="D9" s="406"/>
      <c r="E9" s="414" t="s">
        <v>355</v>
      </c>
      <c r="F9" s="413"/>
      <c r="G9" s="413"/>
      <c r="H9" s="416">
        <f>P8</f>
        <v>97</v>
      </c>
      <c r="I9" s="414"/>
      <c r="J9" s="417">
        <f>IF(Working!H3="Short Period",Calculation!O12,Calculation!O14)*Calculation!S3*Calculation!S4*Calculation!S6*Calculation!N11</f>
        <v>0.26575342465753427</v>
      </c>
      <c r="K9" s="406"/>
      <c r="L9" s="406"/>
      <c r="M9" s="407"/>
      <c r="N9" s="402" t="s">
        <v>331</v>
      </c>
      <c r="O9" s="383">
        <f>IF(OR(O8&lt;1,O8&gt;90),0,1)</f>
        <v>0</v>
      </c>
      <c r="V9" s="396" t="s">
        <v>203</v>
      </c>
      <c r="W9" s="383" t="s">
        <v>204</v>
      </c>
      <c r="X9" s="383" t="s">
        <v>205</v>
      </c>
    </row>
    <row r="10" spans="1:24" ht="20.149999999999999" customHeight="1" x14ac:dyDescent="0.25">
      <c r="A10" s="404"/>
      <c r="B10" s="418"/>
      <c r="C10" s="418"/>
      <c r="D10" s="405"/>
      <c r="E10" s="405"/>
      <c r="F10" s="405"/>
      <c r="G10" s="405"/>
      <c r="H10" s="405"/>
      <c r="I10" s="405"/>
      <c r="J10" s="405"/>
      <c r="K10" s="406"/>
      <c r="L10" s="406"/>
      <c r="M10" s="407"/>
      <c r="T10" s="383" t="s">
        <v>337</v>
      </c>
      <c r="U10" s="397">
        <f>O3+6</f>
        <v>41516</v>
      </c>
    </row>
    <row r="11" spans="1:24" ht="15" customHeight="1" x14ac:dyDescent="0.25">
      <c r="A11" s="404"/>
      <c r="B11" s="405"/>
      <c r="C11" s="405"/>
      <c r="D11" s="405"/>
      <c r="E11" s="405"/>
      <c r="F11" s="405"/>
      <c r="G11" s="405"/>
      <c r="H11" s="405"/>
      <c r="I11" s="405"/>
      <c r="J11" s="405"/>
      <c r="K11" s="405"/>
      <c r="L11" s="405"/>
      <c r="M11" s="405"/>
      <c r="N11" s="383">
        <f>IF(OR(S6=0,OR(O6&lt;O3,O6&gt;=O4)),0,1)</f>
        <v>1</v>
      </c>
      <c r="O11" s="403"/>
      <c r="T11" s="383" t="s">
        <v>338</v>
      </c>
      <c r="U11" s="397">
        <f>DATE(YEAR($O$3),MONTH($O$3)+1,DAY($O$3))</f>
        <v>41541</v>
      </c>
      <c r="V11" s="383">
        <v>2008</v>
      </c>
      <c r="W11" s="396">
        <f>MONTH(O3)</f>
        <v>8</v>
      </c>
      <c r="X11" s="384">
        <f>IF(Working!G4-1=0,W2,Working!G4-1)</f>
        <v>23</v>
      </c>
    </row>
    <row r="12" spans="1:24" ht="15" customHeight="1" x14ac:dyDescent="0.25">
      <c r="A12" s="404"/>
      <c r="B12" s="405"/>
      <c r="C12" s="405"/>
      <c r="D12" s="405"/>
      <c r="E12" s="405"/>
      <c r="F12" s="405"/>
      <c r="G12" s="405"/>
      <c r="H12" s="405"/>
      <c r="I12" s="405"/>
      <c r="J12" s="405"/>
      <c r="K12" s="405"/>
      <c r="L12" s="405"/>
      <c r="M12" s="405"/>
      <c r="N12" s="799" t="s">
        <v>339</v>
      </c>
      <c r="O12" s="797">
        <f>IF(I6="Not Exceeding 1 week",1/8,IF(I6="Not Exceeding 1 Month",1/4,IF(I6="Not Exceeding 2 Months",3/8,IF(I6="Not Exceeding 3 Months",1/2,IF(I6="Not Exceeding 4 Months",5/8,IF(I6="Not Exceeding 6 Months",3/4,IF(I6="Not Exceeding 8 Months",7/8,1)))))))</f>
        <v>0.625</v>
      </c>
      <c r="P12" s="383" t="s">
        <v>340</v>
      </c>
      <c r="Q12" s="384">
        <v>31</v>
      </c>
      <c r="T12" s="383" t="s">
        <v>341</v>
      </c>
      <c r="U12" s="397">
        <f>DATE(YEAR($O$3),MONTH($O$3)+2,DAY($O$3))</f>
        <v>41571</v>
      </c>
    </row>
    <row r="13" spans="1:24" ht="15" customHeight="1" x14ac:dyDescent="0.25">
      <c r="A13" s="404"/>
      <c r="B13" s="405"/>
      <c r="C13" s="405"/>
      <c r="D13" s="405"/>
      <c r="E13" s="405"/>
      <c r="F13" s="405"/>
      <c r="G13" s="405"/>
      <c r="H13" s="405"/>
      <c r="I13" s="405"/>
      <c r="J13" s="405"/>
      <c r="K13" s="405"/>
      <c r="L13" s="405"/>
      <c r="M13" s="405"/>
      <c r="N13" s="799"/>
      <c r="O13" s="797"/>
      <c r="P13" s="383" t="s">
        <v>329</v>
      </c>
      <c r="Q13" s="384">
        <f>S2</f>
        <v>28</v>
      </c>
      <c r="T13" s="383" t="s">
        <v>342</v>
      </c>
      <c r="U13" s="397">
        <f>DATE(YEAR($O$3),MONTH($O$3)+3,DAY($O$3))</f>
        <v>41602</v>
      </c>
    </row>
    <row r="14" spans="1:24" ht="15" customHeight="1" x14ac:dyDescent="0.25">
      <c r="A14" s="404"/>
      <c r="B14" s="405"/>
      <c r="C14" s="405"/>
      <c r="D14" s="405"/>
      <c r="E14" s="405"/>
      <c r="F14" s="405"/>
      <c r="G14" s="405"/>
      <c r="H14" s="405"/>
      <c r="I14" s="405"/>
      <c r="J14" s="405"/>
      <c r="K14" s="405"/>
      <c r="L14" s="405"/>
      <c r="M14" s="405"/>
      <c r="N14" s="799" t="s">
        <v>343</v>
      </c>
      <c r="O14" s="798">
        <f>P8/365</f>
        <v>0.26575342465753427</v>
      </c>
      <c r="P14" s="383" t="s">
        <v>321</v>
      </c>
      <c r="Q14" s="384">
        <v>31</v>
      </c>
      <c r="T14" s="383" t="s">
        <v>344</v>
      </c>
      <c r="U14" s="397">
        <f>DATE(YEAR($O$3),MONTH($O$3)+4,DAY($O$3))</f>
        <v>41632</v>
      </c>
    </row>
    <row r="15" spans="1:24" ht="15" customHeight="1" x14ac:dyDescent="0.25">
      <c r="A15" s="404"/>
      <c r="B15" s="405"/>
      <c r="C15" s="405"/>
      <c r="D15" s="405"/>
      <c r="E15" s="405"/>
      <c r="F15" s="405"/>
      <c r="G15" s="405"/>
      <c r="H15" s="405"/>
      <c r="I15" s="405"/>
      <c r="J15" s="405"/>
      <c r="K15" s="405"/>
      <c r="L15" s="405"/>
      <c r="M15" s="405"/>
      <c r="N15" s="799"/>
      <c r="O15" s="798"/>
      <c r="P15" s="383" t="s">
        <v>345</v>
      </c>
      <c r="Q15" s="384">
        <v>30</v>
      </c>
      <c r="T15" s="383" t="s">
        <v>346</v>
      </c>
      <c r="U15" s="397">
        <f>DATE(YEAR($O$3),MONTH($O$3)+6,DAY($O$3))</f>
        <v>41694</v>
      </c>
    </row>
    <row r="16" spans="1:24" ht="15" customHeight="1" x14ac:dyDescent="0.25">
      <c r="A16" s="404"/>
      <c r="B16" s="405"/>
      <c r="C16" s="405"/>
      <c r="D16" s="405"/>
      <c r="E16" s="405"/>
      <c r="F16" s="405"/>
      <c r="G16" s="405"/>
      <c r="H16" s="405"/>
      <c r="I16" s="405"/>
      <c r="J16" s="405"/>
      <c r="K16" s="405"/>
      <c r="L16" s="405"/>
      <c r="M16" s="405"/>
      <c r="O16" s="403"/>
      <c r="P16" s="383" t="s">
        <v>347</v>
      </c>
      <c r="Q16" s="384">
        <v>31</v>
      </c>
      <c r="T16" s="383" t="s">
        <v>348</v>
      </c>
      <c r="U16" s="397">
        <f>DATE(YEAR($O$3),MONTH($O$3)+8,DAY($O$3))</f>
        <v>41753</v>
      </c>
    </row>
    <row r="17" spans="1:21" ht="15" customHeight="1" x14ac:dyDescent="0.25">
      <c r="A17" s="404"/>
      <c r="B17" s="405"/>
      <c r="C17" s="405"/>
      <c r="D17" s="405"/>
      <c r="E17" s="405"/>
      <c r="F17" s="405"/>
      <c r="G17" s="405"/>
      <c r="H17" s="405"/>
      <c r="I17" s="405"/>
      <c r="J17" s="405"/>
      <c r="K17" s="405"/>
      <c r="L17" s="405"/>
      <c r="M17" s="405"/>
      <c r="O17" s="403"/>
      <c r="P17" s="383" t="s">
        <v>349</v>
      </c>
      <c r="Q17" s="384">
        <v>30</v>
      </c>
    </row>
    <row r="18" spans="1:21" ht="15" customHeight="1" x14ac:dyDescent="0.25">
      <c r="A18" s="404"/>
      <c r="B18" s="405"/>
      <c r="C18" s="405"/>
      <c r="D18" s="405"/>
      <c r="E18" s="405"/>
      <c r="F18" s="405"/>
      <c r="G18" s="405"/>
      <c r="H18" s="405"/>
      <c r="I18" s="405"/>
      <c r="J18" s="405"/>
      <c r="K18" s="405"/>
      <c r="L18" s="405"/>
      <c r="M18" s="405"/>
      <c r="N18" s="402"/>
      <c r="O18" s="403"/>
      <c r="P18" s="383" t="s">
        <v>333</v>
      </c>
      <c r="Q18" s="384">
        <v>31</v>
      </c>
      <c r="U18" s="383" t="str">
        <f>IF(AND(O6&gt;U16,O6&lt;=O4),"Exceeding 8 Months","Out of Period")</f>
        <v>Out of Period</v>
      </c>
    </row>
    <row r="19" spans="1:21" ht="15" customHeight="1" x14ac:dyDescent="0.25">
      <c r="A19" s="404"/>
      <c r="B19" s="405"/>
      <c r="C19" s="405"/>
      <c r="D19" s="405"/>
      <c r="E19" s="405"/>
      <c r="F19" s="405"/>
      <c r="G19" s="405"/>
      <c r="H19" s="405"/>
      <c r="I19" s="405"/>
      <c r="J19" s="405"/>
      <c r="K19" s="406"/>
      <c r="L19" s="406">
        <f>100-L18</f>
        <v>100</v>
      </c>
      <c r="M19" s="407"/>
      <c r="N19" s="402"/>
      <c r="O19" s="403"/>
      <c r="P19" s="383" t="s">
        <v>350</v>
      </c>
      <c r="Q19" s="384">
        <v>31</v>
      </c>
    </row>
    <row r="20" spans="1:21" ht="15" customHeight="1" x14ac:dyDescent="0.25">
      <c r="A20" s="404"/>
      <c r="B20" s="405"/>
      <c r="C20" s="405"/>
      <c r="D20" s="405"/>
      <c r="E20" s="405"/>
      <c r="F20" s="405"/>
      <c r="G20" s="405"/>
      <c r="H20" s="405"/>
      <c r="I20" s="405"/>
      <c r="J20" s="405"/>
      <c r="K20" s="406"/>
      <c r="L20" s="406"/>
      <c r="M20" s="407"/>
      <c r="O20" s="403"/>
      <c r="P20" s="383" t="s">
        <v>351</v>
      </c>
      <c r="Q20" s="384">
        <v>30</v>
      </c>
    </row>
    <row r="21" spans="1:21" ht="15" customHeight="1" x14ac:dyDescent="0.25">
      <c r="A21" s="404"/>
      <c r="B21" s="405"/>
      <c r="C21" s="405"/>
      <c r="D21" s="405"/>
      <c r="E21" s="405"/>
      <c r="F21" s="405"/>
      <c r="G21" s="405"/>
      <c r="H21" s="405"/>
      <c r="I21" s="405"/>
      <c r="J21" s="405"/>
      <c r="K21" s="406"/>
      <c r="L21" s="406"/>
      <c r="M21" s="407"/>
      <c r="O21" s="403"/>
      <c r="P21" s="383" t="s">
        <v>352</v>
      </c>
      <c r="Q21" s="384">
        <v>31</v>
      </c>
    </row>
    <row r="22" spans="1:21" ht="15" customHeight="1" x14ac:dyDescent="0.25">
      <c r="A22" s="404"/>
      <c r="B22" s="405"/>
      <c r="C22" s="405"/>
      <c r="D22" s="405"/>
      <c r="E22" s="405"/>
      <c r="F22" s="405"/>
      <c r="G22" s="405"/>
      <c r="H22" s="405"/>
      <c r="I22" s="405"/>
      <c r="J22" s="405"/>
      <c r="K22" s="406"/>
      <c r="L22" s="406"/>
      <c r="M22" s="407"/>
      <c r="P22" s="383" t="s">
        <v>353</v>
      </c>
      <c r="Q22" s="384">
        <v>30</v>
      </c>
    </row>
    <row r="23" spans="1:21" ht="15" customHeight="1" x14ac:dyDescent="0.25">
      <c r="A23" s="404"/>
      <c r="B23" s="405"/>
      <c r="C23" s="405"/>
      <c r="D23" s="405"/>
      <c r="E23" s="405"/>
      <c r="F23" s="405"/>
      <c r="G23" s="405"/>
      <c r="H23" s="405"/>
      <c r="I23" s="405"/>
      <c r="J23" s="405"/>
      <c r="K23" s="406"/>
      <c r="L23" s="406"/>
      <c r="M23" s="407"/>
      <c r="P23" s="383" t="s">
        <v>354</v>
      </c>
      <c r="Q23" s="384">
        <v>31</v>
      </c>
    </row>
    <row r="24" spans="1:21" ht="15" customHeight="1" x14ac:dyDescent="0.25">
      <c r="A24" s="404"/>
      <c r="B24" s="405"/>
      <c r="C24" s="405"/>
      <c r="D24" s="405"/>
      <c r="E24" s="405"/>
      <c r="F24" s="405"/>
      <c r="G24" s="405"/>
      <c r="H24" s="405"/>
      <c r="I24" s="405"/>
      <c r="J24" s="405"/>
      <c r="K24" s="412"/>
      <c r="L24" s="406"/>
      <c r="M24" s="407"/>
    </row>
    <row r="25" spans="1:21" ht="15" customHeight="1" x14ac:dyDescent="0.25">
      <c r="A25" s="404"/>
      <c r="B25" s="405"/>
      <c r="C25" s="405"/>
      <c r="D25" s="405"/>
      <c r="E25" s="405"/>
      <c r="F25" s="405"/>
      <c r="G25" s="405"/>
      <c r="H25" s="405"/>
      <c r="I25" s="405"/>
      <c r="J25" s="405"/>
      <c r="K25" s="412"/>
      <c r="L25" s="406"/>
      <c r="M25" s="407"/>
    </row>
    <row r="26" spans="1:21" ht="15" customHeight="1" x14ac:dyDescent="0.25">
      <c r="A26" s="404"/>
      <c r="B26" s="405"/>
      <c r="C26" s="405"/>
      <c r="D26" s="405"/>
      <c r="E26" s="405"/>
      <c r="F26" s="405"/>
      <c r="G26" s="405"/>
      <c r="H26" s="405"/>
      <c r="I26" s="405"/>
      <c r="J26" s="405"/>
      <c r="K26" s="406"/>
      <c r="L26" s="406"/>
      <c r="M26" s="407"/>
    </row>
    <row r="27" spans="1:21" ht="15" customHeight="1" x14ac:dyDescent="0.25">
      <c r="A27" s="404"/>
      <c r="B27" s="405"/>
      <c r="C27" s="405"/>
      <c r="D27" s="405"/>
      <c r="E27" s="405"/>
      <c r="F27" s="405"/>
      <c r="G27" s="405"/>
      <c r="H27" s="405"/>
      <c r="I27" s="405"/>
      <c r="J27" s="405"/>
      <c r="K27" s="406"/>
      <c r="L27" s="406"/>
      <c r="M27" s="407"/>
    </row>
    <row r="28" spans="1:21" ht="15" customHeight="1" x14ac:dyDescent="0.25">
      <c r="A28" s="404"/>
      <c r="B28" s="405"/>
      <c r="C28" s="405"/>
      <c r="D28" s="405"/>
      <c r="E28" s="405"/>
      <c r="F28" s="405"/>
      <c r="G28" s="405"/>
      <c r="H28" s="405"/>
      <c r="I28" s="405"/>
      <c r="J28" s="405"/>
      <c r="K28" s="406"/>
      <c r="L28" s="406"/>
      <c r="M28" s="407"/>
    </row>
    <row r="29" spans="1:21" ht="15" customHeight="1" x14ac:dyDescent="0.25">
      <c r="A29" s="404"/>
      <c r="B29" s="405"/>
      <c r="C29" s="405"/>
      <c r="D29" s="405"/>
      <c r="E29" s="405"/>
      <c r="F29" s="405"/>
      <c r="G29" s="405"/>
      <c r="H29" s="405"/>
      <c r="I29" s="405"/>
      <c r="J29" s="405"/>
      <c r="K29" s="406"/>
      <c r="L29" s="406"/>
      <c r="M29" s="407"/>
    </row>
    <row r="30" spans="1:21" ht="15" customHeight="1" x14ac:dyDescent="0.25">
      <c r="A30" s="404"/>
      <c r="B30" s="405"/>
      <c r="C30" s="405"/>
      <c r="D30" s="405"/>
      <c r="E30" s="405"/>
      <c r="F30" s="405"/>
      <c r="G30" s="405"/>
      <c r="H30" s="405"/>
      <c r="I30" s="405"/>
      <c r="J30" s="405"/>
      <c r="K30" s="406"/>
      <c r="L30" s="406"/>
      <c r="M30" s="407"/>
    </row>
    <row r="31" spans="1:21" ht="15" customHeight="1" x14ac:dyDescent="0.25">
      <c r="A31" s="404"/>
      <c r="B31" s="405"/>
      <c r="C31" s="405"/>
      <c r="D31" s="405"/>
      <c r="E31" s="405"/>
      <c r="F31" s="405"/>
      <c r="G31" s="405"/>
      <c r="H31" s="405"/>
      <c r="I31" s="405"/>
      <c r="J31" s="405"/>
      <c r="K31" s="406"/>
      <c r="L31" s="406"/>
      <c r="M31" s="407"/>
    </row>
    <row r="32" spans="1:21" ht="15" customHeight="1" x14ac:dyDescent="0.25">
      <c r="A32" s="404"/>
      <c r="B32" s="405"/>
      <c r="C32" s="405"/>
      <c r="D32" s="405"/>
      <c r="E32" s="405"/>
      <c r="F32" s="405"/>
      <c r="G32" s="405"/>
      <c r="H32" s="405"/>
      <c r="I32" s="405"/>
      <c r="J32" s="405"/>
      <c r="K32" s="406"/>
      <c r="L32" s="406"/>
      <c r="M32" s="407"/>
    </row>
    <row r="33" spans="1:13" ht="15" customHeight="1" x14ac:dyDescent="0.25">
      <c r="A33" s="404"/>
      <c r="B33" s="405"/>
      <c r="C33" s="405"/>
      <c r="D33" s="405"/>
      <c r="E33" s="405"/>
      <c r="F33" s="405"/>
      <c r="G33" s="405"/>
      <c r="H33" s="405"/>
      <c r="I33" s="405"/>
      <c r="J33" s="405"/>
      <c r="K33" s="406"/>
      <c r="L33" s="406"/>
      <c r="M33" s="407"/>
    </row>
    <row r="34" spans="1:13" ht="15" customHeight="1" x14ac:dyDescent="0.25">
      <c r="A34" s="404"/>
      <c r="B34" s="405"/>
      <c r="C34" s="405"/>
      <c r="D34" s="405"/>
      <c r="E34" s="405"/>
      <c r="F34" s="405"/>
      <c r="G34" s="405"/>
      <c r="H34" s="405"/>
      <c r="I34" s="405"/>
      <c r="J34" s="405"/>
      <c r="K34" s="406"/>
      <c r="L34" s="406"/>
      <c r="M34" s="407"/>
    </row>
    <row r="35" spans="1:13" ht="15" customHeight="1" x14ac:dyDescent="0.25">
      <c r="A35" s="404"/>
      <c r="B35" s="405"/>
      <c r="C35" s="405"/>
      <c r="D35" s="405"/>
      <c r="E35" s="405"/>
      <c r="F35" s="405"/>
      <c r="G35" s="405"/>
      <c r="H35" s="405"/>
      <c r="I35" s="405"/>
      <c r="J35" s="405"/>
      <c r="K35" s="406"/>
      <c r="L35" s="406"/>
      <c r="M35" s="407"/>
    </row>
    <row r="36" spans="1:13" ht="15" customHeight="1" x14ac:dyDescent="0.25">
      <c r="A36" s="404"/>
      <c r="B36" s="405"/>
      <c r="C36" s="405"/>
      <c r="D36" s="405"/>
      <c r="E36" s="405"/>
      <c r="F36" s="405"/>
      <c r="G36" s="405"/>
      <c r="H36" s="405"/>
      <c r="I36" s="405"/>
      <c r="J36" s="405"/>
      <c r="K36" s="406"/>
      <c r="L36" s="406"/>
      <c r="M36" s="407"/>
    </row>
    <row r="37" spans="1:13" ht="15" customHeight="1" x14ac:dyDescent="0.25">
      <c r="A37" s="404"/>
      <c r="B37" s="405"/>
      <c r="C37" s="405"/>
      <c r="D37" s="405"/>
      <c r="E37" s="405"/>
      <c r="F37" s="405"/>
      <c r="G37" s="405"/>
      <c r="H37" s="405"/>
      <c r="I37" s="405"/>
      <c r="J37" s="405"/>
      <c r="K37" s="406"/>
      <c r="L37" s="406"/>
      <c r="M37" s="407"/>
    </row>
    <row r="38" spans="1:13" ht="15" customHeight="1" x14ac:dyDescent="0.25">
      <c r="A38" s="404"/>
      <c r="B38" s="405"/>
      <c r="C38" s="405"/>
      <c r="D38" s="405"/>
      <c r="E38" s="405"/>
      <c r="F38" s="405"/>
      <c r="G38" s="405"/>
      <c r="H38" s="405"/>
      <c r="I38" s="405"/>
      <c r="J38" s="405"/>
      <c r="K38" s="406"/>
      <c r="L38" s="406"/>
      <c r="M38" s="407"/>
    </row>
    <row r="39" spans="1:13" ht="15" customHeight="1" x14ac:dyDescent="0.25">
      <c r="A39" s="404"/>
      <c r="B39" s="405"/>
      <c r="C39" s="405"/>
      <c r="D39" s="405"/>
      <c r="E39" s="405"/>
      <c r="F39" s="405"/>
      <c r="G39" s="405"/>
      <c r="H39" s="405"/>
      <c r="I39" s="405"/>
      <c r="J39" s="405"/>
      <c r="K39" s="414"/>
      <c r="L39" s="791"/>
      <c r="M39" s="792"/>
    </row>
    <row r="40" spans="1:13" ht="20.25" customHeight="1" x14ac:dyDescent="0.25">
      <c r="A40" s="404"/>
      <c r="B40" s="405"/>
      <c r="C40" s="405"/>
      <c r="D40" s="405"/>
      <c r="E40" s="405"/>
      <c r="F40" s="405"/>
      <c r="G40" s="405"/>
      <c r="H40" s="405"/>
      <c r="I40" s="405"/>
      <c r="J40" s="405"/>
      <c r="K40" s="803"/>
      <c r="L40" s="803"/>
      <c r="M40" s="804"/>
    </row>
    <row r="41" spans="1:13" ht="15" customHeight="1" x14ac:dyDescent="0.25">
      <c r="A41" s="404"/>
      <c r="B41" s="405"/>
      <c r="C41" s="405"/>
      <c r="D41" s="405"/>
      <c r="E41" s="405"/>
      <c r="F41" s="405"/>
      <c r="G41" s="405"/>
      <c r="H41" s="405"/>
      <c r="I41" s="405"/>
      <c r="J41" s="405"/>
      <c r="K41" s="805"/>
      <c r="L41" s="805"/>
      <c r="M41" s="806"/>
    </row>
    <row r="42" spans="1:13" ht="15" customHeight="1" x14ac:dyDescent="0.25">
      <c r="A42" s="404"/>
      <c r="B42" s="405"/>
      <c r="C42" s="405"/>
      <c r="D42" s="405"/>
      <c r="E42" s="405"/>
      <c r="F42" s="405"/>
      <c r="G42" s="405"/>
      <c r="H42" s="405"/>
      <c r="I42" s="405"/>
      <c r="J42" s="405"/>
      <c r="K42" s="807"/>
      <c r="L42" s="807"/>
      <c r="M42" s="808"/>
    </row>
    <row r="43" spans="1:13" ht="20.149999999999999" customHeight="1" x14ac:dyDescent="0.25">
      <c r="A43" s="419"/>
      <c r="B43" s="420"/>
      <c r="C43" s="420"/>
      <c r="D43" s="420"/>
      <c r="E43" s="420"/>
      <c r="F43" s="420"/>
      <c r="G43" s="420"/>
      <c r="H43" s="420"/>
      <c r="I43" s="420"/>
      <c r="J43" s="420"/>
      <c r="K43" s="800"/>
      <c r="L43" s="801"/>
      <c r="M43" s="802"/>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168" priority="1" stopIfTrue="1" operator="greaterThan">
      <formula>T1</formula>
    </cfRule>
    <cfRule type="cellIs" dxfId="167" priority="2" stopIfTrue="1" operator="lessThan">
      <formula>0</formula>
    </cfRule>
  </conditionalFormatting>
  <conditionalFormatting sqref="H9">
    <cfRule type="cellIs" dxfId="166" priority="3" stopIfTrue="1" operator="greaterThan">
      <formula>T1</formula>
    </cfRule>
    <cfRule type="cellIs" dxfId="165" priority="4" stopIfTrue="1" operator="lessThan">
      <formula>0</formula>
    </cfRule>
  </conditionalFormatting>
  <conditionalFormatting sqref="I6:L6">
    <cfRule type="expression" dxfId="164"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indexed="44"/>
    <pageSetUpPr fitToPage="1"/>
  </sheetPr>
  <dimension ref="A1:IU173"/>
  <sheetViews>
    <sheetView showGridLines="0" tabSelected="1" showOutlineSymbols="0" topLeftCell="A22" zoomScale="85" zoomScaleNormal="85" workbookViewId="0">
      <selection activeCell="N7" sqref="N7"/>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81640625" style="142" customWidth="1"/>
    <col min="21" max="21" width="3.54296875" style="142" hidden="1" customWidth="1"/>
    <col min="22" max="22" width="6.81640625" style="562" hidden="1" customWidth="1"/>
    <col min="23" max="24" width="6.453125" style="562" hidden="1" customWidth="1"/>
    <col min="25" max="25" width="4.453125" style="562" hidden="1" customWidth="1"/>
    <col min="26" max="26" width="6.81640625" style="562" hidden="1" customWidth="1"/>
    <col min="27" max="27" width="3.453125" style="562" hidden="1" customWidth="1"/>
    <col min="28" max="28" width="8.81640625" style="562" hidden="1" customWidth="1"/>
    <col min="29" max="29" width="10.1796875" style="562" hidden="1" customWidth="1"/>
    <col min="30" max="253" width="8.81640625" style="142" hidden="1" customWidth="1"/>
    <col min="254" max="254" width="5.54296875" style="142" hidden="1" customWidth="1"/>
    <col min="255" max="255" width="5.1796875" style="142" hidden="1" customWidth="1"/>
    <col min="256" max="16384" width="5.453125" style="142" hidden="1"/>
  </cols>
  <sheetData>
    <row r="1" spans="1:28" ht="45" customHeight="1" thickTop="1" x14ac:dyDescent="0.45">
      <c r="A1" s="2"/>
      <c r="B1" s="119"/>
      <c r="C1" s="727" t="s">
        <v>531</v>
      </c>
      <c r="D1" s="3"/>
      <c r="E1" s="3"/>
      <c r="F1" s="3"/>
      <c r="G1" s="3"/>
      <c r="H1" s="3"/>
      <c r="I1" s="3"/>
      <c r="J1" s="3"/>
      <c r="K1" s="3"/>
      <c r="L1" s="3"/>
      <c r="M1" s="832" t="str">
        <f ca="1">CONCATENATE(Working!H2," - (QI Code - ", X4,"-",W4,"-",Y4,"-",Z4,"-",AA4,"-", AB4)</f>
        <v>Special Leasing/2019 - (QI Code - 0-50-000-115.2-0-ATI)</v>
      </c>
      <c r="N1" s="832"/>
      <c r="O1" s="832"/>
      <c r="P1" s="832"/>
      <c r="Q1" s="832"/>
      <c r="R1" s="832"/>
      <c r="S1" s="833"/>
      <c r="U1" s="139"/>
      <c r="V1" s="636"/>
      <c r="W1" s="636"/>
      <c r="X1" s="636"/>
      <c r="Y1" s="636"/>
      <c r="Z1" s="636"/>
      <c r="AA1" s="636"/>
      <c r="AB1" s="636"/>
    </row>
    <row r="2" spans="1:28" ht="33.75" customHeight="1" x14ac:dyDescent="0.25">
      <c r="A2" s="120"/>
      <c r="B2" s="15"/>
      <c r="C2" s="16"/>
      <c r="D2" s="16"/>
      <c r="E2" s="16"/>
      <c r="F2" s="16"/>
      <c r="G2" s="16"/>
      <c r="H2" s="16"/>
      <c r="I2" s="16"/>
      <c r="J2" s="16"/>
      <c r="K2" s="16"/>
      <c r="L2" s="16"/>
      <c r="M2" s="834" t="str">
        <f>IF(U3=0,CONCATENATE("Print  ",Working!Y48,"  Sheet"),"")</f>
        <v/>
      </c>
      <c r="N2" s="834"/>
      <c r="O2" s="834"/>
      <c r="P2" s="834"/>
      <c r="Q2" s="834"/>
      <c r="R2" s="834"/>
      <c r="S2" s="121"/>
      <c r="U2" s="139"/>
      <c r="V2" s="636"/>
      <c r="W2" s="636"/>
      <c r="X2" s="636"/>
      <c r="Y2" s="636"/>
      <c r="Z2" s="636"/>
      <c r="AA2" s="636"/>
      <c r="AB2" s="636"/>
    </row>
    <row r="3" spans="1:28" ht="13" customHeight="1" x14ac:dyDescent="0.25">
      <c r="A3" s="120"/>
      <c r="B3" s="15"/>
      <c r="C3" s="16"/>
      <c r="D3" s="16"/>
      <c r="E3" s="16"/>
      <c r="F3" s="16"/>
      <c r="G3" s="16"/>
      <c r="H3" s="16"/>
      <c r="I3" s="16"/>
      <c r="J3" s="16"/>
      <c r="K3" s="16"/>
      <c r="L3" s="16"/>
      <c r="M3" s="323"/>
      <c r="N3" s="323"/>
      <c r="O3" s="323"/>
      <c r="P3" s="323"/>
      <c r="Q3" s="323"/>
      <c r="R3" s="323"/>
      <c r="S3" s="121"/>
      <c r="U3" s="142">
        <f>IF(AND(Working!Z2=1,Working!Y48="Motor Cycle Policy"),1,0)</f>
        <v>1</v>
      </c>
      <c r="V3" s="636"/>
      <c r="W3" s="636"/>
      <c r="X3" s="636"/>
      <c r="Y3" s="636"/>
      <c r="Z3" s="636"/>
      <c r="AA3" s="636"/>
      <c r="AB3" s="636"/>
    </row>
    <row r="4" spans="1:28" ht="20.25" customHeight="1" x14ac:dyDescent="0.35">
      <c r="A4" s="120"/>
      <c r="B4" s="7"/>
      <c r="C4" s="335" t="s">
        <v>528</v>
      </c>
      <c r="D4" s="9"/>
      <c r="E4" s="295"/>
      <c r="F4" s="355"/>
      <c r="G4" s="7"/>
      <c r="H4" s="9"/>
      <c r="I4" s="9"/>
      <c r="J4" s="9"/>
      <c r="K4" s="9"/>
      <c r="L4" s="11"/>
      <c r="M4" s="326"/>
      <c r="N4" s="326"/>
      <c r="O4" s="335"/>
      <c r="P4" s="841">
        <f ca="1">TODAY()</f>
        <v>45346</v>
      </c>
      <c r="Q4" s="841"/>
      <c r="R4" s="841"/>
      <c r="S4" s="122"/>
      <c r="W4" s="637">
        <f ca="1">IF(Working!$M$37&lt;0,Working!$G$37*2,0)</f>
        <v>50</v>
      </c>
      <c r="X4" s="637">
        <f ca="1">IF(Working!$M$36&lt;0,Working!$H$36*2,0)</f>
        <v>0</v>
      </c>
      <c r="Y4" s="638" t="str">
        <f>IF(Working!$B$21="Free","000","111")</f>
        <v>000</v>
      </c>
      <c r="Z4" s="639">
        <f ca="1">IF(Working!$M$23&lt;0,Working!$H$23*2,0)</f>
        <v>115.2</v>
      </c>
      <c r="AA4" s="640">
        <f>Working!$N$60</f>
        <v>0</v>
      </c>
      <c r="AB4" s="562"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6"/>
      <c r="X5" s="641"/>
      <c r="Y5" s="642"/>
      <c r="Z5" s="643"/>
      <c r="AA5" s="644"/>
      <c r="AB5" s="636"/>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296</v>
      </c>
      <c r="D7" s="80"/>
      <c r="E7" s="80"/>
      <c r="F7" s="80"/>
      <c r="G7" s="80"/>
      <c r="H7" s="80"/>
      <c r="I7" s="80"/>
      <c r="J7" s="80"/>
      <c r="K7" s="9"/>
      <c r="L7" s="280" t="s">
        <v>25</v>
      </c>
      <c r="M7" s="262"/>
      <c r="N7" s="9"/>
      <c r="O7" s="105"/>
      <c r="P7" s="835" t="s">
        <v>540</v>
      </c>
      <c r="Q7" s="835"/>
      <c r="R7" s="835"/>
      <c r="S7" s="836"/>
    </row>
    <row r="8" spans="1:28" ht="18" customHeight="1" x14ac:dyDescent="0.25">
      <c r="A8" s="120"/>
      <c r="B8" s="7"/>
      <c r="C8" s="816" t="s">
        <v>525</v>
      </c>
      <c r="D8" s="817"/>
      <c r="E8" s="817"/>
      <c r="F8" s="817"/>
      <c r="G8" s="817"/>
      <c r="H8" s="817"/>
      <c r="I8" s="817"/>
      <c r="J8" s="818"/>
      <c r="K8" s="273"/>
      <c r="L8" s="280" t="s">
        <v>108</v>
      </c>
      <c r="M8" s="104"/>
      <c r="N8" s="105"/>
      <c r="O8" s="105"/>
      <c r="P8" s="814" t="s">
        <v>541</v>
      </c>
      <c r="Q8" s="815"/>
      <c r="R8" s="745" t="s">
        <v>527</v>
      </c>
      <c r="S8" s="353"/>
    </row>
    <row r="9" spans="1:28" ht="18" customHeight="1" x14ac:dyDescent="0.3">
      <c r="A9" s="120"/>
      <c r="B9" s="7"/>
      <c r="C9" s="478" t="str">
        <f>IF(AND(Working!H12="HYBRID",Working!H14="No",Working!B12="Corporate"),CONCATENATE("(",Working!B12," CUSTOMER)"),"")</f>
        <v/>
      </c>
      <c r="D9" s="459"/>
      <c r="E9" s="459"/>
      <c r="F9" s="459"/>
      <c r="G9" s="459"/>
      <c r="H9" s="459"/>
      <c r="I9" s="459"/>
      <c r="J9" s="459"/>
      <c r="K9" s="273"/>
      <c r="L9" s="280" t="s">
        <v>376</v>
      </c>
      <c r="M9" s="258"/>
      <c r="N9" s="105"/>
      <c r="O9" s="105"/>
      <c r="P9" s="816" t="s">
        <v>521</v>
      </c>
      <c r="Q9" s="817"/>
      <c r="R9" s="818"/>
      <c r="S9" s="648"/>
    </row>
    <row r="10" spans="1:28" ht="18" customHeight="1" x14ac:dyDescent="0.3">
      <c r="A10" s="120"/>
      <c r="B10" s="7"/>
      <c r="C10" s="331" t="s">
        <v>295</v>
      </c>
      <c r="D10" s="80"/>
      <c r="E10" s="80"/>
      <c r="F10" s="80"/>
      <c r="G10" s="348"/>
      <c r="H10" s="348"/>
      <c r="I10" s="348"/>
      <c r="J10" s="348"/>
      <c r="K10" s="103"/>
      <c r="L10" s="280" t="s">
        <v>356</v>
      </c>
      <c r="M10" s="258"/>
      <c r="N10" s="106"/>
      <c r="O10" s="106"/>
      <c r="P10" s="822" t="s">
        <v>524</v>
      </c>
      <c r="Q10" s="822"/>
      <c r="R10" s="726" t="s">
        <v>526</v>
      </c>
      <c r="S10" s="350"/>
    </row>
    <row r="11" spans="1:28" ht="18" customHeight="1" x14ac:dyDescent="0.25">
      <c r="A11" s="120"/>
      <c r="B11" s="7"/>
      <c r="C11" s="816" t="s">
        <v>525</v>
      </c>
      <c r="D11" s="817"/>
      <c r="E11" s="817"/>
      <c r="F11" s="817"/>
      <c r="G11" s="817"/>
      <c r="H11" s="817"/>
      <c r="I11" s="817"/>
      <c r="J11" s="818"/>
      <c r="K11" s="273"/>
      <c r="L11" s="280" t="s">
        <v>34</v>
      </c>
      <c r="M11" s="104"/>
      <c r="N11" s="107"/>
      <c r="O11" s="106"/>
      <c r="P11" s="816" t="s">
        <v>527</v>
      </c>
      <c r="Q11" s="817"/>
      <c r="R11" s="818"/>
      <c r="S11" s="351"/>
    </row>
    <row r="12" spans="1:28" ht="18" customHeight="1" x14ac:dyDescent="0.3">
      <c r="A12" s="120"/>
      <c r="B12" s="7"/>
      <c r="C12" s="332" t="s">
        <v>297</v>
      </c>
      <c r="D12" s="80"/>
      <c r="E12" s="80"/>
      <c r="F12" s="80"/>
      <c r="G12" s="349"/>
      <c r="H12" s="349"/>
      <c r="I12" s="349"/>
      <c r="J12" s="349"/>
      <c r="K12" s="125"/>
      <c r="L12" s="280" t="s">
        <v>35</v>
      </c>
      <c r="M12" s="104"/>
      <c r="N12" s="108"/>
      <c r="O12" s="108"/>
      <c r="P12" s="844" t="s">
        <v>542</v>
      </c>
      <c r="Q12" s="844"/>
      <c r="R12" s="844"/>
      <c r="S12" s="352"/>
      <c r="V12" s="562" t="str">
        <f>IF(Working!H9="Private Use","Private Use Only",Working!H9)</f>
        <v>Private Use Only</v>
      </c>
    </row>
    <row r="13" spans="1:28" ht="18" customHeight="1" x14ac:dyDescent="0.3">
      <c r="A13" s="120"/>
      <c r="B13" s="705">
        <f>IF(OR(C13=I86,C13=I87,C13=I88,C13=I89,C13=I90,C13=I91,C13=I92,C13=I93,C13=I94,C13=I95,C13=I96,C13=I97,C13=I98),1,0)</f>
        <v>0</v>
      </c>
      <c r="C13" s="811" t="s">
        <v>525</v>
      </c>
      <c r="D13" s="812"/>
      <c r="E13" s="812"/>
      <c r="F13" s="812"/>
      <c r="G13" s="812"/>
      <c r="H13" s="812"/>
      <c r="I13" s="812"/>
      <c r="J13" s="813"/>
      <c r="K13" s="274"/>
      <c r="L13" s="280" t="s">
        <v>408</v>
      </c>
      <c r="M13" s="104"/>
      <c r="N13" s="108"/>
      <c r="O13" s="108"/>
      <c r="P13" s="820">
        <v>2020</v>
      </c>
      <c r="Q13" s="821"/>
      <c r="R13" s="310">
        <v>2</v>
      </c>
      <c r="S13" s="352"/>
      <c r="T13" s="707">
        <f>IF(I13="Ijarah","Ijarah",I13)</f>
        <v>0</v>
      </c>
      <c r="V13" s="562" t="str">
        <f>IF(AND(Working!K14="",Working!B21="No"),"NOT APPLICABLE",IF(AND(Working!K14="",OR(Working!B21="Yes",Working!B21="Free")),"APPLICABLE  - TO BE ADVISED",Working!K14))</f>
        <v>to be advised</v>
      </c>
    </row>
    <row r="14" spans="1:28" ht="14.5" customHeight="1" x14ac:dyDescent="0.3">
      <c r="A14" s="120"/>
      <c r="B14" s="7"/>
      <c r="C14" s="19"/>
      <c r="D14" s="19"/>
      <c r="E14" s="19"/>
      <c r="F14" s="19"/>
      <c r="G14" s="19"/>
      <c r="H14" s="19"/>
      <c r="I14" s="706"/>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7" t="s">
        <v>300</v>
      </c>
      <c r="D16" s="7"/>
      <c r="E16" s="7"/>
      <c r="F16" s="190" t="str">
        <f>IF(Working!H3="One Year",": One Year",CONCATENATE(": ",Calculation!H9," Days"))</f>
        <v>: One Year</v>
      </c>
      <c r="G16" s="7"/>
      <c r="H16" s="7"/>
      <c r="I16" s="276" t="str">
        <f>IF(Working!H3="One Year","",CONCATENATE("(",Working!H3," Basis)"))</f>
        <v/>
      </c>
      <c r="J16" s="9"/>
      <c r="K16" s="9"/>
      <c r="L16" s="7"/>
      <c r="M16" s="7"/>
      <c r="N16" s="7"/>
      <c r="O16" s="7"/>
      <c r="P16" s="709"/>
      <c r="Q16" s="823">
        <v>500000</v>
      </c>
      <c r="R16" s="824"/>
      <c r="S16" s="127"/>
    </row>
    <row r="17" spans="1:32" ht="13.4" customHeight="1" thickBot="1" x14ac:dyDescent="0.35">
      <c r="A17" s="120"/>
      <c r="B17" s="7"/>
      <c r="C17" s="828" t="str">
        <f>IF(Working!H3="One Year","",CONCATENATE("(From ",Working!G4," ",Working!H4," ",Working!I4," to ",Working!G5," ",Working!H5," ",Working!I5,")"))</f>
        <v/>
      </c>
      <c r="D17" s="828"/>
      <c r="E17" s="828"/>
      <c r="F17" s="828"/>
      <c r="G17" s="828"/>
      <c r="H17" s="828"/>
      <c r="I17" s="828"/>
      <c r="J17" s="9"/>
      <c r="K17" s="9"/>
      <c r="L17" s="710" t="s">
        <v>167</v>
      </c>
      <c r="M17" s="258"/>
      <c r="N17" s="7"/>
      <c r="O17" s="7"/>
      <c r="P17" s="709"/>
      <c r="Q17" s="825"/>
      <c r="R17" s="826"/>
      <c r="S17" s="127"/>
    </row>
    <row r="18" spans="1:32" ht="17.149999999999999" customHeight="1" x14ac:dyDescent="0.3">
      <c r="A18" s="120"/>
      <c r="B18" s="7"/>
      <c r="C18" s="828"/>
      <c r="D18" s="828"/>
      <c r="E18" s="828"/>
      <c r="F18" s="828"/>
      <c r="G18" s="828"/>
      <c r="H18" s="828"/>
      <c r="I18" s="828"/>
      <c r="J18" s="9"/>
      <c r="K18" s="9"/>
      <c r="L18" s="77" t="s">
        <v>13</v>
      </c>
      <c r="M18" s="7"/>
      <c r="N18" s="7"/>
      <c r="O18" s="7"/>
      <c r="P18" s="7"/>
      <c r="Q18" s="261" t="s">
        <v>26</v>
      </c>
      <c r="R18" s="266">
        <f ca="1">IF(U3=1,Working!O61,"")</f>
        <v>11549.999999999998</v>
      </c>
      <c r="S18" s="127"/>
    </row>
    <row r="19" spans="1:32" ht="15" customHeight="1" x14ac:dyDescent="0.3">
      <c r="A19" s="120"/>
      <c r="B19" s="7"/>
      <c r="C19" s="713" t="s">
        <v>517</v>
      </c>
      <c r="D19" s="711"/>
      <c r="E19" s="711"/>
      <c r="F19" s="711"/>
      <c r="G19" s="711"/>
      <c r="H19" s="711"/>
      <c r="I19" s="711"/>
      <c r="J19" s="9"/>
      <c r="K19" s="9"/>
      <c r="L19" s="77" t="s">
        <v>23</v>
      </c>
      <c r="M19" s="258"/>
      <c r="N19" s="7"/>
      <c r="O19" s="7"/>
      <c r="P19" s="7"/>
      <c r="Q19" s="261" t="s">
        <v>26</v>
      </c>
      <c r="R19" s="266">
        <f>IF(U3=1,Working!M40+Working!M41,"")</f>
        <v>1000</v>
      </c>
      <c r="S19" s="127"/>
      <c r="T19" s="649" t="s">
        <v>58</v>
      </c>
    </row>
    <row r="20" spans="1:32" ht="17.149999999999999" customHeight="1" x14ac:dyDescent="0.3">
      <c r="A20" s="120"/>
      <c r="B20" s="7"/>
      <c r="C20" s="827" t="s">
        <v>518</v>
      </c>
      <c r="D20" s="827"/>
      <c r="E20" s="827"/>
      <c r="F20" s="827"/>
      <c r="G20" s="827"/>
      <c r="H20" s="827"/>
      <c r="I20" s="827"/>
      <c r="J20" s="827"/>
      <c r="K20" s="9"/>
      <c r="L20" s="265" t="s">
        <v>24</v>
      </c>
      <c r="M20" s="7"/>
      <c r="N20" s="7"/>
      <c r="O20" s="7"/>
      <c r="P20" s="7"/>
      <c r="Q20" s="261" t="s">
        <v>26</v>
      </c>
      <c r="R20" s="266">
        <f>IF(U3=1,Working!M42+Working!M43,"")</f>
        <v>250</v>
      </c>
      <c r="S20" s="127"/>
      <c r="T20" s="650" t="s">
        <v>78</v>
      </c>
    </row>
    <row r="21" spans="1:32" ht="17.149999999999999" customHeight="1" x14ac:dyDescent="0.3">
      <c r="A21" s="120"/>
      <c r="B21" s="7"/>
      <c r="C21" s="827"/>
      <c r="D21" s="827"/>
      <c r="E21" s="827"/>
      <c r="F21" s="827"/>
      <c r="G21" s="827"/>
      <c r="H21" s="827"/>
      <c r="I21" s="827"/>
      <c r="J21" s="827"/>
      <c r="K21" s="9"/>
      <c r="L21" s="265" t="s">
        <v>145</v>
      </c>
      <c r="M21" s="7"/>
      <c r="N21" s="7"/>
      <c r="O21" s="7"/>
      <c r="P21" s="7"/>
      <c r="Q21" s="261" t="s">
        <v>26</v>
      </c>
      <c r="R21" s="266">
        <f ca="1">IF(U3=1,Working!M62+Working!M65+Working!M64,"")</f>
        <v>3395</v>
      </c>
      <c r="S21" s="127"/>
    </row>
    <row r="22" spans="1:32" ht="17.149999999999999" customHeight="1" thickBot="1" x14ac:dyDescent="0.35">
      <c r="A22" s="120"/>
      <c r="B22" s="7"/>
      <c r="C22" s="827"/>
      <c r="D22" s="827"/>
      <c r="E22" s="827"/>
      <c r="F22" s="827"/>
      <c r="G22" s="827"/>
      <c r="H22" s="827"/>
      <c r="I22" s="827"/>
      <c r="J22" s="827"/>
      <c r="K22" s="9"/>
      <c r="L22" s="265" t="str">
        <f>IF(Rates!$F$20="Yes","Nation Building Levy (NBL)","VAT")</f>
        <v>VAT</v>
      </c>
      <c r="M22" s="7"/>
      <c r="N22" s="7"/>
      <c r="O22" s="7"/>
      <c r="P22" s="7"/>
      <c r="Q22" s="261" t="s">
        <v>26</v>
      </c>
      <c r="R22" s="266">
        <f ca="1">IF(AND(Rates!$F$20="Yes",$U$3=1),Working!$M$64*Working!$C$70,IF($U$3=1,Working!$M$66*Working!$C$70,""))</f>
        <v>2915.0999999999995</v>
      </c>
      <c r="S22" s="127"/>
    </row>
    <row r="23" spans="1:32" ht="17.149999999999999" customHeight="1" thickTop="1" thickBot="1" x14ac:dyDescent="0.35">
      <c r="A23" s="120"/>
      <c r="B23" s="7"/>
      <c r="C23" s="827"/>
      <c r="D23" s="827"/>
      <c r="E23" s="827"/>
      <c r="F23" s="827"/>
      <c r="G23" s="827"/>
      <c r="H23" s="827"/>
      <c r="I23" s="827"/>
      <c r="J23" s="827"/>
      <c r="K23" s="9"/>
      <c r="L23" s="77" t="str">
        <f>IF(Rates!$F$20="Yes","VAT","Total Contribution")</f>
        <v>Total Contribution</v>
      </c>
      <c r="M23" s="7"/>
      <c r="N23" s="7"/>
      <c r="O23" s="7"/>
      <c r="P23" s="7"/>
      <c r="Q23" s="261" t="s">
        <v>26</v>
      </c>
      <c r="R23" s="724">
        <f ca="1">IF(AND(Rates!$F$20="Yes",U3=1),Working!$M$66*Working!$C$70,IF(U3=1,Working!$M$67,""))</f>
        <v>19110.099999999999</v>
      </c>
      <c r="S23" s="127"/>
      <c r="Y23" s="645"/>
    </row>
    <row r="24" spans="1:32" ht="17.149999999999999" customHeight="1" thickTop="1" x14ac:dyDescent="0.3">
      <c r="A24" s="120"/>
      <c r="B24" s="7"/>
      <c r="C24" s="827"/>
      <c r="D24" s="827"/>
      <c r="E24" s="827"/>
      <c r="F24" s="827"/>
      <c r="G24" s="827"/>
      <c r="H24" s="827"/>
      <c r="I24" s="827"/>
      <c r="J24" s="827"/>
      <c r="K24" s="9"/>
      <c r="L24" s="75" t="str">
        <f>IF(Rates!$F$20="Yes","Total Contribution","")</f>
        <v/>
      </c>
      <c r="M24" s="7"/>
      <c r="N24" s="7"/>
      <c r="O24" s="7"/>
      <c r="P24" s="7"/>
      <c r="Q24" s="116" t="str">
        <f>IF(Rates!$F$20="Yes","Rs.","")</f>
        <v/>
      </c>
      <c r="R24" s="723" t="str">
        <f>IF(AND($U$3=1,Rates!$F$20="Yes"),Working!$M$67,"")</f>
        <v/>
      </c>
      <c r="S24" s="127"/>
    </row>
    <row r="25" spans="1:32" ht="25.4" customHeight="1" x14ac:dyDescent="0.3">
      <c r="A25" s="120"/>
      <c r="B25" s="7"/>
      <c r="C25" s="712"/>
      <c r="D25" s="712"/>
      <c r="E25" s="712"/>
      <c r="F25" s="712"/>
      <c r="G25" s="712"/>
      <c r="H25" s="712"/>
      <c r="I25" s="712"/>
      <c r="J25" s="712"/>
      <c r="K25" s="9"/>
      <c r="L25" s="809" t="str">
        <f>IF(Working!M12="Below 250cc",CONCATENATE(" N.B.:- Not Applicable for Motor Cycles engine capacity Above 250cc.   "),IF(AND(B13=1,T13="Ijarah"),"Standard Policy Terms Applicable. No Ijarah Benefits Applicable",""))</f>
        <v xml:space="preserve"> N.B.:- Not Applicable for Motor Cycles engine capacity Above 250cc.   </v>
      </c>
      <c r="M25" s="809"/>
      <c r="N25" s="809"/>
      <c r="O25" s="809"/>
      <c r="P25" s="809"/>
      <c r="Q25" s="809"/>
      <c r="R25" s="809"/>
      <c r="S25" s="810"/>
      <c r="X25" s="645"/>
      <c r="AB25" s="646"/>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292</v>
      </c>
      <c r="D28" s="333"/>
      <c r="E28" s="333"/>
      <c r="F28" s="333"/>
      <c r="G28" s="333"/>
      <c r="H28" s="333"/>
      <c r="I28" s="333"/>
      <c r="J28" s="333"/>
      <c r="K28" s="333"/>
      <c r="L28" s="333"/>
      <c r="M28" s="333"/>
      <c r="N28" s="333"/>
      <c r="O28" s="333"/>
      <c r="P28" s="333"/>
      <c r="Q28" s="333"/>
      <c r="R28" s="655"/>
      <c r="S28" s="129"/>
      <c r="V28" s="715"/>
      <c r="W28" s="715"/>
      <c r="X28" s="715"/>
      <c r="Y28" s="715"/>
      <c r="Z28" s="715"/>
      <c r="AA28" s="715"/>
      <c r="AB28" s="715"/>
      <c r="AC28" s="715"/>
      <c r="AD28" s="548"/>
      <c r="AE28" s="548"/>
      <c r="AF28" s="548"/>
    </row>
    <row r="29" spans="1:32" ht="18" customHeight="1" x14ac:dyDescent="0.3">
      <c r="A29" s="120"/>
      <c r="B29" s="7"/>
      <c r="C29" s="327" t="s">
        <v>290</v>
      </c>
      <c r="D29" s="329" t="s">
        <v>318</v>
      </c>
      <c r="E29" s="334"/>
      <c r="F29" s="334"/>
      <c r="G29" s="334"/>
      <c r="H29" s="334"/>
      <c r="I29" s="334"/>
      <c r="J29" s="334"/>
      <c r="K29" s="334"/>
      <c r="L29" s="334"/>
      <c r="M29" s="334"/>
      <c r="N29" s="334"/>
      <c r="O29" s="334"/>
      <c r="P29" s="334"/>
      <c r="Q29" s="334"/>
      <c r="R29" s="656"/>
      <c r="S29" s="129"/>
      <c r="V29" s="715"/>
      <c r="W29" s="716"/>
      <c r="X29" s="715"/>
      <c r="Y29" s="715"/>
      <c r="Z29" s="715"/>
      <c r="AA29" s="715"/>
      <c r="AB29" s="717"/>
      <c r="AC29" s="715"/>
      <c r="AD29" s="548"/>
      <c r="AE29" s="548"/>
      <c r="AF29" s="548"/>
    </row>
    <row r="30" spans="1:32" ht="18" customHeight="1" x14ac:dyDescent="0.3">
      <c r="A30" s="120"/>
      <c r="B30" s="7"/>
      <c r="C30" s="327" t="s">
        <v>291</v>
      </c>
      <c r="D30" s="329" t="str">
        <f>CONCATENATE("Third Party Liability"," (Property Damage limited to Rs.",FIXED(MAX(Rates!B55,R33),0),")")</f>
        <v>Third Party Liability (Property Damage limited to Rs.100,000)</v>
      </c>
      <c r="E30" s="334"/>
      <c r="F30" s="334"/>
      <c r="G30" s="334"/>
      <c r="H30" s="334"/>
      <c r="I30" s="334"/>
      <c r="J30" s="334"/>
      <c r="K30" s="334"/>
      <c r="L30" s="334"/>
      <c r="M30" s="334"/>
      <c r="N30" s="334"/>
      <c r="O30" s="334"/>
      <c r="P30" s="334"/>
      <c r="Q30" s="334"/>
      <c r="R30" s="656"/>
      <c r="S30" s="129"/>
      <c r="V30" s="715"/>
      <c r="W30" s="715"/>
      <c r="X30" s="715"/>
      <c r="Y30" s="715"/>
      <c r="Z30" s="715"/>
      <c r="AA30" s="715"/>
      <c r="AB30" s="715"/>
      <c r="AC30" s="715"/>
      <c r="AD30" s="548"/>
      <c r="AE30" s="548"/>
      <c r="AF30" s="548"/>
    </row>
    <row r="31" spans="1:32" ht="18" customHeight="1" x14ac:dyDescent="0.3">
      <c r="A31" s="120"/>
      <c r="B31" s="7"/>
      <c r="C31" s="327" t="s">
        <v>289</v>
      </c>
      <c r="D31" s="329" t="s">
        <v>298</v>
      </c>
      <c r="E31" s="334"/>
      <c r="F31" s="334"/>
      <c r="G31" s="334"/>
      <c r="H31" s="334"/>
      <c r="I31" s="334"/>
      <c r="J31" s="334"/>
      <c r="K31" s="334"/>
      <c r="L31" s="334"/>
      <c r="M31" s="334"/>
      <c r="N31" s="334"/>
      <c r="O31" s="334"/>
      <c r="P31" s="334"/>
      <c r="Q31" s="334"/>
      <c r="R31" s="720"/>
      <c r="S31" s="129"/>
      <c r="V31" s="715"/>
      <c r="W31" s="715"/>
      <c r="X31" s="715"/>
      <c r="Y31" s="715"/>
      <c r="Z31" s="715"/>
      <c r="AA31" s="715"/>
      <c r="AB31" s="715"/>
      <c r="AC31" s="715"/>
      <c r="AD31" s="548"/>
      <c r="AE31" s="548"/>
      <c r="AF31" s="548"/>
    </row>
    <row r="32" spans="1:32" ht="19" customHeight="1" thickBot="1" x14ac:dyDescent="0.45">
      <c r="A32" s="120"/>
      <c r="B32" s="7"/>
      <c r="C32" s="652"/>
      <c r="D32" s="608"/>
      <c r="E32" s="634"/>
      <c r="F32" s="634"/>
      <c r="G32" s="290"/>
      <c r="H32" s="635" t="str">
        <f>IF(Working!B21="Free","FREE",IF(Working!B21="No","N/A","Yes"))</f>
        <v>FREE</v>
      </c>
      <c r="I32" s="610"/>
      <c r="J32" s="279"/>
      <c r="K32" s="9"/>
      <c r="L32" s="651"/>
      <c r="M32" s="608"/>
      <c r="N32" s="24"/>
      <c r="O32" s="79"/>
      <c r="P32" s="9"/>
      <c r="Q32" s="7"/>
      <c r="R32" s="608"/>
      <c r="S32" s="128"/>
      <c r="T32" s="728" t="s">
        <v>519</v>
      </c>
      <c r="U32" s="281" t="str">
        <f>Working!B21</f>
        <v>Free</v>
      </c>
      <c r="V32" s="715" t="s">
        <v>17</v>
      </c>
      <c r="W32" s="714">
        <f>IF(OR(Working!R25=2,Working!AA25=1),1,0)</f>
        <v>0</v>
      </c>
      <c r="X32" s="715"/>
      <c r="Y32" s="715"/>
      <c r="Z32" s="718">
        <f>IF(AND(Working!AA25=1,Working!R25=2),MAX(Working!H25,Rates!C40),IF(AND(Working!AA25=1,Working!R25&lt;2),Rates!C40,IF(AND(Working!AA25=0,Working!R25=2),Working!H25,0)))</f>
        <v>0</v>
      </c>
      <c r="AA32" s="715"/>
      <c r="AB32" s="715"/>
      <c r="AC32" s="715"/>
      <c r="AD32" s="548"/>
      <c r="AE32" s="548"/>
      <c r="AF32" s="548"/>
    </row>
    <row r="33" spans="1:32" ht="19" customHeight="1" thickBot="1" x14ac:dyDescent="0.4">
      <c r="A33" s="120"/>
      <c r="B33" s="7"/>
      <c r="C33" s="21" t="s">
        <v>9</v>
      </c>
      <c r="D33" s="77" t="s">
        <v>529</v>
      </c>
      <c r="E33" s="10"/>
      <c r="F33" s="10"/>
      <c r="G33" s="10"/>
      <c r="H33" s="9"/>
      <c r="I33" s="9"/>
      <c r="J33" s="279"/>
      <c r="K33" s="9"/>
      <c r="L33" s="21" t="s">
        <v>9</v>
      </c>
      <c r="M33" s="612" t="s">
        <v>6</v>
      </c>
      <c r="N33" s="8"/>
      <c r="O33" s="11"/>
      <c r="P33" s="11"/>
      <c r="Q33" s="11"/>
      <c r="R33" s="698">
        <v>100000</v>
      </c>
      <c r="S33" s="126"/>
      <c r="T33" s="729" t="s">
        <v>0</v>
      </c>
      <c r="U33" s="287" t="str">
        <f>Working!B39</f>
        <v>Yes</v>
      </c>
      <c r="V33" s="715" t="s">
        <v>38</v>
      </c>
      <c r="W33" s="714">
        <f>Working!R29</f>
        <v>1</v>
      </c>
      <c r="X33" s="715"/>
      <c r="Y33" s="715"/>
      <c r="Z33" s="715"/>
      <c r="AA33" s="715"/>
      <c r="AB33" s="715"/>
      <c r="AC33" s="715"/>
      <c r="AD33" s="548"/>
      <c r="AE33" s="548"/>
      <c r="AF33" s="548"/>
    </row>
    <row r="34" spans="1:32" ht="19" customHeight="1" thickBot="1" x14ac:dyDescent="0.4">
      <c r="A34" s="120"/>
      <c r="B34" s="7"/>
      <c r="C34" s="21" t="s">
        <v>9</v>
      </c>
      <c r="D34" s="77" t="s">
        <v>264</v>
      </c>
      <c r="E34" s="10"/>
      <c r="F34" s="10"/>
      <c r="G34" s="10"/>
      <c r="H34" s="9"/>
      <c r="I34" s="9"/>
      <c r="J34" s="279"/>
      <c r="K34" s="9"/>
      <c r="L34" s="21" t="s">
        <v>9</v>
      </c>
      <c r="M34" s="612" t="s">
        <v>532</v>
      </c>
      <c r="N34" s="11"/>
      <c r="O34" s="11"/>
      <c r="P34" s="117"/>
      <c r="Q34" s="11"/>
      <c r="R34" s="700">
        <v>0</v>
      </c>
      <c r="S34" s="126"/>
      <c r="T34" s="721">
        <v>0</v>
      </c>
      <c r="U34" s="281" t="str">
        <f>Working!B40</f>
        <v>Yes</v>
      </c>
      <c r="V34" s="715" t="s">
        <v>37</v>
      </c>
      <c r="W34" s="714">
        <f>Working!T48</f>
        <v>1</v>
      </c>
      <c r="X34" s="715"/>
      <c r="Y34" s="715"/>
      <c r="Z34" s="715"/>
      <c r="AA34" s="715"/>
      <c r="AB34" s="715"/>
      <c r="AC34" s="715"/>
      <c r="AD34" s="548"/>
      <c r="AE34" s="548"/>
      <c r="AF34" s="548"/>
    </row>
    <row r="35" spans="1:32" ht="19" customHeight="1" thickBot="1" x14ac:dyDescent="0.4">
      <c r="A35" s="120"/>
      <c r="B35" s="7"/>
      <c r="C35" s="21" t="s">
        <v>9</v>
      </c>
      <c r="D35" s="77" t="s">
        <v>265</v>
      </c>
      <c r="E35" s="291"/>
      <c r="F35" s="76"/>
      <c r="G35" s="69"/>
      <c r="H35" s="22"/>
      <c r="I35" s="69"/>
      <c r="J35" s="279"/>
      <c r="K35" s="9"/>
      <c r="L35" s="21" t="s">
        <v>9</v>
      </c>
      <c r="M35" s="77" t="s">
        <v>12</v>
      </c>
      <c r="N35" s="11"/>
      <c r="O35" s="11"/>
      <c r="P35" s="11"/>
      <c r="Q35" s="11"/>
      <c r="R35" s="725">
        <v>0</v>
      </c>
      <c r="S35" s="126"/>
      <c r="T35" s="548" t="s">
        <v>539</v>
      </c>
      <c r="U35" s="281">
        <f>IF(Working!Y42&gt;0,1,0)</f>
        <v>0</v>
      </c>
      <c r="V35" s="715" t="s">
        <v>18</v>
      </c>
      <c r="W35" s="714">
        <f>IF(Working!Z42&gt;0,1,0)</f>
        <v>0</v>
      </c>
      <c r="X35" s="715" t="s">
        <v>16</v>
      </c>
      <c r="Y35" s="714">
        <f>IF(Working!X42&gt;0,1,0)</f>
        <v>0</v>
      </c>
      <c r="Z35" s="715" t="s">
        <v>33</v>
      </c>
      <c r="AA35" s="714">
        <f>IF(Working!T47=0,0,Working!O47)</f>
        <v>0</v>
      </c>
      <c r="AB35" s="715"/>
      <c r="AC35" s="715"/>
      <c r="AD35" s="548"/>
      <c r="AE35" s="548"/>
      <c r="AF35" s="548"/>
    </row>
    <row r="36" spans="1:32" ht="19" customHeight="1" x14ac:dyDescent="0.35">
      <c r="A36" s="120"/>
      <c r="B36" s="7"/>
      <c r="C36" s="21" t="s">
        <v>9</v>
      </c>
      <c r="D36" s="116" t="str">
        <f ca="1">IF(AND(Working!$M$36&lt;0,Working!$I$38="Reveal"),CONCATENATE(K38," - ",MIN(Working!$H$36%,Working!$R$36%)*100,"%"),K38)</f>
        <v>No Claim Bonus (*)</v>
      </c>
      <c r="E36" s="632"/>
      <c r="F36" s="76"/>
      <c r="G36" s="633"/>
      <c r="H36" s="22"/>
      <c r="I36" s="75" t="str">
        <f>IF(I12="Ijarah Leasing","NCB Protection","")</f>
        <v/>
      </c>
      <c r="J36" s="279"/>
      <c r="K36" s="9"/>
      <c r="L36" s="21" t="s">
        <v>9</v>
      </c>
      <c r="M36" s="116" t="str">
        <f>IF(Working!H54&gt;0,CONCATENATE("Learner Driver Cover for"," ",Working!H54,"  ","Person(s)"),"Learner Driver Cover")</f>
        <v>Learner Driver Cover</v>
      </c>
      <c r="N36" s="11"/>
      <c r="O36" s="11"/>
      <c r="P36" s="11"/>
      <c r="Q36" s="11"/>
      <c r="R36" s="11"/>
      <c r="S36" s="129"/>
      <c r="T36" s="650" t="s">
        <v>114</v>
      </c>
      <c r="U36" s="281" t="str">
        <f>Working!B41</f>
        <v>Yes</v>
      </c>
      <c r="V36" s="715" t="s">
        <v>32</v>
      </c>
      <c r="W36" s="714">
        <f>Working!O52</f>
        <v>0</v>
      </c>
      <c r="X36" s="715"/>
      <c r="Y36" s="714"/>
      <c r="Z36" s="715"/>
      <c r="AA36" s="714"/>
      <c r="AB36" s="715"/>
      <c r="AC36" s="715"/>
      <c r="AD36" s="548"/>
      <c r="AE36" s="548"/>
      <c r="AF36" s="548"/>
    </row>
    <row r="37" spans="1:32" ht="19" hidden="1" customHeight="1" x14ac:dyDescent="0.35">
      <c r="A37" s="120"/>
      <c r="B37" s="7"/>
      <c r="C37" s="77"/>
      <c r="D37" s="77"/>
      <c r="E37" s="77"/>
      <c r="F37" s="77"/>
      <c r="G37" s="708" t="s">
        <v>9</v>
      </c>
      <c r="H37" s="708" t="s">
        <v>9</v>
      </c>
      <c r="I37" s="75" t="str">
        <f>IF(I13="Ijarah Leasing","NCB Protection","")</f>
        <v/>
      </c>
      <c r="J37" s="279"/>
      <c r="K37" s="9"/>
      <c r="L37" s="21" t="s">
        <v>9</v>
      </c>
      <c r="M37" s="585"/>
      <c r="N37" s="123"/>
      <c r="O37" s="9"/>
      <c r="P37" s="9"/>
      <c r="Q37" s="74"/>
      <c r="R37" s="378"/>
      <c r="S37" s="129"/>
      <c r="U37" s="281">
        <f>IF(Working!Y43&gt;0,1,0)</f>
        <v>0</v>
      </c>
      <c r="V37" s="715" t="s">
        <v>18</v>
      </c>
      <c r="W37" s="714">
        <f>IF(Working!Z43&gt;0,1,0)</f>
        <v>0</v>
      </c>
      <c r="X37" s="715" t="s">
        <v>16</v>
      </c>
      <c r="Y37" s="714">
        <f>IF(Working!X43&gt;0,1,0)</f>
        <v>0</v>
      </c>
      <c r="Z37" s="715" t="s">
        <v>31</v>
      </c>
      <c r="AA37" s="714">
        <f>IF(OR(Working!Q49&gt;0,Working!H49&gt;0),1,0)</f>
        <v>0</v>
      </c>
      <c r="AB37" s="715">
        <f>IF(AND(Working!T47=1,Working!H49&lt;7500),7500,Working!H49)</f>
        <v>0</v>
      </c>
      <c r="AC37" s="715"/>
      <c r="AD37" s="548"/>
      <c r="AE37" s="548"/>
      <c r="AF37" s="548"/>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10"/>
      <c r="P38" s="610"/>
      <c r="Q38" s="609"/>
      <c r="R38" s="653"/>
      <c r="S38" s="129"/>
      <c r="U38" s="281">
        <f>Working!O50</f>
        <v>0</v>
      </c>
      <c r="V38" s="714" t="s">
        <v>30</v>
      </c>
      <c r="W38" s="714">
        <f ca="1">Working!P23</f>
        <v>1</v>
      </c>
      <c r="X38" s="715"/>
      <c r="Y38" s="715"/>
      <c r="Z38" s="715"/>
      <c r="AA38" s="715"/>
      <c r="AB38" s="715"/>
      <c r="AC38" s="715"/>
      <c r="AD38" s="548"/>
      <c r="AE38" s="548"/>
      <c r="AF38" s="548"/>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5" t="s">
        <v>29</v>
      </c>
      <c r="W39" s="714">
        <f>Working!O22</f>
        <v>0</v>
      </c>
      <c r="X39" s="715"/>
      <c r="Y39" s="715"/>
      <c r="Z39" s="715"/>
      <c r="AA39" s="715"/>
      <c r="AB39" s="715"/>
      <c r="AC39" s="715"/>
      <c r="AD39" s="548"/>
      <c r="AE39" s="548"/>
      <c r="AF39" s="548"/>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5"/>
      <c r="W40" s="714"/>
      <c r="X40" s="715"/>
      <c r="Y40" s="715"/>
      <c r="Z40" s="715"/>
      <c r="AA40" s="715"/>
      <c r="AB40" s="715"/>
      <c r="AC40" s="715"/>
      <c r="AD40" s="548"/>
      <c r="AE40" s="548"/>
      <c r="AF40" s="548"/>
    </row>
    <row r="41" spans="1:32" ht="12.75" hidden="1" customHeight="1" x14ac:dyDescent="0.35">
      <c r="A41" s="120"/>
      <c r="B41" s="7"/>
      <c r="C41" s="7"/>
      <c r="D41" s="819"/>
      <c r="E41" s="819"/>
      <c r="F41" s="7"/>
      <c r="G41" s="7"/>
      <c r="H41" s="7"/>
      <c r="I41" s="7"/>
      <c r="J41" s="9"/>
      <c r="K41" s="9"/>
      <c r="L41" s="11"/>
      <c r="M41" s="11"/>
      <c r="N41" s="11"/>
      <c r="O41" s="11"/>
      <c r="P41" s="11"/>
      <c r="Q41" s="11"/>
      <c r="R41" s="74"/>
      <c r="S41" s="129"/>
      <c r="T41" s="142" t="s">
        <v>27</v>
      </c>
      <c r="U41" s="281">
        <f>Working!O54</f>
        <v>0</v>
      </c>
      <c r="V41" s="719" t="s">
        <v>0</v>
      </c>
      <c r="W41" s="714">
        <f ca="1">Working!O36</f>
        <v>1</v>
      </c>
      <c r="X41" s="715"/>
      <c r="Y41" s="715"/>
      <c r="Z41" s="715"/>
      <c r="AA41" s="715"/>
      <c r="AB41" s="715"/>
    </row>
    <row r="42" spans="1:32" ht="12" customHeight="1" x14ac:dyDescent="0.3">
      <c r="A42" s="120"/>
      <c r="B42" s="7"/>
      <c r="C42" s="654"/>
      <c r="D42" s="654"/>
      <c r="E42" s="654"/>
      <c r="F42" s="654"/>
      <c r="G42" s="654"/>
      <c r="H42" s="654"/>
      <c r="I42" s="654"/>
      <c r="J42" s="654"/>
      <c r="K42" s="654"/>
      <c r="L42" s="654"/>
      <c r="M42" s="654"/>
      <c r="N42" s="654"/>
      <c r="O42" s="654"/>
      <c r="P42" s="654"/>
      <c r="Q42" s="654"/>
      <c r="R42" s="654"/>
      <c r="S42" s="126"/>
      <c r="T42" s="142" t="s">
        <v>43</v>
      </c>
      <c r="U42" s="281">
        <f>IF(Working!B55="Yes",1,0)</f>
        <v>0</v>
      </c>
      <c r="V42" s="715" t="s">
        <v>41</v>
      </c>
      <c r="W42" s="714">
        <v>1</v>
      </c>
      <c r="X42" s="715" t="s">
        <v>42</v>
      </c>
      <c r="Y42" s="715">
        <f>Working!O45</f>
        <v>0</v>
      </c>
      <c r="Z42" s="715"/>
      <c r="AA42" s="715"/>
      <c r="AB42" s="715"/>
    </row>
    <row r="43" spans="1:32" ht="13.5" customHeight="1" x14ac:dyDescent="0.3">
      <c r="A43" s="120"/>
      <c r="B43" s="7"/>
      <c r="C43" s="846" t="s">
        <v>533</v>
      </c>
      <c r="D43" s="846"/>
      <c r="E43" s="846"/>
      <c r="F43" s="846"/>
      <c r="G43" s="846"/>
      <c r="H43" s="846"/>
      <c r="I43" s="846"/>
      <c r="J43" s="846"/>
      <c r="K43" s="846"/>
      <c r="L43" s="846"/>
      <c r="M43" s="846"/>
      <c r="N43" s="846"/>
      <c r="O43" s="846"/>
      <c r="P43" s="846"/>
      <c r="Q43" s="846"/>
      <c r="R43" s="846"/>
      <c r="S43" s="126"/>
      <c r="T43" s="142" t="s">
        <v>16</v>
      </c>
      <c r="U43" s="281">
        <f>Working!O30</f>
        <v>0</v>
      </c>
      <c r="V43" s="715" t="s">
        <v>44</v>
      </c>
      <c r="W43" s="714">
        <f>Working!E34</f>
        <v>1</v>
      </c>
      <c r="X43" s="715" t="s">
        <v>48</v>
      </c>
      <c r="Y43" s="715" t="str">
        <f>Working!B46</f>
        <v>No</v>
      </c>
      <c r="Z43" s="715" t="s">
        <v>48</v>
      </c>
      <c r="AA43" s="715">
        <f>IF(Working!Q48=0,1,Working!T46)</f>
        <v>0</v>
      </c>
      <c r="AB43" s="715">
        <f>IF(AND(Working!M8="Motor Coach",Working!H9="SLTB Route"),1,0)</f>
        <v>0</v>
      </c>
    </row>
    <row r="44" spans="1:32" ht="18" customHeight="1" x14ac:dyDescent="0.3">
      <c r="A44" s="120"/>
      <c r="B44" s="7"/>
      <c r="C44" s="268" t="s">
        <v>323</v>
      </c>
      <c r="D44" s="292"/>
      <c r="E44" s="292"/>
      <c r="F44" s="292"/>
      <c r="G44" s="80" t="s">
        <v>324</v>
      </c>
      <c r="H44" s="292"/>
      <c r="I44" s="292"/>
      <c r="J44" s="292"/>
      <c r="K44" s="292"/>
      <c r="L44" s="292"/>
      <c r="M44" s="292"/>
      <c r="N44" s="292"/>
      <c r="O44" s="292"/>
      <c r="P44" s="292"/>
      <c r="Q44" s="292"/>
      <c r="R44" s="292"/>
      <c r="S44" s="126"/>
      <c r="U44" s="281"/>
      <c r="V44" s="715"/>
      <c r="W44" s="714"/>
      <c r="X44" s="715"/>
      <c r="Y44" s="715"/>
      <c r="Z44" s="715"/>
      <c r="AA44" s="715"/>
      <c r="AB44" s="715"/>
    </row>
    <row r="45" spans="1:32" ht="18" customHeight="1" x14ac:dyDescent="0.3">
      <c r="A45" s="120"/>
      <c r="B45" s="7">
        <f>IF(AND(Rates!D71="Yes",Working!H12="Hybrid"),1,0)</f>
        <v>0</v>
      </c>
      <c r="C45" s="538" t="s">
        <v>405</v>
      </c>
      <c r="D45" s="292"/>
      <c r="E45" s="292"/>
      <c r="F45" s="292"/>
      <c r="G45" s="292"/>
      <c r="H45" s="271" t="s">
        <v>51</v>
      </c>
      <c r="I45" s="293" t="str">
        <f ca="1">IF(AND(U3=1,Working!M12="Above 250cc")," as below",IF(AND(U3=1,Working!R93=0),"Nil",IF(U3=1,CONCATENATE("Rs.",FIXED(Working!R93,0),"/-"),"-")))</f>
        <v>Rs.2,500/-</v>
      </c>
      <c r="J45" s="358"/>
      <c r="K45" s="292"/>
      <c r="L45" s="294" t="str">
        <f>IF(U33="Yes","• Flood &amp; Natural Disaster","")</f>
        <v>• Flood &amp; Natural Disaster</v>
      </c>
      <c r="M45" s="292"/>
      <c r="N45" s="292"/>
      <c r="O45" s="292"/>
      <c r="P45" s="292"/>
      <c r="Q45" s="292" t="str">
        <f>IF(U33="Yes","-","")</f>
        <v>-</v>
      </c>
      <c r="R45" s="293" t="s">
        <v>530</v>
      </c>
      <c r="S45" s="126"/>
      <c r="U45" s="281"/>
      <c r="W45" s="611"/>
    </row>
    <row r="46" spans="1:32" ht="18" customHeight="1" x14ac:dyDescent="0.3">
      <c r="A46" s="120"/>
      <c r="B46" s="7"/>
      <c r="C46" s="376" t="str">
        <f>IF(AND(U3=1,Working!M12="Above 250cc"),CONCATENATE("  20% of loss with a minimum of Rs.",FIXED(Working!R93,0),"/-"),"")</f>
        <v/>
      </c>
      <c r="D46" s="292"/>
      <c r="E46" s="292"/>
      <c r="F46" s="292"/>
      <c r="G46" s="292"/>
      <c r="H46" s="292"/>
      <c r="I46" s="488"/>
      <c r="J46" s="358"/>
      <c r="K46" s="292"/>
      <c r="L46" s="270" t="s">
        <v>406</v>
      </c>
      <c r="M46" s="357"/>
      <c r="N46" s="295"/>
      <c r="O46" s="295"/>
      <c r="P46" s="292"/>
      <c r="Q46" s="292"/>
      <c r="R46" s="292"/>
      <c r="S46" s="126"/>
      <c r="U46" s="281"/>
      <c r="W46" s="611"/>
    </row>
    <row r="47" spans="1:32" ht="18" customHeight="1" x14ac:dyDescent="0.3">
      <c r="A47" s="120"/>
      <c r="B47" s="7"/>
      <c r="C47" s="567" t="str">
        <f>IF(AND(Rates!D67="Yes",OR(Working!H12="Hybrid",Working!H12="Electric")),CONCATENATE("• Excess on Inverter 25%; Excess on Battery : ",Rates!A68),"")</f>
        <v/>
      </c>
      <c r="D47" s="532"/>
      <c r="E47" s="532"/>
      <c r="F47" s="532"/>
      <c r="G47" s="532"/>
      <c r="H47" s="532"/>
      <c r="I47" s="532"/>
      <c r="J47" s="533"/>
      <c r="K47" s="486"/>
      <c r="L47" s="486"/>
      <c r="M47" s="486"/>
      <c r="N47" s="486"/>
      <c r="O47" s="486"/>
      <c r="P47" s="486"/>
      <c r="Q47" s="292"/>
      <c r="R47" s="292"/>
      <c r="S47" s="126"/>
      <c r="U47" s="281"/>
      <c r="W47" s="611"/>
    </row>
    <row r="48" spans="1:32" ht="18" customHeight="1" x14ac:dyDescent="0.3">
      <c r="A48" s="120"/>
      <c r="B48" s="7"/>
      <c r="C48" s="839" t="s">
        <v>299</v>
      </c>
      <c r="D48" s="840"/>
      <c r="E48" s="840"/>
      <c r="F48" s="840"/>
      <c r="G48" s="840"/>
      <c r="H48" s="840"/>
      <c r="I48" s="840"/>
      <c r="J48" s="840"/>
      <c r="K48" s="840"/>
      <c r="L48" s="840"/>
      <c r="M48" s="840"/>
      <c r="N48" s="840"/>
      <c r="O48" s="840"/>
      <c r="P48" s="840"/>
      <c r="Q48" s="840"/>
      <c r="R48" s="840"/>
      <c r="S48" s="126"/>
      <c r="U48" s="281"/>
      <c r="W48" s="611"/>
    </row>
    <row r="49" spans="1:24" ht="22.5" customHeight="1" x14ac:dyDescent="0.3">
      <c r="A49" s="120"/>
      <c r="B49" s="7"/>
      <c r="C49" s="733" t="s">
        <v>536</v>
      </c>
      <c r="D49" s="734"/>
      <c r="E49" s="734"/>
      <c r="F49" s="734"/>
      <c r="G49" s="734"/>
      <c r="H49" s="734"/>
      <c r="I49" s="735"/>
      <c r="J49" s="735"/>
      <c r="K49" s="735"/>
      <c r="L49" s="735"/>
      <c r="M49" s="735"/>
      <c r="N49" s="735"/>
      <c r="O49" s="735"/>
      <c r="P49" s="735"/>
      <c r="Q49" s="735"/>
      <c r="R49" s="735"/>
      <c r="S49" s="126"/>
      <c r="T49" s="142" t="s">
        <v>132</v>
      </c>
      <c r="U49" s="282">
        <f>IF(AND(Working!M8="Motor Coach",Working!H9="SLTB Route"),1,0)</f>
        <v>0</v>
      </c>
      <c r="V49" s="562" t="s">
        <v>28</v>
      </c>
      <c r="W49" s="611">
        <f>Working!O56</f>
        <v>0</v>
      </c>
      <c r="X49" s="562" t="str">
        <f ca="1">IF(Working!M36&lt;0,"NCB allowed is subject to documentary evidence.","")</f>
        <v/>
      </c>
    </row>
    <row r="50" spans="1:24" ht="19.5" customHeight="1" x14ac:dyDescent="0.3">
      <c r="A50" s="120"/>
      <c r="B50" s="7"/>
      <c r="C50" s="736" t="s">
        <v>537</v>
      </c>
      <c r="D50" s="737"/>
      <c r="E50" s="737"/>
      <c r="F50" s="737"/>
      <c r="G50" s="737"/>
      <c r="H50" s="737"/>
      <c r="I50" s="738"/>
      <c r="J50" s="738"/>
      <c r="K50" s="738"/>
      <c r="L50" s="738"/>
      <c r="M50" s="738"/>
      <c r="N50" s="738"/>
      <c r="O50" s="738"/>
      <c r="P50" s="738"/>
      <c r="Q50" s="738"/>
      <c r="R50" s="738"/>
      <c r="S50" s="126"/>
    </row>
    <row r="51" spans="1:24" ht="41.25" customHeight="1" x14ac:dyDescent="0.3">
      <c r="A51" s="120"/>
      <c r="B51" s="7"/>
      <c r="C51" s="829" t="s">
        <v>538</v>
      </c>
      <c r="D51" s="829"/>
      <c r="E51" s="829"/>
      <c r="F51" s="829"/>
      <c r="G51" s="829"/>
      <c r="H51" s="829"/>
      <c r="I51" s="829"/>
      <c r="J51" s="829"/>
      <c r="K51" s="829"/>
      <c r="L51" s="829"/>
      <c r="M51" s="829"/>
      <c r="N51" s="829"/>
      <c r="O51" s="829"/>
      <c r="P51" s="829"/>
      <c r="Q51" s="829"/>
      <c r="R51" s="829"/>
      <c r="S51" s="126"/>
    </row>
    <row r="52" spans="1:24" ht="29.25" customHeight="1" x14ac:dyDescent="0.3">
      <c r="A52" s="120"/>
      <c r="B52" s="7"/>
      <c r="C52" s="732"/>
      <c r="D52" s="732"/>
      <c r="E52" s="732"/>
      <c r="F52" s="732"/>
      <c r="G52" s="732"/>
      <c r="H52" s="732"/>
      <c r="I52" s="732"/>
      <c r="J52" s="732"/>
      <c r="K52" s="732"/>
      <c r="L52" s="732"/>
      <c r="M52" s="732"/>
      <c r="N52" s="732"/>
      <c r="O52" s="732"/>
      <c r="P52" s="732"/>
      <c r="Q52" s="732"/>
      <c r="R52" s="732"/>
      <c r="S52" s="129"/>
    </row>
    <row r="53" spans="1:24" ht="20.149999999999999" customHeight="1" x14ac:dyDescent="0.3">
      <c r="A53" s="120"/>
      <c r="B53" s="7"/>
      <c r="C53" s="731"/>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842" t="s">
        <v>535</v>
      </c>
      <c r="D54" s="843"/>
      <c r="E54" s="843"/>
      <c r="F54" s="843"/>
      <c r="G54" s="843"/>
      <c r="H54" s="843"/>
      <c r="I54" s="843"/>
      <c r="J54" s="843"/>
      <c r="K54" s="843"/>
      <c r="L54" s="843"/>
      <c r="M54" s="843"/>
      <c r="N54" s="278"/>
      <c r="O54" s="278"/>
      <c r="P54" s="278"/>
      <c r="Q54" s="278"/>
      <c r="R54" s="278"/>
      <c r="S54" s="129"/>
    </row>
    <row r="55" spans="1:24" ht="26.25" customHeight="1" x14ac:dyDescent="0.3">
      <c r="A55" s="120"/>
      <c r="B55" s="7"/>
      <c r="C55" s="843"/>
      <c r="D55" s="843"/>
      <c r="E55" s="843"/>
      <c r="F55" s="843"/>
      <c r="G55" s="843"/>
      <c r="H55" s="843"/>
      <c r="I55" s="843"/>
      <c r="J55" s="843"/>
      <c r="K55" s="843"/>
      <c r="L55" s="843"/>
      <c r="M55" s="843"/>
      <c r="N55" s="278"/>
      <c r="O55" s="278"/>
      <c r="P55" s="278"/>
      <c r="Q55" s="278"/>
      <c r="R55" s="278"/>
      <c r="S55" s="129"/>
      <c r="V55" s="562">
        <f>IF(OR(Working!E61=0,Working!E61=""),1,0)</f>
        <v>1</v>
      </c>
    </row>
    <row r="56" spans="1:24" ht="18" customHeight="1" x14ac:dyDescent="0.3">
      <c r="A56" s="120"/>
      <c r="B56" s="7"/>
      <c r="C56" s="380"/>
      <c r="D56" s="739"/>
      <c r="E56" s="741"/>
      <c r="F56" s="740"/>
      <c r="G56" s="322"/>
      <c r="H56" s="742"/>
      <c r="I56" s="739"/>
      <c r="J56" s="743"/>
      <c r="K56" s="830"/>
      <c r="L56" s="830"/>
      <c r="M56" s="322"/>
      <c r="N56" s="845"/>
      <c r="O56" s="845"/>
      <c r="P56" s="845"/>
      <c r="Q56" s="845"/>
      <c r="R56" s="845"/>
      <c r="S56" s="129"/>
    </row>
    <row r="57" spans="1:24" ht="30.75" hidden="1" customHeight="1" x14ac:dyDescent="0.3">
      <c r="A57" s="120"/>
      <c r="B57" s="7"/>
      <c r="C57" s="379"/>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838"/>
      <c r="D58" s="838"/>
      <c r="E58" s="838"/>
      <c r="F58" s="838"/>
      <c r="G58" s="838"/>
      <c r="H58" s="838"/>
      <c r="I58" s="838"/>
      <c r="J58" s="264"/>
      <c r="K58" s="264"/>
      <c r="L58" s="264"/>
      <c r="M58" s="14"/>
      <c r="N58" s="295"/>
      <c r="O58" s="295"/>
      <c r="P58" s="295"/>
      <c r="Q58" s="295"/>
      <c r="R58" s="295"/>
      <c r="S58" s="130"/>
    </row>
    <row r="59" spans="1:24" ht="17.25" customHeight="1" x14ac:dyDescent="0.3">
      <c r="A59" s="120"/>
      <c r="B59" s="7"/>
      <c r="C59" s="837"/>
      <c r="D59" s="837"/>
      <c r="E59" s="837"/>
      <c r="F59" s="837"/>
      <c r="G59" s="837"/>
      <c r="H59" s="837"/>
      <c r="I59" s="837"/>
      <c r="J59" s="7"/>
      <c r="K59" s="7"/>
      <c r="L59" s="14"/>
      <c r="M59" s="14"/>
      <c r="N59" s="131"/>
      <c r="O59" s="131"/>
      <c r="P59" s="131"/>
      <c r="Q59" s="131"/>
      <c r="R59" s="131"/>
      <c r="S59" s="130"/>
    </row>
    <row r="60" spans="1:24" ht="15" customHeight="1" thickBot="1" x14ac:dyDescent="0.3">
      <c r="A60" s="578"/>
      <c r="B60" s="579"/>
      <c r="C60" s="744" t="str">
        <f>CONCATENATE("MNI - ",Working!H23," - ",Working!H37," - ",Working!M55)</f>
        <v xml:space="preserve">MNI - 57.6 - 25 - </v>
      </c>
      <c r="D60" s="579"/>
      <c r="E60" s="579"/>
      <c r="F60" s="579"/>
      <c r="G60" s="579"/>
      <c r="H60" s="579"/>
      <c r="I60" s="579"/>
      <c r="J60" s="579"/>
      <c r="K60" s="579"/>
      <c r="L60" s="579"/>
      <c r="M60" s="579"/>
      <c r="N60" s="579"/>
      <c r="O60" s="580"/>
      <c r="P60" s="581"/>
      <c r="Q60" s="582"/>
      <c r="R60" s="583"/>
      <c r="S60" s="584"/>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831" t="s">
        <v>400</v>
      </c>
      <c r="B65" s="831"/>
      <c r="C65" s="831"/>
      <c r="D65" s="831"/>
      <c r="E65" s="831"/>
      <c r="F65" s="831"/>
      <c r="G65" s="831"/>
      <c r="H65" s="831"/>
      <c r="I65" s="831"/>
      <c r="J65" s="831"/>
      <c r="K65" s="831"/>
      <c r="L65" s="831"/>
      <c r="M65" s="831"/>
      <c r="N65" s="831"/>
      <c r="O65" s="831"/>
      <c r="P65" s="831"/>
      <c r="Q65" s="831"/>
      <c r="R65" s="831"/>
      <c r="S65" s="831"/>
    </row>
    <row r="66" spans="1:19" hidden="1" x14ac:dyDescent="0.25">
      <c r="A66" s="831"/>
      <c r="B66" s="831"/>
      <c r="C66" s="831"/>
      <c r="D66" s="831"/>
      <c r="E66" s="831"/>
      <c r="F66" s="831"/>
      <c r="G66" s="831"/>
      <c r="H66" s="831"/>
      <c r="I66" s="831"/>
      <c r="J66" s="831"/>
      <c r="K66" s="831"/>
      <c r="L66" s="831"/>
      <c r="M66" s="831"/>
      <c r="N66" s="831"/>
      <c r="O66" s="831"/>
      <c r="P66" s="831"/>
      <c r="Q66" s="831"/>
      <c r="R66" s="831"/>
      <c r="S66" s="831"/>
    </row>
    <row r="67" spans="1:19" hidden="1" x14ac:dyDescent="0.25">
      <c r="A67" s="831"/>
      <c r="B67" s="831"/>
      <c r="C67" s="831"/>
      <c r="D67" s="831"/>
      <c r="E67" s="831"/>
      <c r="F67" s="831"/>
      <c r="G67" s="831"/>
      <c r="H67" s="831"/>
      <c r="I67" s="831"/>
      <c r="J67" s="831"/>
      <c r="K67" s="831"/>
      <c r="L67" s="831"/>
      <c r="M67" s="831"/>
      <c r="N67" s="831"/>
      <c r="O67" s="831"/>
      <c r="P67" s="831"/>
      <c r="Q67" s="831"/>
      <c r="R67" s="831"/>
      <c r="S67" s="831"/>
    </row>
    <row r="68" spans="1:19" hidden="1" x14ac:dyDescent="0.25">
      <c r="A68" s="831"/>
      <c r="B68" s="831"/>
      <c r="C68" s="831"/>
      <c r="D68" s="831"/>
      <c r="E68" s="831"/>
      <c r="F68" s="831"/>
      <c r="G68" s="831"/>
      <c r="H68" s="831"/>
      <c r="I68" s="831"/>
      <c r="J68" s="831"/>
      <c r="K68" s="831"/>
      <c r="L68" s="831"/>
      <c r="M68" s="831"/>
      <c r="N68" s="831"/>
      <c r="O68" s="831"/>
      <c r="P68" s="831"/>
      <c r="Q68" s="831"/>
      <c r="R68" s="831"/>
      <c r="S68" s="831"/>
    </row>
    <row r="69" spans="1:19" hidden="1" x14ac:dyDescent="0.25">
      <c r="A69" s="831"/>
      <c r="B69" s="831"/>
      <c r="C69" s="831"/>
      <c r="D69" s="831"/>
      <c r="E69" s="831"/>
      <c r="F69" s="831"/>
      <c r="G69" s="831"/>
      <c r="H69" s="831"/>
      <c r="I69" s="831"/>
      <c r="J69" s="831"/>
      <c r="K69" s="831"/>
      <c r="L69" s="831"/>
      <c r="M69" s="831"/>
      <c r="N69" s="831"/>
      <c r="O69" s="831"/>
      <c r="P69" s="831"/>
      <c r="Q69" s="831"/>
      <c r="R69" s="831"/>
      <c r="S69" s="831"/>
    </row>
    <row r="70" spans="1:19" hidden="1" x14ac:dyDescent="0.25">
      <c r="A70" s="831"/>
      <c r="B70" s="831"/>
      <c r="C70" s="831"/>
      <c r="D70" s="831"/>
      <c r="E70" s="831"/>
      <c r="F70" s="831"/>
      <c r="G70" s="831"/>
      <c r="H70" s="831"/>
      <c r="I70" s="831"/>
      <c r="J70" s="831"/>
      <c r="K70" s="831"/>
      <c r="L70" s="831"/>
      <c r="M70" s="831"/>
      <c r="N70" s="831"/>
      <c r="O70" s="831"/>
      <c r="P70" s="831"/>
      <c r="Q70" s="831"/>
      <c r="R70" s="831"/>
      <c r="S70" s="831"/>
    </row>
    <row r="71" spans="1:19" hidden="1" x14ac:dyDescent="0.25">
      <c r="A71" s="831"/>
      <c r="B71" s="831"/>
      <c r="C71" s="831"/>
      <c r="D71" s="831"/>
      <c r="E71" s="831"/>
      <c r="F71" s="831"/>
      <c r="G71" s="831"/>
      <c r="H71" s="831"/>
      <c r="I71" s="831"/>
      <c r="J71" s="831"/>
      <c r="K71" s="831"/>
      <c r="L71" s="831"/>
      <c r="M71" s="831"/>
      <c r="N71" s="831"/>
      <c r="O71" s="831"/>
      <c r="P71" s="831"/>
      <c r="Q71" s="831"/>
      <c r="R71" s="831"/>
      <c r="S71" s="831"/>
    </row>
    <row r="86" spans="6:18" ht="14" hidden="1" x14ac:dyDescent="0.25">
      <c r="I86" s="489" t="s">
        <v>454</v>
      </c>
    </row>
    <row r="87" spans="6:18" ht="14" hidden="1" x14ac:dyDescent="0.25">
      <c r="F87" s="548" t="s">
        <v>457</v>
      </c>
      <c r="I87" s="548" t="s">
        <v>457</v>
      </c>
      <c r="R87" s="489" t="s">
        <v>453</v>
      </c>
    </row>
    <row r="88" spans="6:18" ht="14" hidden="1" x14ac:dyDescent="0.25">
      <c r="I88" s="548" t="s">
        <v>460</v>
      </c>
      <c r="R88" s="489" t="s">
        <v>523</v>
      </c>
    </row>
    <row r="89" spans="6:18" ht="14" hidden="1" x14ac:dyDescent="0.25">
      <c r="I89" s="548" t="s">
        <v>468</v>
      </c>
      <c r="R89" s="489" t="s">
        <v>454</v>
      </c>
    </row>
    <row r="90" spans="6:18" ht="14" hidden="1" x14ac:dyDescent="0.25">
      <c r="I90" s="548" t="s">
        <v>522</v>
      </c>
      <c r="R90" s="489" t="s">
        <v>381</v>
      </c>
    </row>
    <row r="91" spans="6:18" ht="14" hidden="1" x14ac:dyDescent="0.25">
      <c r="I91" s="548" t="s">
        <v>471</v>
      </c>
      <c r="R91" s="489" t="s">
        <v>454</v>
      </c>
    </row>
    <row r="92" spans="6:18" ht="14" hidden="1" x14ac:dyDescent="0.25">
      <c r="I92" s="548" t="s">
        <v>479</v>
      </c>
      <c r="R92" s="489" t="s">
        <v>455</v>
      </c>
    </row>
    <row r="93" spans="6:18" ht="14" hidden="1" x14ac:dyDescent="0.25">
      <c r="I93" s="548" t="s">
        <v>480</v>
      </c>
      <c r="R93" s="489" t="s">
        <v>456</v>
      </c>
    </row>
    <row r="94" spans="6:18" ht="14" hidden="1" x14ac:dyDescent="0.25">
      <c r="I94" s="548" t="s">
        <v>484</v>
      </c>
      <c r="R94" s="489" t="s">
        <v>382</v>
      </c>
    </row>
    <row r="95" spans="6:18" ht="14" hidden="1" x14ac:dyDescent="0.25">
      <c r="I95" s="548" t="s">
        <v>490</v>
      </c>
      <c r="R95" s="489" t="s">
        <v>458</v>
      </c>
    </row>
    <row r="96" spans="6:18" ht="14" hidden="1" x14ac:dyDescent="0.25">
      <c r="I96" s="548" t="s">
        <v>497</v>
      </c>
      <c r="R96" s="489" t="s">
        <v>389</v>
      </c>
    </row>
    <row r="97" spans="9:18" ht="28" hidden="1" x14ac:dyDescent="0.25">
      <c r="I97" s="548" t="s">
        <v>500</v>
      </c>
      <c r="R97" s="489" t="s">
        <v>459</v>
      </c>
    </row>
    <row r="98" spans="9:18" ht="14" hidden="1" x14ac:dyDescent="0.25">
      <c r="I98" s="548" t="s">
        <v>505</v>
      </c>
      <c r="R98" s="489" t="s">
        <v>431</v>
      </c>
    </row>
    <row r="99" spans="9:18" ht="14" hidden="1" x14ac:dyDescent="0.25">
      <c r="R99" s="489" t="s">
        <v>461</v>
      </c>
    </row>
    <row r="100" spans="9:18" ht="28" hidden="1" x14ac:dyDescent="0.25">
      <c r="I100" s="548">
        <f>IF(OR(F87=I86,F87=I87,F87=I88,F87=I89,F87=I90,F87=I91,F87=I92,F87=I93,F87=I94,F87=I95,F87=I96,F87=I97,F87=I98),1,0)</f>
        <v>1</v>
      </c>
      <c r="R100" s="489" t="s">
        <v>462</v>
      </c>
    </row>
    <row r="101" spans="9:18" ht="28" hidden="1" x14ac:dyDescent="0.25">
      <c r="R101" s="489" t="s">
        <v>463</v>
      </c>
    </row>
    <row r="102" spans="9:18" ht="14" hidden="1" x14ac:dyDescent="0.25">
      <c r="R102" s="489" t="s">
        <v>464</v>
      </c>
    </row>
    <row r="103" spans="9:18" ht="28" hidden="1" x14ac:dyDescent="0.25">
      <c r="R103" s="489" t="s">
        <v>465</v>
      </c>
    </row>
    <row r="104" spans="9:18" ht="28" hidden="1" x14ac:dyDescent="0.25">
      <c r="R104" s="489" t="s">
        <v>466</v>
      </c>
    </row>
    <row r="105" spans="9:18" ht="14" hidden="1" x14ac:dyDescent="0.25">
      <c r="R105" s="489" t="s">
        <v>467</v>
      </c>
    </row>
    <row r="106" spans="9:18" ht="28" hidden="1" x14ac:dyDescent="0.25">
      <c r="R106" s="489" t="s">
        <v>383</v>
      </c>
    </row>
    <row r="107" spans="9:18" ht="28" hidden="1" x14ac:dyDescent="0.25">
      <c r="R107" s="489" t="s">
        <v>469</v>
      </c>
    </row>
    <row r="108" spans="9:18" ht="28" hidden="1" x14ac:dyDescent="0.25">
      <c r="R108" s="489" t="s">
        <v>470</v>
      </c>
    </row>
    <row r="109" spans="9:18" ht="14" hidden="1" x14ac:dyDescent="0.25">
      <c r="R109" s="489" t="s">
        <v>416</v>
      </c>
    </row>
    <row r="110" spans="9:18" ht="28" hidden="1" x14ac:dyDescent="0.25">
      <c r="R110" s="489" t="s">
        <v>472</v>
      </c>
    </row>
    <row r="111" spans="9:18" ht="28" hidden="1" x14ac:dyDescent="0.25">
      <c r="R111" s="489" t="s">
        <v>473</v>
      </c>
    </row>
    <row r="112" spans="9:18" ht="14" hidden="1" x14ac:dyDescent="0.25">
      <c r="R112" s="489" t="s">
        <v>474</v>
      </c>
    </row>
    <row r="113" spans="18:18" ht="14" hidden="1" x14ac:dyDescent="0.25">
      <c r="R113" s="489" t="s">
        <v>475</v>
      </c>
    </row>
    <row r="114" spans="18:18" ht="14" hidden="1" x14ac:dyDescent="0.25">
      <c r="R114" s="489" t="s">
        <v>476</v>
      </c>
    </row>
    <row r="115" spans="18:18" ht="28" hidden="1" x14ac:dyDescent="0.25">
      <c r="R115" s="489" t="s">
        <v>477</v>
      </c>
    </row>
    <row r="116" spans="18:18" ht="14" hidden="1" x14ac:dyDescent="0.25">
      <c r="R116" s="489" t="s">
        <v>478</v>
      </c>
    </row>
    <row r="117" spans="18:18" ht="14" hidden="1" x14ac:dyDescent="0.25">
      <c r="R117" s="489" t="s">
        <v>390</v>
      </c>
    </row>
    <row r="118" spans="18:18" ht="14" hidden="1" x14ac:dyDescent="0.25">
      <c r="R118" s="489" t="s">
        <v>391</v>
      </c>
    </row>
    <row r="119" spans="18:18" ht="14" hidden="1" x14ac:dyDescent="0.25">
      <c r="R119" s="489" t="s">
        <v>384</v>
      </c>
    </row>
    <row r="120" spans="18:18" ht="14" hidden="1" x14ac:dyDescent="0.25">
      <c r="R120" s="489" t="s">
        <v>392</v>
      </c>
    </row>
    <row r="121" spans="18:18" ht="14" hidden="1" x14ac:dyDescent="0.25">
      <c r="R121" s="489" t="s">
        <v>385</v>
      </c>
    </row>
    <row r="122" spans="18:18" ht="14" hidden="1" x14ac:dyDescent="0.25">
      <c r="R122" s="489" t="s">
        <v>386</v>
      </c>
    </row>
    <row r="123" spans="18:18" ht="28" hidden="1" x14ac:dyDescent="0.25">
      <c r="R123" s="489" t="s">
        <v>481</v>
      </c>
    </row>
    <row r="124" spans="18:18" ht="14" hidden="1" x14ac:dyDescent="0.25">
      <c r="R124" s="489" t="s">
        <v>482</v>
      </c>
    </row>
    <row r="125" spans="18:18" ht="14" hidden="1" x14ac:dyDescent="0.25">
      <c r="R125" s="489" t="s">
        <v>483</v>
      </c>
    </row>
    <row r="126" spans="18:18" ht="14" hidden="1" x14ac:dyDescent="0.25">
      <c r="R126" s="489" t="s">
        <v>485</v>
      </c>
    </row>
    <row r="127" spans="18:18" ht="14" hidden="1" x14ac:dyDescent="0.25">
      <c r="R127" s="489" t="s">
        <v>486</v>
      </c>
    </row>
    <row r="128" spans="18:18" ht="28" hidden="1" x14ac:dyDescent="0.25">
      <c r="R128" s="489" t="s">
        <v>387</v>
      </c>
    </row>
    <row r="129" spans="18:18" ht="28" hidden="1" x14ac:dyDescent="0.25">
      <c r="R129" s="489" t="s">
        <v>423</v>
      </c>
    </row>
    <row r="130" spans="18:18" ht="28" hidden="1" x14ac:dyDescent="0.25">
      <c r="R130" s="489" t="s">
        <v>422</v>
      </c>
    </row>
    <row r="131" spans="18:18" ht="14" hidden="1" x14ac:dyDescent="0.25">
      <c r="R131" s="489" t="s">
        <v>487</v>
      </c>
    </row>
    <row r="132" spans="18:18" ht="28" hidden="1" x14ac:dyDescent="0.25">
      <c r="R132" s="489" t="s">
        <v>488</v>
      </c>
    </row>
    <row r="133" spans="18:18" ht="14" hidden="1" x14ac:dyDescent="0.25">
      <c r="R133" s="489" t="s">
        <v>489</v>
      </c>
    </row>
    <row r="134" spans="18:18" ht="28" hidden="1" x14ac:dyDescent="0.25">
      <c r="R134" s="489" t="s">
        <v>491</v>
      </c>
    </row>
    <row r="135" spans="18:18" ht="14" hidden="1" x14ac:dyDescent="0.25">
      <c r="R135" s="489" t="s">
        <v>492</v>
      </c>
    </row>
    <row r="136" spans="18:18" ht="28" hidden="1" x14ac:dyDescent="0.25">
      <c r="R136" s="489" t="s">
        <v>493</v>
      </c>
    </row>
    <row r="137" spans="18:18" ht="28" hidden="1" x14ac:dyDescent="0.25">
      <c r="R137" s="489" t="s">
        <v>494</v>
      </c>
    </row>
    <row r="138" spans="18:18" ht="14" hidden="1" x14ac:dyDescent="0.25">
      <c r="R138" s="489" t="s">
        <v>495</v>
      </c>
    </row>
    <row r="139" spans="18:18" ht="14" hidden="1" x14ac:dyDescent="0.25">
      <c r="R139" s="489" t="s">
        <v>496</v>
      </c>
    </row>
    <row r="140" spans="18:18" ht="28" hidden="1" x14ac:dyDescent="0.25">
      <c r="R140" s="489" t="s">
        <v>393</v>
      </c>
    </row>
    <row r="141" spans="18:18" ht="28" hidden="1" x14ac:dyDescent="0.25">
      <c r="R141" s="489" t="s">
        <v>498</v>
      </c>
    </row>
    <row r="142" spans="18:18" ht="28" hidden="1" x14ac:dyDescent="0.25">
      <c r="R142" s="489" t="s">
        <v>499</v>
      </c>
    </row>
    <row r="143" spans="18:18" ht="14" hidden="1" x14ac:dyDescent="0.25">
      <c r="R143" s="489" t="s">
        <v>501</v>
      </c>
    </row>
    <row r="144" spans="18:18" ht="28" hidden="1" x14ac:dyDescent="0.25">
      <c r="R144" s="489" t="s">
        <v>502</v>
      </c>
    </row>
    <row r="145" spans="18:18" ht="14" hidden="1" x14ac:dyDescent="0.25">
      <c r="R145" s="489" t="s">
        <v>503</v>
      </c>
    </row>
    <row r="146" spans="18:18" ht="14" hidden="1" x14ac:dyDescent="0.25">
      <c r="R146" s="489" t="s">
        <v>504</v>
      </c>
    </row>
    <row r="147" spans="18:18" ht="28" hidden="1" x14ac:dyDescent="0.25">
      <c r="R147" s="489" t="s">
        <v>418</v>
      </c>
    </row>
    <row r="148" spans="18:18" ht="14" hidden="1" x14ac:dyDescent="0.25">
      <c r="R148" s="489" t="s">
        <v>506</v>
      </c>
    </row>
    <row r="149" spans="18:18" ht="14" hidden="1" x14ac:dyDescent="0.25">
      <c r="R149" s="489" t="s">
        <v>507</v>
      </c>
    </row>
    <row r="150" spans="18:18" ht="14" hidden="1" x14ac:dyDescent="0.25">
      <c r="R150" s="489" t="s">
        <v>508</v>
      </c>
    </row>
    <row r="151" spans="18:18" ht="14" hidden="1" x14ac:dyDescent="0.25">
      <c r="R151" s="489" t="s">
        <v>509</v>
      </c>
    </row>
    <row r="152" spans="18:18" ht="14" hidden="1" x14ac:dyDescent="0.25">
      <c r="R152" s="489" t="s">
        <v>428</v>
      </c>
    </row>
    <row r="153" spans="18:18" ht="28" hidden="1" x14ac:dyDescent="0.25">
      <c r="R153" s="489" t="s">
        <v>510</v>
      </c>
    </row>
    <row r="154" spans="18:18" ht="28" hidden="1" x14ac:dyDescent="0.25">
      <c r="R154" s="489" t="s">
        <v>511</v>
      </c>
    </row>
    <row r="155" spans="18:18" ht="28" hidden="1" x14ac:dyDescent="0.25">
      <c r="R155" s="489" t="s">
        <v>512</v>
      </c>
    </row>
    <row r="156" spans="18:18" ht="14" hidden="1" x14ac:dyDescent="0.25">
      <c r="R156" s="489" t="s">
        <v>513</v>
      </c>
    </row>
    <row r="157" spans="18:18" ht="28" hidden="1" x14ac:dyDescent="0.25">
      <c r="R157" s="489" t="s">
        <v>514</v>
      </c>
    </row>
    <row r="158" spans="18:18" ht="28" hidden="1" x14ac:dyDescent="0.25">
      <c r="R158" s="489" t="s">
        <v>515</v>
      </c>
    </row>
    <row r="159" spans="18:18" ht="28" hidden="1" x14ac:dyDescent="0.25">
      <c r="R159" s="489" t="s">
        <v>516</v>
      </c>
    </row>
    <row r="160" spans="18:18" ht="14" hidden="1" x14ac:dyDescent="0.25">
      <c r="R160" s="489" t="s">
        <v>388</v>
      </c>
    </row>
    <row r="161" spans="18:18" ht="14" hidden="1" x14ac:dyDescent="0.25">
      <c r="R161" s="489"/>
    </row>
    <row r="162" spans="18:18" ht="14" hidden="1" x14ac:dyDescent="0.25">
      <c r="R162" s="489"/>
    </row>
    <row r="163" spans="18:18" ht="14" hidden="1" x14ac:dyDescent="0.25">
      <c r="R163" s="489"/>
    </row>
    <row r="164" spans="18:18" ht="14" hidden="1" x14ac:dyDescent="0.25">
      <c r="R164" s="489"/>
    </row>
    <row r="165" spans="18:18" ht="14" hidden="1" x14ac:dyDescent="0.25">
      <c r="R165" s="489"/>
    </row>
    <row r="166" spans="18:18" ht="14" hidden="1" x14ac:dyDescent="0.25">
      <c r="R166" s="489"/>
    </row>
    <row r="167" spans="18:18" ht="14" hidden="1" x14ac:dyDescent="0.25">
      <c r="R167" s="489"/>
    </row>
    <row r="168" spans="18:18" ht="14" hidden="1" x14ac:dyDescent="0.25">
      <c r="R168" s="489"/>
    </row>
    <row r="169" spans="18:18" ht="14" hidden="1" x14ac:dyDescent="0.25">
      <c r="R169" s="489"/>
    </row>
    <row r="170" spans="18:18" ht="14" hidden="1" x14ac:dyDescent="0.25">
      <c r="R170" s="489"/>
    </row>
    <row r="171" spans="18:18" ht="14" hidden="1" x14ac:dyDescent="0.25">
      <c r="R171" s="489"/>
    </row>
    <row r="172" spans="18:18" ht="14" hidden="1" x14ac:dyDescent="0.25">
      <c r="R172" s="489"/>
    </row>
    <row r="173" spans="18:18" ht="13" thickTop="1" x14ac:dyDescent="0.25"/>
  </sheetData>
  <sheetProtection password="F6CE" sheet="1" objects="1" scenarios="1"/>
  <dataConsolidate/>
  <mergeCells count="27">
    <mergeCell ref="C51:R51"/>
    <mergeCell ref="K56:L56"/>
    <mergeCell ref="A65:S71"/>
    <mergeCell ref="M1:S1"/>
    <mergeCell ref="M2:R2"/>
    <mergeCell ref="C11:J11"/>
    <mergeCell ref="C8:J8"/>
    <mergeCell ref="P7:S7"/>
    <mergeCell ref="C59:I59"/>
    <mergeCell ref="C58:I58"/>
    <mergeCell ref="C48:R48"/>
    <mergeCell ref="P4:R4"/>
    <mergeCell ref="C54:M55"/>
    <mergeCell ref="P12:R12"/>
    <mergeCell ref="N56:R56"/>
    <mergeCell ref="C43:R43"/>
    <mergeCell ref="L25:S25"/>
    <mergeCell ref="C13:J13"/>
    <mergeCell ref="P8:Q8"/>
    <mergeCell ref="P11:R11"/>
    <mergeCell ref="D41:E41"/>
    <mergeCell ref="P13:Q13"/>
    <mergeCell ref="P9:R9"/>
    <mergeCell ref="P10:Q10"/>
    <mergeCell ref="Q16:R17"/>
    <mergeCell ref="C20:J24"/>
    <mergeCell ref="C17:I18"/>
  </mergeCells>
  <phoneticPr fontId="0" type="noConversion"/>
  <conditionalFormatting sqref="X32">
    <cfRule type="expression" dxfId="163" priority="35" stopIfTrue="1">
      <formula>E32&gt;9%</formula>
    </cfRule>
  </conditionalFormatting>
  <conditionalFormatting sqref="X49">
    <cfRule type="expression" dxfId="162" priority="36" stopIfTrue="1">
      <formula>T42=1</formula>
    </cfRule>
  </conditionalFormatting>
  <conditionalFormatting sqref="M34">
    <cfRule type="expression" dxfId="161" priority="39" stopIfTrue="1">
      <formula>W32=1</formula>
    </cfRule>
  </conditionalFormatting>
  <conditionalFormatting sqref="F36">
    <cfRule type="expression" dxfId="160" priority="40" stopIfTrue="1">
      <formula>W37=3</formula>
    </cfRule>
  </conditionalFormatting>
  <conditionalFormatting sqref="Q37">
    <cfRule type="expression" dxfId="159" priority="41" stopIfTrue="1">
      <formula>X42=1</formula>
    </cfRule>
  </conditionalFormatting>
  <conditionalFormatting sqref="L39">
    <cfRule type="expression" dxfId="158" priority="43" stopIfTrue="1">
      <formula>U42=1</formula>
    </cfRule>
  </conditionalFormatting>
  <conditionalFormatting sqref="C33:C34">
    <cfRule type="expression" dxfId="157" priority="44" stopIfTrue="1">
      <formula>U33="Yes"</formula>
    </cfRule>
  </conditionalFormatting>
  <conditionalFormatting sqref="X25">
    <cfRule type="expression" dxfId="156" priority="45" stopIfTrue="1">
      <formula>W38=1</formula>
    </cfRule>
  </conditionalFormatting>
  <conditionalFormatting sqref="M33">
    <cfRule type="expression" dxfId="155" priority="46" stopIfTrue="1">
      <formula>W34=1</formula>
    </cfRule>
  </conditionalFormatting>
  <conditionalFormatting sqref="L33">
    <cfRule type="expression" dxfId="154" priority="48" stopIfTrue="1">
      <formula>W34=1</formula>
    </cfRule>
  </conditionalFormatting>
  <conditionalFormatting sqref="D33:D34">
    <cfRule type="expression" dxfId="153" priority="49" stopIfTrue="1">
      <formula>U33="Yes"</formula>
    </cfRule>
  </conditionalFormatting>
  <conditionalFormatting sqref="C35">
    <cfRule type="expression" dxfId="152" priority="50" stopIfTrue="1">
      <formula>AND(U36="Yes",U34="Yes")</formula>
    </cfRule>
  </conditionalFormatting>
  <conditionalFormatting sqref="D35">
    <cfRule type="expression" dxfId="151" priority="51" stopIfTrue="1">
      <formula>AND(U36="Yes",U34="Yes")</formula>
    </cfRule>
  </conditionalFormatting>
  <conditionalFormatting sqref="L34">
    <cfRule type="expression" dxfId="150" priority="52" stopIfTrue="1">
      <formula>W32=1</formula>
    </cfRule>
  </conditionalFormatting>
  <conditionalFormatting sqref="M39">
    <cfRule type="expression" dxfId="149" priority="54" stopIfTrue="1">
      <formula>U42=1</formula>
    </cfRule>
  </conditionalFormatting>
  <conditionalFormatting sqref="L36">
    <cfRule type="expression" dxfId="148" priority="57" stopIfTrue="1">
      <formula>U41=1</formula>
    </cfRule>
  </conditionalFormatting>
  <conditionalFormatting sqref="Y23">
    <cfRule type="expression" dxfId="147" priority="58" stopIfTrue="1">
      <formula>AA37=1</formula>
    </cfRule>
  </conditionalFormatting>
  <conditionalFormatting sqref="W29">
    <cfRule type="expression" dxfId="146" priority="60" stopIfTrue="1">
      <formula>W39=1</formula>
    </cfRule>
  </conditionalFormatting>
  <conditionalFormatting sqref="E36">
    <cfRule type="expression" dxfId="145" priority="62" stopIfTrue="1">
      <formula>U37=1</formula>
    </cfRule>
  </conditionalFormatting>
  <conditionalFormatting sqref="M36">
    <cfRule type="expression" dxfId="144" priority="63" stopIfTrue="1">
      <formula>U41=1</formula>
    </cfRule>
  </conditionalFormatting>
  <conditionalFormatting sqref="D36">
    <cfRule type="expression" dxfId="143" priority="64" stopIfTrue="1">
      <formula>W41=1</formula>
    </cfRule>
  </conditionalFormatting>
  <conditionalFormatting sqref="C36">
    <cfRule type="expression" dxfId="142" priority="65" stopIfTrue="1">
      <formula>W41=1</formula>
    </cfRule>
  </conditionalFormatting>
  <conditionalFormatting sqref="C40">
    <cfRule type="expression" dxfId="141" priority="68" stopIfTrue="1">
      <formula>T40=1</formula>
    </cfRule>
  </conditionalFormatting>
  <conditionalFormatting sqref="L40">
    <cfRule type="expression" dxfId="140" priority="69" stopIfTrue="1">
      <formula>U40=1</formula>
    </cfRule>
  </conditionalFormatting>
  <conditionalFormatting sqref="D40">
    <cfRule type="expression" dxfId="139" priority="70" stopIfTrue="1">
      <formula>T40=1</formula>
    </cfRule>
  </conditionalFormatting>
  <conditionalFormatting sqref="M40">
    <cfRule type="expression" dxfId="138" priority="71" stopIfTrue="1">
      <formula>U40=1</formula>
    </cfRule>
  </conditionalFormatting>
  <conditionalFormatting sqref="I16">
    <cfRule type="expression" dxfId="137" priority="76" stopIfTrue="1">
      <formula>T18="One Year"</formula>
    </cfRule>
  </conditionalFormatting>
  <conditionalFormatting sqref="C53">
    <cfRule type="expression" dxfId="136" priority="77" stopIfTrue="1">
      <formula>V55&lt;&gt;0</formula>
    </cfRule>
  </conditionalFormatting>
  <conditionalFormatting sqref="U49">
    <cfRule type="cellIs" dxfId="135" priority="78" stopIfTrue="1" operator="equal">
      <formula>"."</formula>
    </cfRule>
  </conditionalFormatting>
  <conditionalFormatting sqref="X39:X40">
    <cfRule type="expression" dxfId="134" priority="80" stopIfTrue="1">
      <formula>#REF!&gt;1</formula>
    </cfRule>
  </conditionalFormatting>
  <conditionalFormatting sqref="D41:E41">
    <cfRule type="cellIs" dxfId="133" priority="81" stopIfTrue="1" operator="equal">
      <formula>"-"</formula>
    </cfRule>
  </conditionalFormatting>
  <conditionalFormatting sqref="G39:G40 E35 C9">
    <cfRule type="cellIs" dxfId="132" priority="82" stopIfTrue="1" operator="equal">
      <formula>0</formula>
    </cfRule>
  </conditionalFormatting>
  <conditionalFormatting sqref="H36">
    <cfRule type="expression" dxfId="131" priority="83" stopIfTrue="1">
      <formula>#REF!&gt;1000</formula>
    </cfRule>
  </conditionalFormatting>
  <conditionalFormatting sqref="I39:I40">
    <cfRule type="expression" dxfId="130" priority="85" stopIfTrue="1">
      <formula>#REF!=0</formula>
    </cfRule>
  </conditionalFormatting>
  <conditionalFormatting sqref="R5 P4">
    <cfRule type="cellIs" dxfId="129" priority="87" stopIfTrue="1" operator="equal">
      <formula>0</formula>
    </cfRule>
  </conditionalFormatting>
  <conditionalFormatting sqref="L23">
    <cfRule type="cellIs" dxfId="128" priority="89" stopIfTrue="1" operator="equal">
      <formula>"Total Contribution"</formula>
    </cfRule>
  </conditionalFormatting>
  <conditionalFormatting sqref="C8">
    <cfRule type="cellIs" dxfId="127" priority="28" stopIfTrue="1" operator="equal">
      <formula>0</formula>
    </cfRule>
  </conditionalFormatting>
  <conditionalFormatting sqref="Q38">
    <cfRule type="expression" dxfId="126" priority="24" stopIfTrue="1">
      <formula>V42=1</formula>
    </cfRule>
  </conditionalFormatting>
  <conditionalFormatting sqref="R38">
    <cfRule type="expression" dxfId="125" priority="23" stopIfTrue="1">
      <formula>AA43=1</formula>
    </cfRule>
  </conditionalFormatting>
  <conditionalFormatting sqref="G36">
    <cfRule type="expression" dxfId="124" priority="291" stopIfTrue="1">
      <formula>W35=1</formula>
    </cfRule>
  </conditionalFormatting>
  <conditionalFormatting sqref="F35">
    <cfRule type="expression" dxfId="123" priority="18" stopIfTrue="1">
      <formula>W35=3</formula>
    </cfRule>
  </conditionalFormatting>
  <conditionalFormatting sqref="G35">
    <cfRule type="expression" dxfId="122" priority="19" stopIfTrue="1">
      <formula>W35=1</formula>
    </cfRule>
  </conditionalFormatting>
  <conditionalFormatting sqref="H35">
    <cfRule type="expression" dxfId="121" priority="20" stopIfTrue="1">
      <formula>#REF!&gt;1000</formula>
    </cfRule>
  </conditionalFormatting>
  <conditionalFormatting sqref="L35">
    <cfRule type="expression" dxfId="120" priority="21" stopIfTrue="1">
      <formula>AA37=1</formula>
    </cfRule>
  </conditionalFormatting>
  <conditionalFormatting sqref="M35">
    <cfRule type="expression" dxfId="119" priority="22" stopIfTrue="1">
      <formula>AA37=1</formula>
    </cfRule>
  </conditionalFormatting>
  <conditionalFormatting sqref="G37">
    <cfRule type="expression" dxfId="118" priority="14" stopIfTrue="1">
      <formula>AND(B13=1,I13="Ijarah Leasing")</formula>
    </cfRule>
  </conditionalFormatting>
  <conditionalFormatting sqref="H37">
    <cfRule type="expression" dxfId="117" priority="13" stopIfTrue="1">
      <formula>AND(C13=1,J13="Ijarah")</formula>
    </cfRule>
  </conditionalFormatting>
  <conditionalFormatting sqref="C13">
    <cfRule type="cellIs" dxfId="116" priority="8" stopIfTrue="1" operator="equal">
      <formula>0</formula>
    </cfRule>
  </conditionalFormatting>
  <conditionalFormatting sqref="L37:L38">
    <cfRule type="expression" dxfId="115" priority="6" stopIfTrue="1">
      <formula>AND(AD35="Yes",AD33="Yes")</formula>
    </cfRule>
  </conditionalFormatting>
  <conditionalFormatting sqref="C11">
    <cfRule type="cellIs" dxfId="114" priority="3" stopIfTrue="1" operator="equal">
      <formula>0</formula>
    </cfRule>
  </conditionalFormatting>
  <conditionalFormatting sqref="I35">
    <cfRule type="expression" dxfId="113" priority="2" stopIfTrue="1">
      <formula>Y35=1</formula>
    </cfRule>
  </conditionalFormatting>
  <conditionalFormatting sqref="V41">
    <cfRule type="expression" dxfId="112" priority="292" stopIfTrue="1">
      <formula>$E$36&gt;0</formula>
    </cfRule>
  </conditionalFormatting>
  <conditionalFormatting sqref="R8">
    <cfRule type="expression" dxfId="111" priority="1" stopIfTrue="1">
      <formula>P8="OTHER"</formula>
    </cfRule>
  </conditionalFormatting>
  <dataValidations count="12">
    <dataValidation type="whole" allowBlank="1" showInputMessage="1" showErrorMessage="1" sqref="E36 Q38 G35:H37 I35 C33:C36 L33:L40 C40" xr:uid="{00000000-0002-0000-0300-000000000000}">
      <formula1>0</formula1>
      <formula2>1</formula2>
    </dataValidation>
    <dataValidation type="list" allowBlank="1" showInputMessage="1" showErrorMessage="1" sqref="T20 T36" xr:uid="{00000000-0002-0000-0300-000001000000}">
      <formula1>"Yes,No"</formula1>
    </dataValidation>
    <dataValidation type="list" allowBlank="1" showInputMessage="1" showErrorMessage="1" sqref="P13:Q13" xr:uid="{00000000-0002-0000-0300-000002000000}">
      <formula1>"2001,2002,2003,2004,2005,2006,2007,2008,2009,2010,2011,2012,2013,2014,2015,2016,2017,2018,2019,2020,2021"</formula1>
    </dataValidation>
    <dataValidation type="decimal" allowBlank="1" showInputMessage="1" showErrorMessage="1" error="Maximum 65% NCB_x000a_" sqref="T34" xr:uid="{00000000-0002-0000-0300-000003000000}">
      <formula1>0</formula1>
      <formula2>65</formula2>
    </dataValidation>
    <dataValidation type="list" operator="notBetween" allowBlank="1" showInputMessage="1" showErrorMessage="1" sqref="R33" xr:uid="{00000000-0002-0000-0300-000004000000}">
      <formula1>"100000,300000,500000,1000000"</formula1>
    </dataValidation>
    <dataValidation type="whole" allowBlank="1" showInputMessage="1" showErrorMessage="1" sqref="R35" xr:uid="{00000000-0002-0000-0300-000005000000}">
      <formula1>0</formula1>
      <formula2>30000</formula2>
    </dataValidation>
    <dataValidation type="list" allowBlank="1" showInputMessage="1" showErrorMessage="1" sqref="T13" xr:uid="{00000000-0002-0000-0300-000006000000}">
      <formula1>"Ijarah,Murabaha,D/Musharaka"</formula1>
    </dataValidation>
    <dataValidation type="list" allowBlank="1" showInputMessage="1" showErrorMessage="1" sqref="P10:Q10" xr:uid="{00000000-0002-0000-0300-000007000000}">
      <formula1>"PETROL,ELECTRIC"</formula1>
    </dataValidation>
    <dataValidation type="list" allowBlank="1" showInputMessage="1" showErrorMessage="1" sqref="R10" xr:uid="{00000000-0002-0000-0300-000008000000}">
      <formula1>"Above 250cc,Below 250cc"</formula1>
    </dataValidation>
    <dataValidation type="list" allowBlank="1" showInputMessage="1" showErrorMessage="1" sqref="R34" xr:uid="{00000000-0002-0000-0300-000009000000}">
      <formula1>"0,25000,50000,75000,100000,125000,150000,175000,200000,225000,250000,275000,300000"</formula1>
    </dataValidation>
    <dataValidation type="decimal" allowBlank="1" showInputMessage="1" showErrorMessage="1" sqref="Q16:R17" xr:uid="{00000000-0002-0000-0300-00000A000000}">
      <formula1>275000</formula1>
      <formula2>2500000</formula2>
    </dataValidation>
    <dataValidation type="list" allowBlank="1" showInputMessage="1" showErrorMessage="1" sqref="P8:Q8" xr:uid="{00000000-0002-0000-03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40"/>
    <pageSetUpPr fitToPage="1"/>
  </sheetPr>
  <dimension ref="A1:BH153"/>
  <sheetViews>
    <sheetView showGridLines="0" topLeftCell="A40" zoomScale="75" zoomScaleNormal="82" workbookViewId="0">
      <selection activeCell="M64" sqref="M64"/>
    </sheetView>
  </sheetViews>
  <sheetFormatPr defaultColWidth="0" defaultRowHeight="14" zeroHeight="1" x14ac:dyDescent="0.3"/>
  <cols>
    <col min="1" max="1" width="0.81640625" style="694" customWidth="1"/>
    <col min="2" max="2" width="0.54296875" style="694" customWidth="1"/>
    <col min="3" max="3" width="5.453125" style="694" customWidth="1"/>
    <col min="4" max="4" width="3.453125" style="694" customWidth="1"/>
    <col min="5" max="5" width="4.453125" style="694" customWidth="1"/>
    <col min="6" max="6" width="33.453125" style="694" customWidth="1"/>
    <col min="7" max="7" width="4.54296875" style="694" customWidth="1"/>
    <col min="8" max="8" width="18.54296875" style="694" customWidth="1"/>
    <col min="9" max="9" width="16.453125" style="694" customWidth="1"/>
    <col min="10" max="10" width="3.81640625" style="694" customWidth="1"/>
    <col min="11" max="11" width="14.54296875" style="694" customWidth="1"/>
    <col min="12" max="12" width="4" style="694" customWidth="1"/>
    <col min="13" max="13" width="25.453125" style="694" customWidth="1"/>
    <col min="14" max="14" width="11.453125" style="694" customWidth="1"/>
    <col min="15" max="15" width="9.81640625" style="694" customWidth="1"/>
    <col min="16" max="16" width="13.54296875" style="694" customWidth="1"/>
    <col min="17" max="17" width="5.453125" style="695" customWidth="1"/>
    <col min="18" max="18" width="6.453125" style="694" hidden="1" customWidth="1"/>
    <col min="19" max="19" width="5" style="694" hidden="1" customWidth="1"/>
    <col min="20" max="20" width="9.54296875" style="694" hidden="1" customWidth="1"/>
    <col min="21" max="21" width="5.453125" style="694" hidden="1" customWidth="1"/>
    <col min="22" max="22" width="4.54296875" style="694" hidden="1" customWidth="1"/>
    <col min="23" max="23" width="2.81640625" style="694" hidden="1" customWidth="1"/>
    <col min="24" max="24" width="0" style="694" hidden="1" customWidth="1"/>
    <col min="25" max="25" width="5.81640625" style="694" hidden="1" customWidth="1"/>
    <col min="26" max="26" width="7.1796875" style="694" hidden="1" customWidth="1"/>
    <col min="27" max="27" width="26.54296875" style="694" hidden="1" customWidth="1"/>
    <col min="28" max="29" width="0" style="694" hidden="1" customWidth="1"/>
    <col min="30" max="30" width="27.1796875" style="694" hidden="1" customWidth="1"/>
    <col min="31" max="35" width="0" style="694" hidden="1" customWidth="1"/>
    <col min="36" max="36" width="0" style="696" hidden="1" customWidth="1"/>
    <col min="37" max="38" width="0" style="694" hidden="1" customWidth="1"/>
    <col min="39" max="39" width="0" style="695" hidden="1" customWidth="1"/>
    <col min="40" max="46" width="0" style="694" hidden="1" customWidth="1"/>
    <col min="47" max="47" width="0" style="696" hidden="1" customWidth="1"/>
    <col min="48" max="49" width="0" style="694" hidden="1" customWidth="1"/>
    <col min="50" max="50" width="47.453125" style="697" hidden="1" customWidth="1"/>
    <col min="51" max="16384" width="0" style="694" hidden="1"/>
  </cols>
  <sheetData>
    <row r="1" spans="1:60" s="142" customFormat="1" ht="45" customHeight="1" thickTop="1" thickBot="1" x14ac:dyDescent="0.35">
      <c r="B1" s="288"/>
      <c r="C1" s="137">
        <f ca="1">IF(OR(C70=0,R15=0),0,1)</f>
        <v>1</v>
      </c>
      <c r="D1" s="174"/>
      <c r="E1" s="175"/>
      <c r="F1" s="175"/>
      <c r="G1" s="175"/>
      <c r="H1" s="175"/>
      <c r="I1" s="175"/>
      <c r="J1" s="175"/>
      <c r="K1" s="175"/>
      <c r="L1" s="175"/>
      <c r="M1" s="176"/>
      <c r="N1" s="849"/>
      <c r="O1" s="850"/>
      <c r="P1" s="139"/>
      <c r="Q1" s="139"/>
      <c r="R1" s="139"/>
      <c r="S1" s="139"/>
      <c r="T1" s="139"/>
      <c r="U1" s="142">
        <f>IF(G36="Yes",H23+H36,H23)</f>
        <v>57.6</v>
      </c>
      <c r="V1" s="139"/>
      <c r="W1" s="139"/>
      <c r="X1" s="139"/>
      <c r="Y1" s="139"/>
      <c r="Z1" s="139"/>
      <c r="AA1" s="659" t="s">
        <v>404</v>
      </c>
      <c r="AB1" s="139"/>
      <c r="AM1" s="219"/>
    </row>
    <row r="2" spans="1:60" s="141" customFormat="1" ht="18.5" thickBot="1" x14ac:dyDescent="0.45">
      <c r="A2" s="142"/>
      <c r="B2" s="289"/>
      <c r="C2" s="477" t="s">
        <v>114</v>
      </c>
      <c r="D2" s="6"/>
      <c r="E2" s="436" t="s">
        <v>173</v>
      </c>
      <c r="F2" s="177"/>
      <c r="G2" s="317" t="s">
        <v>281</v>
      </c>
      <c r="H2" s="858" t="s">
        <v>534</v>
      </c>
      <c r="I2" s="859"/>
      <c r="J2" s="441"/>
      <c r="K2" s="847" t="s">
        <v>415</v>
      </c>
      <c r="L2" s="847"/>
      <c r="M2" s="848"/>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60">
        <f>IF(OR(Z15=0,T2=3,Z2=0),0,1)*Q15*V2*S2</f>
        <v>1</v>
      </c>
      <c r="V2" s="460">
        <f>IF(H13="",0,1)</f>
        <v>1</v>
      </c>
      <c r="W2" s="142">
        <f>IF(M8="Trade Plate",X2,1)</f>
        <v>1</v>
      </c>
      <c r="X2" s="142">
        <f>IF(H9=Administration!C20,1,0)</f>
        <v>1</v>
      </c>
      <c r="Y2" s="142">
        <f>IF(M8="Trade Plate",0,1)</f>
        <v>1</v>
      </c>
      <c r="Z2" s="461">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91">
        <f>IF(H3="One Year",1,0)</f>
        <v>1</v>
      </c>
      <c r="E3" s="436" t="s">
        <v>300</v>
      </c>
      <c r="F3" s="177"/>
      <c r="G3" s="317" t="s">
        <v>281</v>
      </c>
      <c r="H3" s="703" t="s">
        <v>302</v>
      </c>
      <c r="I3" s="390" t="str">
        <f>IF(Calculation!S6=0,CONCATENATE("     ",Calculation!H9," Days"),IF(OR(Calculation!O6&lt;Calculation!O3,Calculation!O6&gt;=Calculation!O4),"Invalid Cover  Period",CONCATENATE("     ",Calculation!H9," Days")))</f>
        <v xml:space="preserve">     97 Days</v>
      </c>
      <c r="J3" s="390"/>
      <c r="K3" s="385"/>
      <c r="L3" s="860" t="str">
        <f>IF(D3=0,"Charge SRCC/TC Full?","")</f>
        <v/>
      </c>
      <c r="M3" s="861"/>
      <c r="N3" s="557">
        <f>IF(H3="One Year",1,IF(Working!H3="Short Period",Calculation!O12,Calculation!O14)*Calculation!S3*Calculation!S4*Calculation!S6*Calculation!N11)</f>
        <v>1</v>
      </c>
      <c r="O3" s="522" t="e">
        <f>IF(#REF!=Rates!J86,Rates!K86,IF(#REF!=Rates!J87,Rates!K87,IF(#REF!=Rates!J88,Rates!K88,IF(#REF!=Rates!J89,Rates!K89,IF(#REF!=Rates!J90,Rates!K90,0)))))</f>
        <v>#REF!</v>
      </c>
      <c r="P3" s="522"/>
      <c r="Q3" s="522"/>
      <c r="R3" s="522"/>
      <c r="S3" s="548"/>
      <c r="T3" s="142"/>
      <c r="U3" s="460"/>
      <c r="V3" s="460"/>
      <c r="W3" s="142"/>
      <c r="X3" s="142"/>
      <c r="Y3" s="142"/>
      <c r="Z3" s="461"/>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7"/>
      <c r="F4" s="388" t="str">
        <f>IF(D3=0,"PERIOD                                       FROM","")</f>
        <v/>
      </c>
      <c r="G4" s="660">
        <v>24</v>
      </c>
      <c r="H4" s="661" t="s">
        <v>350</v>
      </c>
      <c r="I4" s="661">
        <v>2013</v>
      </c>
      <c r="J4" s="662"/>
      <c r="K4" s="390" t="str">
        <f>IF(Calculation!S3=0,"Date Error","")</f>
        <v/>
      </c>
      <c r="L4" s="860"/>
      <c r="M4" s="861"/>
      <c r="N4" s="558">
        <f>IF(M5="No",N3,1)</f>
        <v>1</v>
      </c>
      <c r="O4" s="522" t="s">
        <v>410</v>
      </c>
      <c r="P4" s="522" t="s">
        <v>411</v>
      </c>
      <c r="Q4" s="522"/>
      <c r="R4" s="522"/>
      <c r="S4" s="548"/>
      <c r="T4" s="548"/>
      <c r="U4" s="549"/>
      <c r="V4" s="549"/>
      <c r="W4" s="142"/>
      <c r="X4" s="142"/>
      <c r="Y4" s="142"/>
      <c r="Z4" s="461"/>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6"/>
      <c r="F5" s="389" t="str">
        <f>IF(D3=0,"To","")</f>
        <v/>
      </c>
      <c r="G5" s="660">
        <v>28</v>
      </c>
      <c r="H5" s="661" t="s">
        <v>353</v>
      </c>
      <c r="I5" s="663">
        <v>2013</v>
      </c>
      <c r="J5" s="662"/>
      <c r="K5" s="390" t="str">
        <f>IF(Calculation!S6=0,"Date Error","")</f>
        <v/>
      </c>
      <c r="L5" s="437"/>
      <c r="M5" s="664" t="s">
        <v>78</v>
      </c>
      <c r="N5" s="558" t="str">
        <f>Rates!D81</f>
        <v>No</v>
      </c>
      <c r="O5" s="550">
        <f>H15*N7%</f>
        <v>25000</v>
      </c>
      <c r="P5" s="550">
        <f>(O5-M40-M42)/P6*100</f>
        <v>21590.909090909092</v>
      </c>
      <c r="Q5" s="522"/>
      <c r="R5" s="522"/>
      <c r="S5" s="548"/>
      <c r="T5" s="548"/>
      <c r="U5" s="549"/>
      <c r="V5" s="549"/>
      <c r="W5" s="142"/>
      <c r="X5" s="142"/>
      <c r="Y5" s="142"/>
      <c r="Z5" s="461"/>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7" t="s">
        <v>374</v>
      </c>
      <c r="F6" s="528"/>
      <c r="G6" s="317" t="s">
        <v>398</v>
      </c>
      <c r="H6" s="702" t="s">
        <v>446</v>
      </c>
      <c r="I6" s="868"/>
      <c r="J6" s="869"/>
      <c r="K6" s="870"/>
      <c r="L6" s="866" t="str">
        <f>'SRC Quote'!C8</f>
        <v>to be advised</v>
      </c>
      <c r="M6" s="867"/>
      <c r="N6" s="369" t="s">
        <v>49</v>
      </c>
      <c r="O6" s="142">
        <f>IF(AND(Rates!D79="Yes",(O57+Q57=1)),0,1)</f>
        <v>1</v>
      </c>
      <c r="P6" s="551">
        <f>IF(H9="Hiring",140,110)</f>
        <v>110</v>
      </c>
      <c r="Q6" s="495">
        <f>IF(AND(M8=Administration!C7,H9=Administration!C20),Rates!D6,R6)</f>
        <v>2.2000000000000002</v>
      </c>
      <c r="R6" s="142">
        <f>IF(AND(M8=Administration!C12,H9=Administration!C20),Rates!D12,T6)</f>
        <v>2.2000000000000002</v>
      </c>
      <c r="T6" s="142">
        <f>IF(AND(M8=Administration!C8,H9=Administration!C20),Rates!D8,U6)</f>
        <v>2.2000000000000002</v>
      </c>
      <c r="U6" s="392">
        <f>IF(M8=Administration!C9,Rates!D5,W6)</f>
        <v>2.2000000000000002</v>
      </c>
      <c r="V6" s="392"/>
      <c r="W6" s="392">
        <f>IF(M8=Administration!C10,Rates!D11,X6)</f>
        <v>2.2000000000000002</v>
      </c>
      <c r="X6" s="392">
        <f>IF(M8=Administration!C11,Rates!D10,Y6)</f>
        <v>2.2000000000000002</v>
      </c>
      <c r="Y6" s="142">
        <f>IF(AND(M8=Administration!C12,H9=Administration!C21),Rates!D13,Z6)</f>
        <v>2.2000000000000002</v>
      </c>
      <c r="Z6" s="392">
        <f>IF(M8=Administration!C13,Rates!D3,AA6)</f>
        <v>2.2000000000000002</v>
      </c>
      <c r="AA6" s="392">
        <f>IF(M8=Administration!C14,Rates!D4,AB6)</f>
        <v>2.2000000000000002</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7" t="s">
        <v>279</v>
      </c>
      <c r="F7" s="528"/>
      <c r="G7" s="317" t="s">
        <v>399</v>
      </c>
      <c r="H7" s="871" t="str">
        <f>'SRC Quote'!C11</f>
        <v>to be advised</v>
      </c>
      <c r="I7" s="872"/>
      <c r="J7" s="872"/>
      <c r="K7" s="873"/>
      <c r="L7" s="874" t="str">
        <f>IF(AND(H15&gt;0,L6=""),"Enter Name","")</f>
        <v/>
      </c>
      <c r="M7" s="875"/>
      <c r="N7" s="455">
        <f>IF(M12="Below 250cc",5,10)</f>
        <v>5</v>
      </c>
      <c r="P7" s="496"/>
      <c r="Q7" s="141">
        <f>Q6*U2</f>
        <v>2.2000000000000002</v>
      </c>
      <c r="R7" s="141"/>
      <c r="S7" s="141"/>
      <c r="T7" s="141" t="str">
        <f>Administration!C20</f>
        <v>Private Use Only</v>
      </c>
      <c r="U7" s="463" t="str">
        <f>Administration!C21</f>
        <v>Hiring</v>
      </c>
      <c r="V7" s="463"/>
      <c r="W7" s="141" t="str">
        <f>Administration!C22</f>
        <v>Rent A Vehicle</v>
      </c>
      <c r="X7" s="141">
        <f>IF(M8=Administration!C10,Administration!C23,0)</f>
        <v>0</v>
      </c>
      <c r="Y7" s="141"/>
      <c r="Z7" s="464"/>
      <c r="AA7" s="141"/>
      <c r="AM7" s="142" t="str">
        <f>Administration!G8</f>
        <v>Jeep</v>
      </c>
      <c r="AP7" s="142" t="str">
        <f>Administration!I21</f>
        <v>Hiring</v>
      </c>
    </row>
    <row r="8" spans="1:60" s="142" customFormat="1" ht="21.75" customHeight="1" thickBot="1" x14ac:dyDescent="0.45">
      <c r="B8" s="289"/>
      <c r="C8" s="136"/>
      <c r="D8" s="6"/>
      <c r="E8" s="527" t="s">
        <v>375</v>
      </c>
      <c r="F8" s="529"/>
      <c r="G8" s="317" t="s">
        <v>398</v>
      </c>
      <c r="H8" s="862" t="s">
        <v>360</v>
      </c>
      <c r="I8" s="863"/>
      <c r="J8" s="479"/>
      <c r="K8" s="665">
        <v>1.2500000000000001E-2</v>
      </c>
      <c r="L8" s="23" t="str">
        <f>Administration!C11</f>
        <v>Motor Lorry</v>
      </c>
      <c r="M8" s="499" t="str">
        <f>IF(AND(H8=Administration!C14,Working!H11="Chinese"),Administration!C13,IF(AND(H8=Administration!C11,Working!H11="Chinese"),Administration!C16,Working!H8))</f>
        <v>Motor Cycle</v>
      </c>
      <c r="N8" s="363">
        <f>IF(AND(H12="hybrid",H14="No",Rates!D75="Yes",B12="individual"),Rates!F75,0)</f>
        <v>0</v>
      </c>
      <c r="O8" s="229">
        <f>IF(H9="",0,1)</f>
        <v>1</v>
      </c>
      <c r="P8" s="229"/>
      <c r="Q8" s="229"/>
      <c r="R8" s="229"/>
      <c r="S8" s="229"/>
      <c r="T8" s="229"/>
      <c r="U8" s="465"/>
      <c r="V8" s="465"/>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7" t="s">
        <v>35</v>
      </c>
      <c r="F9" s="529"/>
      <c r="G9" s="317" t="s">
        <v>398</v>
      </c>
      <c r="H9" s="889" t="s">
        <v>322</v>
      </c>
      <c r="I9" s="890"/>
      <c r="J9" s="480"/>
      <c r="K9" s="864" t="str">
        <f>IF(OR(T2=3,W2=0),"ERROR",IF(O8=0,"&lt;= Select Usage of Vehicle",IF(Z2=0,"NOT ALLOWED","")))</f>
        <v/>
      </c>
      <c r="L9" s="864"/>
      <c r="M9" s="865"/>
      <c r="N9" s="363"/>
      <c r="O9" s="229"/>
      <c r="P9" s="229"/>
      <c r="Q9" s="229"/>
      <c r="R9" s="229"/>
      <c r="S9" s="229"/>
      <c r="T9" s="229"/>
      <c r="U9" s="465"/>
      <c r="V9" s="465"/>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897" t="s">
        <v>108</v>
      </c>
      <c r="F10" s="897"/>
      <c r="G10" s="317" t="s">
        <v>399</v>
      </c>
      <c r="H10" s="893" t="str">
        <f>'SRC Quote'!P8</f>
        <v>OTHER</v>
      </c>
      <c r="I10" s="894"/>
      <c r="J10" s="480"/>
      <c r="K10" s="303" t="s">
        <v>379</v>
      </c>
      <c r="L10" s="856" t="str">
        <f>'SRC Quote'!P11</f>
        <v>TO BE ADVISED</v>
      </c>
      <c r="M10" s="857"/>
      <c r="N10" s="286"/>
      <c r="O10" s="229"/>
      <c r="P10" s="229"/>
      <c r="Q10" s="229"/>
      <c r="R10" s="229"/>
      <c r="S10" s="229"/>
      <c r="T10" s="229"/>
      <c r="U10" s="466"/>
      <c r="V10" s="466"/>
      <c r="Z10" s="230"/>
      <c r="AM10" s="142" t="str">
        <f>Administration!G11</f>
        <v>Motor Lorry</v>
      </c>
      <c r="AP10" s="142" t="str">
        <f>Administration!I24</f>
        <v/>
      </c>
      <c r="AU10" s="142">
        <f t="shared" si="0"/>
        <v>1972</v>
      </c>
    </row>
    <row r="11" spans="1:60" s="142" customFormat="1" ht="20.25" customHeight="1" thickBot="1" x14ac:dyDescent="0.45">
      <c r="B11" s="289"/>
      <c r="C11" s="136"/>
      <c r="D11" s="6"/>
      <c r="E11" s="530" t="s">
        <v>376</v>
      </c>
      <c r="F11" s="531"/>
      <c r="G11" s="317" t="s">
        <v>398</v>
      </c>
      <c r="H11" s="876" t="str">
        <f>'SRC Quote'!P9</f>
        <v>INDIA</v>
      </c>
      <c r="I11" s="877"/>
      <c r="J11" s="851" t="s">
        <v>451</v>
      </c>
      <c r="K11" s="852"/>
      <c r="L11" s="853"/>
      <c r="M11" s="497" t="str">
        <f>IF(J11="","&lt;= Enter Field","")</f>
        <v/>
      </c>
      <c r="N11" s="362"/>
      <c r="O11" s="229">
        <f>IF(OR(L10="",L6="",H11="",H12="",H13="",H14="",K14="",L13="",J11="",K14=0,AND(O6=0,N16=0)),0,1)</f>
        <v>1</v>
      </c>
      <c r="P11" s="229"/>
      <c r="Q11" s="229"/>
      <c r="R11" s="229"/>
      <c r="S11" s="229"/>
      <c r="T11" s="229"/>
      <c r="U11" s="393"/>
      <c r="V11" s="393"/>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30" t="s">
        <v>356</v>
      </c>
      <c r="F12" s="531"/>
      <c r="G12" s="317" t="s">
        <v>398</v>
      </c>
      <c r="H12" s="880" t="s">
        <v>452</v>
      </c>
      <c r="I12" s="881"/>
      <c r="J12" s="905" t="str">
        <f>IF(H8="Motor Cycle","Important --&gt;","")</f>
        <v>Important --&gt;</v>
      </c>
      <c r="K12" s="906"/>
      <c r="L12" s="906"/>
      <c r="M12" s="666" t="str">
        <f>'SRC Quote'!R10</f>
        <v>Below 250cc</v>
      </c>
      <c r="N12" s="363"/>
      <c r="O12" s="229"/>
      <c r="P12" s="229"/>
      <c r="Q12" s="142">
        <f>IF(M8=Administration!C7,Rates!F6,IF(M8=Administration!C8,Rates!F8,IF(M8=Administration!C9,Rates!F5,IF(M8=Administration!C10,Rates!F11,IF(M8=Administration!C13,Rates!F3,IF(M8=Administration!C14,Rates!F4,IF(M8=Administration!C11,Rates!F10,IF(M8=Administration!C12,Rates!F12,R12))))))))</f>
        <v>2</v>
      </c>
      <c r="R12" s="142">
        <f>IF(M8=Administration!C15,Rates!F14,IF(M8=Administration!C17,Rates!F17,IF(M8=Administration!C19,Rates!F15,IF(M8=Administration!C16,Rates!F16,0))))</f>
        <v>0</v>
      </c>
      <c r="T12" s="142">
        <f>IF(L13&gt;Q12,Q12,L13)</f>
        <v>2</v>
      </c>
      <c r="U12" s="231"/>
      <c r="V12" s="231"/>
      <c r="Z12" s="230"/>
      <c r="AM12" s="142" t="str">
        <f>Administration!G14</f>
        <v>Motor Cycle</v>
      </c>
      <c r="AU12" s="142">
        <f>AU11+1</f>
        <v>1974</v>
      </c>
    </row>
    <row r="13" spans="1:60" s="142" customFormat="1" ht="18.5" thickBot="1" x14ac:dyDescent="0.45">
      <c r="B13" s="289"/>
      <c r="C13" s="136"/>
      <c r="D13" s="6"/>
      <c r="E13" s="527" t="s">
        <v>280</v>
      </c>
      <c r="F13" s="105"/>
      <c r="G13" s="317" t="s">
        <v>398</v>
      </c>
      <c r="H13" s="701">
        <f>'SRC Quote'!P13</f>
        <v>2020</v>
      </c>
      <c r="I13" s="903" t="str">
        <f>IF(H13="","     Enter Year of Make",IF(Z15=0,CONCATENATE("     Vehicles Above ", Administration!F29," Yrs Not Covered"),""))</f>
        <v/>
      </c>
      <c r="J13" s="904"/>
      <c r="K13" s="904"/>
      <c r="L13" s="647">
        <v>2</v>
      </c>
      <c r="M13" s="438" t="str">
        <f>IF(OR(L13="",L13=0),"Enter No. of Seats",IF(L13&gt;Q12,CONCATENATE("Max.",Q12," Seats Allowed"),"No.of Seats"))</f>
        <v>No.of Seats</v>
      </c>
      <c r="N13" s="363"/>
      <c r="O13" s="229"/>
      <c r="P13" s="229"/>
      <c r="U13" s="231"/>
      <c r="V13" s="231"/>
      <c r="Z13" s="230"/>
      <c r="AM13" s="142" t="str">
        <f>Administration!G15</f>
        <v>Tractor</v>
      </c>
      <c r="AU13" s="142">
        <f t="shared" si="0"/>
        <v>1975</v>
      </c>
    </row>
    <row r="14" spans="1:60" s="142" customFormat="1" ht="18.5" thickBot="1" x14ac:dyDescent="0.45">
      <c r="B14" s="289"/>
      <c r="C14" s="136"/>
      <c r="D14" s="6"/>
      <c r="E14" s="527" t="s">
        <v>373</v>
      </c>
      <c r="F14" s="531"/>
      <c r="G14" s="317" t="s">
        <v>398</v>
      </c>
      <c r="H14" s="667" t="str">
        <f>IF('SRC Quote'!C13="Not Applicable","No","Yes")</f>
        <v>Yes</v>
      </c>
      <c r="I14" s="854" t="str">
        <f>IF(H14="Yes","NAME OF CO.","")</f>
        <v>NAME OF CO.</v>
      </c>
      <c r="J14" s="855"/>
      <c r="K14" s="878" t="str">
        <f>'SRC Quote'!C13</f>
        <v>to be advised</v>
      </c>
      <c r="L14" s="878"/>
      <c r="M14" s="879"/>
      <c r="N14" s="363"/>
      <c r="O14" s="229"/>
      <c r="P14" s="229"/>
      <c r="T14" s="394"/>
      <c r="X14" s="232" t="s">
        <v>221</v>
      </c>
      <c r="Z14" s="230"/>
      <c r="AM14" s="142" t="str">
        <f>Administration!G13</f>
        <v>Motor Cycle (Chinese)</v>
      </c>
      <c r="AU14" s="142">
        <f t="shared" si="0"/>
        <v>1976</v>
      </c>
    </row>
    <row r="15" spans="1:60" s="142" customFormat="1" ht="23.25" customHeight="1" thickBot="1" x14ac:dyDescent="0.45">
      <c r="B15" s="289"/>
      <c r="C15" s="136"/>
      <c r="D15" s="6"/>
      <c r="E15" s="902" t="str">
        <f>IF(H15&gt;Rates!B27,"SUM COVERED - Above Retention","SUM COVERED"                                    )</f>
        <v>SUM COVERED</v>
      </c>
      <c r="F15" s="902"/>
      <c r="G15" s="317" t="s">
        <v>398</v>
      </c>
      <c r="H15" s="891">
        <f>'SRC Quote'!Q16</f>
        <v>500000</v>
      </c>
      <c r="I15" s="892"/>
      <c r="J15" s="668"/>
      <c r="K15" s="526" t="str">
        <f>IF(AND(Rates!D63="Yes",H11="Chinese"),"N.B.- Chinese Vehicle",IF(AND(H11="Chinese",H8&lt;&gt;Administration!C14),"Chinese Vehicles NOT covered",IF(Q15=0,"EXCEED AUTHORIZED LIMIT","")))</f>
        <v/>
      </c>
      <c r="L15" s="434"/>
      <c r="M15" s="704" t="str">
        <f>IF('SRC Quote'!B13=1,'SRC Quote'!T13,"")</f>
        <v/>
      </c>
      <c r="N15" s="299"/>
      <c r="O15" s="300">
        <f>IF(T47=0,Rates!B25,Rates!B24)</f>
        <v>2500000</v>
      </c>
      <c r="P15" s="300"/>
      <c r="Q15" s="142">
        <f>IF(H15&gt;O15,0,1)</f>
        <v>1</v>
      </c>
      <c r="R15" s="142">
        <f>IF(AND(H15&gt;0,O11&gt;0,O8=1),1,0)</f>
        <v>1</v>
      </c>
      <c r="T15" s="394"/>
      <c r="X15" s="232">
        <f ca="1">YEAR(F70)</f>
        <v>2024</v>
      </c>
      <c r="Y15" s="142">
        <f ca="1">X15-H13</f>
        <v>4</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5"/>
      <c r="E16" s="895" t="str">
        <f ca="1">IF(Working!$C$70=0,"This Quotation system is not valid anymore",IF(C67-F70&lt;14,CONCATENATE("This quotation shall expire within ",C67-F70," days"),IF(AND(Rates!D79="No",O16=1,H14="No",(O57+Q57=1)),"Should Obtain 3 Tier Quotation","")))</f>
        <v/>
      </c>
      <c r="F16" s="895"/>
      <c r="G16" s="895"/>
      <c r="H16" s="895"/>
      <c r="I16" s="898" t="str">
        <f>IF(N16=0,"Please Get 3 Tier Quotation",IF(H8="","Enter Vehicle Type",IF(H9="","Enter Vehicle Usage",IF(H11="","Enter Vehicle Country of Make",IF(H12="","Enter Fuel Type",IF(H13="","Enter Year of Make",IF(H14="","Enter Lease Status",IF(L6="","Enter Proposer 2nd Name",""))))))))</f>
        <v/>
      </c>
      <c r="J16" s="898"/>
      <c r="K16" s="898"/>
      <c r="L16" s="898"/>
      <c r="M16" s="899"/>
      <c r="N16" s="235">
        <f>IF(AND(O6=0,O16=1,H14="No"),0,1)</f>
        <v>1</v>
      </c>
      <c r="O16" s="229">
        <f>IF(H11="Chinese",0,1)</f>
        <v>1</v>
      </c>
      <c r="P16" s="229"/>
      <c r="R16" s="231"/>
      <c r="S16" s="231"/>
      <c r="T16" s="394"/>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896"/>
      <c r="F17" s="896"/>
      <c r="G17" s="896"/>
      <c r="H17" s="896"/>
      <c r="I17" s="900"/>
      <c r="J17" s="900"/>
      <c r="K17" s="900"/>
      <c r="L17" s="900"/>
      <c r="M17" s="901"/>
      <c r="N17" s="88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884"/>
      <c r="P17" s="229"/>
      <c r="R17" s="231"/>
      <c r="S17" s="231"/>
      <c r="T17" s="394"/>
      <c r="Z17" s="230"/>
      <c r="AM17" s="142">
        <f>Administration!G19</f>
        <v>0</v>
      </c>
      <c r="AU17" s="142">
        <f t="shared" si="1"/>
        <v>1979</v>
      </c>
    </row>
    <row r="18" spans="2:50" s="142" customFormat="1" ht="15" customHeight="1" thickBot="1" x14ac:dyDescent="0.35">
      <c r="B18" s="289"/>
      <c r="C18" s="136"/>
      <c r="D18" s="6"/>
      <c r="E18" s="447" t="s">
        <v>266</v>
      </c>
      <c r="F18" s="9"/>
      <c r="G18" s="9"/>
      <c r="H18" s="498"/>
      <c r="I18" s="566">
        <f>IF(K14=F113,1000,0)</f>
        <v>0</v>
      </c>
      <c r="J18" s="498"/>
      <c r="K18" s="9"/>
      <c r="L18" s="9"/>
      <c r="M18" s="194"/>
      <c r="N18" s="888"/>
      <c r="O18" s="886"/>
      <c r="P18" s="229"/>
      <c r="R18" s="231"/>
      <c r="S18" s="231"/>
      <c r="T18" s="394"/>
      <c r="Z18" s="230"/>
      <c r="AU18" s="142">
        <f t="shared" si="1"/>
        <v>1980</v>
      </c>
    </row>
    <row r="19" spans="2:50" s="142" customFormat="1" ht="15.5" thickBot="1" x14ac:dyDescent="0.35">
      <c r="B19" s="289"/>
      <c r="C19" s="136"/>
      <c r="D19" s="6"/>
      <c r="E19" s="339" t="s">
        <v>377</v>
      </c>
      <c r="F19" s="178"/>
      <c r="G19" s="178"/>
      <c r="H19" s="304"/>
      <c r="I19" s="188"/>
      <c r="J19" s="188"/>
      <c r="K19" s="9"/>
      <c r="L19" s="501">
        <v>0</v>
      </c>
      <c r="M19" s="195">
        <f ca="1">IF(AND($C$2="Yes",L19=1),N19*C70,(H15*N7%*R15*C70))*N3</f>
        <v>25000</v>
      </c>
      <c r="N19" s="236">
        <v>0</v>
      </c>
      <c r="O19" s="229"/>
      <c r="P19" s="229"/>
      <c r="Q19" s="467">
        <v>0.01</v>
      </c>
      <c r="R19" s="231"/>
      <c r="S19" s="589"/>
      <c r="T19" s="622"/>
      <c r="U19" s="589"/>
      <c r="V19" s="589"/>
      <c r="W19" s="562"/>
      <c r="X19" s="562"/>
      <c r="Y19" s="562"/>
      <c r="Z19" s="623"/>
      <c r="AA19" s="562"/>
      <c r="AU19" s="142">
        <f t="shared" si="1"/>
        <v>1981</v>
      </c>
    </row>
    <row r="20" spans="2:50" s="142" customFormat="1" ht="16" customHeight="1" thickBot="1" x14ac:dyDescent="0.35">
      <c r="B20" s="289"/>
      <c r="C20" s="136"/>
      <c r="D20" s="321" t="s">
        <v>283</v>
      </c>
      <c r="E20" s="342" t="s">
        <v>9</v>
      </c>
      <c r="F20" s="267" t="s">
        <v>165</v>
      </c>
      <c r="G20" s="267"/>
      <c r="H20" s="561"/>
      <c r="I20" s="188"/>
      <c r="J20" s="188"/>
      <c r="K20" s="9"/>
      <c r="L20" s="501">
        <v>0</v>
      </c>
      <c r="M20" s="196">
        <f ca="1">IF(AND($C$2="Yes",L20=1),N20,(M19*H20%))</f>
        <v>0</v>
      </c>
      <c r="N20" s="236">
        <v>0</v>
      </c>
      <c r="O20" s="229"/>
      <c r="P20" s="229"/>
      <c r="Q20" s="467"/>
      <c r="R20" s="231"/>
      <c r="S20" s="589"/>
      <c r="T20" s="622"/>
      <c r="U20" s="589"/>
      <c r="V20" s="589"/>
      <c r="W20" s="562"/>
      <c r="X20" s="562"/>
      <c r="Y20" s="562"/>
      <c r="Z20" s="623"/>
      <c r="AA20" s="562"/>
      <c r="AM20" s="219"/>
      <c r="AU20" s="142">
        <f t="shared" si="1"/>
        <v>1982</v>
      </c>
    </row>
    <row r="21" spans="2:50" s="142" customFormat="1" ht="16" customHeight="1" thickBot="1" x14ac:dyDescent="0.45">
      <c r="B21" s="669" t="str">
        <f>IF(C21=0,"No",IF(C21=1,"Yes","Free"))</f>
        <v>Free</v>
      </c>
      <c r="C21" s="426">
        <f>IF(H14="Yes",2,0)</f>
        <v>2</v>
      </c>
      <c r="D21" s="321" t="s">
        <v>283</v>
      </c>
      <c r="E21" s="342" t="s">
        <v>9</v>
      </c>
      <c r="F21" s="267" t="s">
        <v>11</v>
      </c>
      <c r="G21" s="267"/>
      <c r="H21" s="200" t="str">
        <f>IF(B21="Free","Free",IF(B21="Yes","Charged",""))</f>
        <v>Free</v>
      </c>
      <c r="I21" s="188"/>
      <c r="J21" s="188"/>
      <c r="K21" s="9"/>
      <c r="L21" s="203"/>
      <c r="M21" s="189">
        <f ca="1">M19*Rates!K13%*Q21</f>
        <v>0</v>
      </c>
      <c r="N21" s="236"/>
      <c r="Q21" s="142">
        <f>IF(B21="Yes",1,0)</f>
        <v>0</v>
      </c>
      <c r="R21" s="395"/>
      <c r="S21" s="624"/>
      <c r="T21" s="589"/>
      <c r="U21" s="589"/>
      <c r="V21" s="589"/>
      <c r="W21" s="593"/>
      <c r="X21" s="593"/>
      <c r="Y21" s="593"/>
      <c r="Z21" s="593"/>
      <c r="AA21" s="593"/>
      <c r="AM21" s="219"/>
      <c r="AU21" s="142">
        <f t="shared" si="1"/>
        <v>1983</v>
      </c>
    </row>
    <row r="22" spans="2:50" s="142" customFormat="1" ht="16" customHeight="1" thickBot="1" x14ac:dyDescent="0.35">
      <c r="B22" s="5"/>
      <c r="C22" s="137"/>
      <c r="D22" s="321" t="s">
        <v>283</v>
      </c>
      <c r="E22" s="342" t="s">
        <v>9</v>
      </c>
      <c r="F22" s="267" t="s">
        <v>2</v>
      </c>
      <c r="G22" s="267"/>
      <c r="H22" s="606">
        <v>0</v>
      </c>
      <c r="I22" s="424">
        <f>IF(AND($C$2="Yes",L22=1),K22,H22)</f>
        <v>0</v>
      </c>
      <c r="J22" s="442"/>
      <c r="K22" s="670">
        <v>10000</v>
      </c>
      <c r="L22" s="501">
        <v>0</v>
      </c>
      <c r="M22" s="197">
        <f>IF(AND($C$2="Yes",L22=1),N22,-IF(I22=2000,MIN(Rates!K38/100*M19,Rates!J38),IF(I22=5000,MIN(Rates!J39,Rates!K39/100*M19),IF(I22=10000,MIN(Rates!K40/100*M19,Rates!J40)))))</f>
        <v>0</v>
      </c>
      <c r="N22" s="236">
        <v>0</v>
      </c>
      <c r="O22" s="233">
        <f>IF(I22&gt;0,1,0)</f>
        <v>0</v>
      </c>
      <c r="P22" s="233"/>
      <c r="Q22" s="468"/>
      <c r="R22" s="231"/>
      <c r="S22" s="589"/>
      <c r="T22" s="589"/>
      <c r="U22" s="589"/>
      <c r="V22" s="589"/>
      <c r="W22" s="625"/>
      <c r="X22" s="593"/>
      <c r="Y22" s="593"/>
      <c r="Z22" s="626">
        <f ca="1">M35+M36</f>
        <v>10599.999999999998</v>
      </c>
      <c r="AA22" s="593"/>
      <c r="AM22" s="219"/>
      <c r="AU22" s="142">
        <f t="shared" si="1"/>
        <v>1984</v>
      </c>
    </row>
    <row r="23" spans="2:50" s="142" customFormat="1" ht="16" customHeight="1" thickBot="1" x14ac:dyDescent="0.35">
      <c r="B23" s="5"/>
      <c r="C23" s="137"/>
      <c r="D23" s="321" t="s">
        <v>283</v>
      </c>
      <c r="E23" s="342" t="s">
        <v>9</v>
      </c>
      <c r="F23" s="267" t="s">
        <v>3</v>
      </c>
      <c r="G23" s="267"/>
      <c r="H23" s="560">
        <f>IF(M12="Above 250cc",0,IF('SRC Quote'!P8="Other",57.6,0))</f>
        <v>57.6</v>
      </c>
      <c r="I23" s="908" t="str">
        <f ca="1">IF(AND(U23=0,M23&lt;0),"   (Special Rebate Allowed)",IF(U23=0,"   (Rebate Not Allowed)",IF(AND(H12="Hybrid",M23&lt;0),"N.B:- Hybrid Vehicle",IF(AND(H11="Korean",M23&lt;0),"N.B:- Korean Vehicle",""))))</f>
        <v/>
      </c>
      <c r="J23" s="909"/>
      <c r="K23" s="909"/>
      <c r="L23" s="909"/>
      <c r="M23" s="193">
        <f ca="1">IF(AND($C$2="Yes",O23=1),N23,IF(AND(U23=0,C24=1),-((M19+M21+M22)*I24%),-((M19+M21+M22)*H23%*U23)))</f>
        <v>-14400.000000000002</v>
      </c>
      <c r="N23" s="236">
        <v>0</v>
      </c>
      <c r="O23" s="671">
        <v>0</v>
      </c>
      <c r="P23" s="494">
        <f ca="1">IF(M23&lt;0,1,0)</f>
        <v>1</v>
      </c>
      <c r="Q23" s="520">
        <f>Rates!C29</f>
        <v>75</v>
      </c>
      <c r="R23" s="521">
        <f>IF(AND(T47=0,Rates!C28="No"),1,0)</f>
        <v>0</v>
      </c>
      <c r="S23" s="627"/>
      <c r="T23" s="627">
        <f>IF(R23=1,0,IF(AND(H11="Chinese",Rates!D64="No"),0,IF(AND(H12="Hybrid",Rates!D76="No"),0,IF(AND(H11="Korean",Rates!D58="Yes"),1,IF(AND(H11="Korean",H14="No",Rates!D58="No"),0,IF(AND(H11="Korean",H14="Yes",Rates!D58="No",OR(J11="Reconditioned",J11="Registered")),0,Q23))))))</f>
        <v>75</v>
      </c>
      <c r="U23" s="627">
        <f>IF(T23=0,0,1)</f>
        <v>1</v>
      </c>
      <c r="V23" s="627"/>
      <c r="W23" s="605"/>
      <c r="X23" s="605"/>
      <c r="Y23" s="605">
        <v>0</v>
      </c>
      <c r="Z23" s="605">
        <f ca="1">Z22*-H37%</f>
        <v>-2649.9999999999995</v>
      </c>
      <c r="AA23" s="605"/>
      <c r="AB23" s="522"/>
      <c r="AC23" s="522"/>
      <c r="AD23" s="522"/>
      <c r="AE23" s="522"/>
      <c r="AM23" s="219"/>
      <c r="AU23" s="142">
        <f t="shared" si="1"/>
        <v>1985</v>
      </c>
    </row>
    <row r="24" spans="2:50" s="142" customFormat="1" ht="16" thickBot="1" x14ac:dyDescent="0.4">
      <c r="B24" s="5"/>
      <c r="C24" s="137">
        <f>IF(H24=D24,1,0)</f>
        <v>0</v>
      </c>
      <c r="D24" s="432" t="s">
        <v>403</v>
      </c>
      <c r="E24" s="179"/>
      <c r="F24" s="295"/>
      <c r="G24" s="431" t="str">
        <f>IF(U23=0,"Enter Password for Special Rebate =&gt;","")</f>
        <v/>
      </c>
      <c r="H24" s="525"/>
      <c r="I24" s="433">
        <v>15</v>
      </c>
      <c r="J24" s="433"/>
      <c r="K24" s="330"/>
      <c r="L24" s="330" t="s">
        <v>284</v>
      </c>
      <c r="M24" s="439">
        <f ca="1">SUM(M19:M23)</f>
        <v>10599.999999999998</v>
      </c>
      <c r="N24" s="237"/>
      <c r="O24" s="233">
        <f ca="1">O23+M24</f>
        <v>10599.999999999998</v>
      </c>
      <c r="P24" s="233"/>
      <c r="Q24" s="537"/>
      <c r="R24" s="537"/>
      <c r="S24" s="628"/>
      <c r="T24" s="628"/>
      <c r="U24" s="628"/>
      <c r="V24" s="628"/>
      <c r="W24" s="593"/>
      <c r="X24" s="593"/>
      <c r="Y24" s="593"/>
      <c r="Z24" s="629" t="s">
        <v>157</v>
      </c>
      <c r="AA24" s="593"/>
      <c r="AD24" s="381" t="s">
        <v>156</v>
      </c>
      <c r="AJ24" s="142">
        <v>0</v>
      </c>
      <c r="AM24" s="219"/>
      <c r="AU24" s="142">
        <f t="shared" si="1"/>
        <v>1986</v>
      </c>
    </row>
    <row r="25" spans="2:50" s="142" customFormat="1" ht="18" customHeight="1" thickBot="1" x14ac:dyDescent="0.4">
      <c r="B25" s="5"/>
      <c r="C25" s="137"/>
      <c r="D25" s="321" t="s">
        <v>283</v>
      </c>
      <c r="E25" s="342" t="s">
        <v>9</v>
      </c>
      <c r="F25" s="267" t="s">
        <v>325</v>
      </c>
      <c r="G25" s="76" t="s">
        <v>26</v>
      </c>
      <c r="H25" s="602">
        <f>IF('SRC Quote'!R34&lt;&gt;"",'SRC Quote'!R34,50000)</f>
        <v>0</v>
      </c>
      <c r="I25" s="923" t="s">
        <v>447</v>
      </c>
      <c r="J25" s="924"/>
      <c r="K25" s="925"/>
      <c r="L25" s="328">
        <f>IF(H15&gt;0,AD25,0)</f>
        <v>1</v>
      </c>
      <c r="M25" s="198">
        <f>(H25/25000)*200</f>
        <v>0</v>
      </c>
      <c r="N25" s="236">
        <v>0</v>
      </c>
      <c r="O25" s="234">
        <v>0</v>
      </c>
      <c r="P25" s="229">
        <f>IF(H25&gt;0,1,0)</f>
        <v>0</v>
      </c>
      <c r="Q25" s="229">
        <f>IF(L27&gt;0,1,0)</f>
        <v>1</v>
      </c>
      <c r="R25" s="234">
        <f>P25+Q25</f>
        <v>1</v>
      </c>
      <c r="S25" s="588"/>
      <c r="T25" s="588"/>
      <c r="U25" s="588">
        <f>IF(T47=0,Rates!K10,IF(U57=1,Rates!K8,Rates!K9))</f>
        <v>25</v>
      </c>
      <c r="V25" s="588"/>
      <c r="W25" s="593">
        <f>IF(OR(U62=1,Rates!D41="Yes"),MIN(H25/25000*MIN(L25,AC25)*U25,X25),0)</f>
        <v>0</v>
      </c>
      <c r="X25" s="593">
        <f>MIN(H25/25000*MIN(L25,AC25)*U25*Y25,Rates!C40/25000*MIN(L25,AC25)*U25*Y25)</f>
        <v>0</v>
      </c>
      <c r="Y25" s="593">
        <f>IF(Rates!D39="Yes",1,0)</f>
        <v>1</v>
      </c>
      <c r="Z25" s="672">
        <f>IF(AND(AA25=1,R25=2),MAX(H25,Rates!C40),IF(AND(AA25=1,R25&lt;2),Rates!C40,IF(AND(AA25=0,R25=2),H25,0)))</f>
        <v>0</v>
      </c>
      <c r="AA25" s="593">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500">
        <f>IF(I25="Full Seating Capacity",1,0)</f>
        <v>0</v>
      </c>
      <c r="F26" s="276" t="str">
        <f>IF(H25&gt;0,"Full Seating Capacity","")</f>
        <v/>
      </c>
      <c r="G26" s="500">
        <f>IF(OR(I25="Participant Only",I25="Participant &amp; Driver Only"),1,0)</f>
        <v>0</v>
      </c>
      <c r="H26" s="267" t="str">
        <f>IF(H25&gt;0,"for Participant","")</f>
        <v/>
      </c>
      <c r="I26" s="519">
        <f>IF(H15&gt;0,Z25,0)</f>
        <v>0</v>
      </c>
      <c r="J26" s="519"/>
      <c r="K26" s="310" t="str">
        <f>IF(H25&gt;0,"for Driver","")</f>
        <v/>
      </c>
      <c r="L26" s="500">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8"/>
      <c r="T26" s="588"/>
      <c r="U26" s="588"/>
      <c r="V26" s="588"/>
      <c r="W26" s="593"/>
      <c r="X26" s="593"/>
      <c r="Y26" s="593"/>
      <c r="Z26" s="672"/>
      <c r="AA26" s="593"/>
      <c r="AJ26" s="142">
        <f>AJ25+25000</f>
        <v>50000</v>
      </c>
      <c r="AM26" s="219"/>
      <c r="AU26" s="142">
        <f t="shared" si="1"/>
        <v>1988</v>
      </c>
      <c r="AX26" s="673"/>
    </row>
    <row r="27" spans="2:50" s="142" customFormat="1" ht="26.25" hidden="1" customHeight="1" thickBot="1" x14ac:dyDescent="0.35">
      <c r="B27" s="5"/>
      <c r="C27" s="137"/>
      <c r="D27" s="315"/>
      <c r="E27" s="295"/>
      <c r="F27" s="907" t="str">
        <f>IF(OR($R$25&gt;1,AA25=1),"If PAB for Terrorism is Required for paid Driver or workers, state their number","")</f>
        <v/>
      </c>
      <c r="G27" s="907"/>
      <c r="H27" s="907"/>
      <c r="I27" s="312">
        <v>0</v>
      </c>
      <c r="J27" s="368"/>
      <c r="K27" s="201"/>
      <c r="L27" s="312">
        <f>IF(E26=1,L13,IF(AND(G26=1,L26=1),2,IF(OR(G26=1,L26=1),1,0)))</f>
        <v>1</v>
      </c>
      <c r="M27" s="341"/>
      <c r="O27" s="229"/>
      <c r="P27" s="229"/>
      <c r="Q27" s="222"/>
      <c r="R27" s="382"/>
      <c r="S27" s="630"/>
      <c r="T27" s="630"/>
      <c r="U27" s="630"/>
      <c r="V27" s="630"/>
      <c r="W27" s="631"/>
      <c r="X27" s="631"/>
      <c r="Y27" s="593"/>
      <c r="Z27" s="672"/>
      <c r="AA27" s="593"/>
      <c r="AJ27" s="142">
        <f t="shared" ref="AJ27:AJ43" si="2">AJ26+25000</f>
        <v>75000</v>
      </c>
      <c r="AM27" s="219"/>
      <c r="AU27" s="142">
        <f t="shared" si="1"/>
        <v>1989</v>
      </c>
      <c r="AX27" s="673"/>
    </row>
    <row r="28" spans="2:50" s="142" customFormat="1" ht="20.25" hidden="1" customHeight="1" thickBot="1" x14ac:dyDescent="0.35">
      <c r="B28" s="5"/>
      <c r="C28" s="137"/>
      <c r="D28" s="315"/>
      <c r="E28" s="202"/>
      <c r="F28" s="907"/>
      <c r="G28" s="907"/>
      <c r="H28" s="907"/>
      <c r="I28" s="918" t="str">
        <f>IF(AND(H25=0,L25=0),"",IF(I27&gt;L25,"Invalid Entry",""))</f>
        <v/>
      </c>
      <c r="J28" s="918"/>
      <c r="K28" s="918"/>
      <c r="L28" s="295"/>
      <c r="M28" s="198"/>
      <c r="N28" s="239"/>
      <c r="O28" s="233"/>
      <c r="P28" s="233"/>
      <c r="Q28" s="382"/>
      <c r="R28" s="234"/>
      <c r="S28" s="588"/>
      <c r="T28" s="588"/>
      <c r="U28" s="588"/>
      <c r="V28" s="588"/>
      <c r="W28" s="593"/>
      <c r="X28" s="593"/>
      <c r="Y28" s="593"/>
      <c r="Z28" s="593">
        <f>IF(I27&gt;L25,L25,I27)</f>
        <v>0</v>
      </c>
      <c r="AA28" s="593"/>
      <c r="AJ28" s="142">
        <f t="shared" si="2"/>
        <v>100000</v>
      </c>
      <c r="AM28" s="219"/>
      <c r="AU28" s="142">
        <f t="shared" si="1"/>
        <v>1990</v>
      </c>
      <c r="AX28" s="673"/>
    </row>
    <row r="29" spans="2:50" s="142" customFormat="1" ht="20.25" customHeight="1" thickBot="1" x14ac:dyDescent="0.4">
      <c r="B29" s="5"/>
      <c r="C29" s="137"/>
      <c r="D29" s="321" t="s">
        <v>283</v>
      </c>
      <c r="E29" s="342" t="s">
        <v>9</v>
      </c>
      <c r="F29" s="77" t="s">
        <v>47</v>
      </c>
      <c r="G29" s="77"/>
      <c r="H29" s="604">
        <v>0</v>
      </c>
      <c r="I29" s="316" t="str">
        <f>IF(L13&gt;Q12,CONCATENATE(Q12-1," Passengers"),CONCATENATE(L13-1," passengers"))</f>
        <v>1 passengers</v>
      </c>
      <c r="J29" s="318"/>
      <c r="K29" s="565">
        <f>IF(AND(H8="Three Wheeler",K14=F113,H29&lt;20000),20000,H29)</f>
        <v>0</v>
      </c>
      <c r="L29" s="564"/>
      <c r="M29" s="187">
        <f>IF(AND($C$2="Yes",O29=1),N29,IF(K29=2000,Rates!K27,IF(K29=10000,Rates!M27,IF(K29=20000,Rates!K28,IF(K29=50000,Rates!M28,IF(K29=100000,Rates!K29,IF(K29=200000,Rates!M29,IF(K29=500000,Rates!K30,))))))))*T29*U2*R15*Y2*Z49*Y49*Q66*N3</f>
        <v>0</v>
      </c>
      <c r="N29" s="236">
        <v>0</v>
      </c>
      <c r="O29" s="671">
        <v>0</v>
      </c>
      <c r="P29" s="229">
        <f>IF(K29&gt;0,1,0)</f>
        <v>0</v>
      </c>
      <c r="Q29" s="229">
        <f>IF(I29&gt;0,1,0)</f>
        <v>1</v>
      </c>
      <c r="R29" s="234">
        <f>P29+Q29</f>
        <v>1</v>
      </c>
      <c r="S29" s="588"/>
      <c r="T29" s="589">
        <f>IF(I29&gt;L13-1,L13-1,I29)</f>
        <v>1</v>
      </c>
      <c r="U29" s="589"/>
      <c r="V29" s="589">
        <f>IF(AND(H9=Administration!C21,OR(Working!M8=Administration!C7,M8=Administration!C8,M8=Administration!C9,M8=Administration!C10,M8=Administration!C12)),2000,0)</f>
        <v>0</v>
      </c>
      <c r="W29" s="593"/>
      <c r="X29" s="593"/>
      <c r="Y29" s="593"/>
      <c r="Z29" s="593"/>
      <c r="AA29" s="593"/>
      <c r="AJ29" s="142">
        <f t="shared" si="2"/>
        <v>125000</v>
      </c>
      <c r="AM29" s="219"/>
      <c r="AU29" s="142">
        <f t="shared" si="1"/>
        <v>1991</v>
      </c>
      <c r="AX29" s="674"/>
    </row>
    <row r="30" spans="2:50" s="142" customFormat="1" ht="21" customHeight="1" thickBot="1" x14ac:dyDescent="0.35">
      <c r="B30" s="5"/>
      <c r="C30" s="345" t="s">
        <v>78</v>
      </c>
      <c r="D30" s="321" t="s">
        <v>283</v>
      </c>
      <c r="E30" s="342" t="s">
        <v>9</v>
      </c>
      <c r="F30" s="502" t="str">
        <f>IF(O31=0,"Goods Cover               (Not Provided)",IF(AND(C30="Yes",H30=0),"Goods Cover    - Enter Goods Value","Goods Cover              Goods Value-&gt;"))</f>
        <v>Goods Cover               (Not Provided)</v>
      </c>
      <c r="G30" s="295"/>
      <c r="H30" s="607">
        <v>0</v>
      </c>
      <c r="I30" s="919" t="s">
        <v>39</v>
      </c>
      <c r="J30" s="920"/>
      <c r="K30" s="675" t="s">
        <v>402</v>
      </c>
      <c r="L30" s="501">
        <v>0</v>
      </c>
      <c r="M30" s="189"/>
      <c r="N30" s="236">
        <v>0</v>
      </c>
      <c r="O30" s="229">
        <f>IF(AND(C30="Yes",H30&gt;0),1,0)</f>
        <v>0</v>
      </c>
      <c r="P30" s="229"/>
      <c r="Q30" s="219"/>
      <c r="S30" s="562"/>
      <c r="T30" s="562">
        <f>IF(C30="Yes",Rates!B33,0)</f>
        <v>5000</v>
      </c>
      <c r="U30" s="626">
        <f>IF(AND(O31=1,C30="Yes"),Rates!B31,0)</f>
        <v>0</v>
      </c>
      <c r="V30" s="626"/>
      <c r="W30" s="593"/>
      <c r="X30" s="593"/>
      <c r="Y30" s="593"/>
      <c r="Z30" s="593"/>
      <c r="AA30" s="593"/>
      <c r="AJ30" s="142">
        <f t="shared" si="2"/>
        <v>150000</v>
      </c>
      <c r="AM30" s="219"/>
      <c r="AU30" s="142">
        <f t="shared" si="1"/>
        <v>1992</v>
      </c>
    </row>
    <row r="31" spans="2:50" s="142" customFormat="1" ht="0.75" customHeight="1" thickBot="1" x14ac:dyDescent="0.35">
      <c r="B31" s="676">
        <v>1</v>
      </c>
      <c r="C31" s="477">
        <v>1</v>
      </c>
      <c r="D31" s="314"/>
      <c r="E31" s="344" t="str">
        <f>IF(AND(H30&gt;0,O31&gt;0),"Select Nature of Goods","")</f>
        <v/>
      </c>
      <c r="F31" s="295"/>
      <c r="G31" s="205" t="s">
        <v>9</v>
      </c>
      <c r="H31" s="329" t="str">
        <f>IF(AND(H30&gt;0,O31=1),"Non Hazardous","")</f>
        <v/>
      </c>
      <c r="I31" s="311">
        <f>H30*Rates!K53%*T31*O30*O31</f>
        <v>0</v>
      </c>
      <c r="J31" s="677"/>
      <c r="K31" s="677"/>
      <c r="L31" s="677"/>
      <c r="M31" s="192"/>
      <c r="N31" s="240"/>
      <c r="O31" s="142">
        <f>IF(OR(H8=Administration!C9,H8=Administration!C11,H8=Administration!C12,H8=Administration!CY1548),1,IF(Rates!D47="Yes",1,0))</f>
        <v>0</v>
      </c>
      <c r="Q31" s="142">
        <f>B31</f>
        <v>1</v>
      </c>
      <c r="R31" s="142">
        <f>IF(Q31+Q32=3,0,1)</f>
        <v>1</v>
      </c>
      <c r="S31" s="562"/>
      <c r="T31" s="562">
        <f>IF((E32+E33)=0,1,0)</f>
        <v>0</v>
      </c>
      <c r="U31" s="593">
        <f>IF(T31=1,1,0)</f>
        <v>0</v>
      </c>
      <c r="V31" s="593"/>
      <c r="W31" s="593"/>
      <c r="X31" s="593"/>
      <c r="Y31" s="593"/>
      <c r="Z31" s="593"/>
      <c r="AA31" s="593"/>
      <c r="AJ31" s="142">
        <f t="shared" si="2"/>
        <v>175000</v>
      </c>
      <c r="AM31" s="219"/>
      <c r="AU31" s="142">
        <f t="shared" si="1"/>
        <v>1993</v>
      </c>
      <c r="AX31" s="674" t="s">
        <v>391</v>
      </c>
    </row>
    <row r="32" spans="2:50" s="142" customFormat="1" ht="23.25" hidden="1" customHeight="1" thickBot="1" x14ac:dyDescent="0.35">
      <c r="B32" s="5"/>
      <c r="D32" s="314"/>
      <c r="E32" s="501">
        <f>IF(I30="Hazardous",1,0)</f>
        <v>0</v>
      </c>
      <c r="F32" s="295"/>
      <c r="G32" s="205" t="s">
        <v>9</v>
      </c>
      <c r="H32" s="329" t="str">
        <f>IF(AND(H30&gt;0,O31=1),"Hazardous","")</f>
        <v/>
      </c>
      <c r="I32" s="311">
        <f>H30*Rates!K54%*Q32*O30*O31</f>
        <v>0</v>
      </c>
      <c r="J32" s="677"/>
      <c r="K32" s="677"/>
      <c r="L32" s="677"/>
      <c r="M32" s="192"/>
      <c r="N32" s="240"/>
      <c r="Q32" s="142">
        <f>IF(Q33=1,0,E32)</f>
        <v>0</v>
      </c>
      <c r="S32" s="562"/>
      <c r="T32" s="562" t="str">
        <f>IF(AND(E33=1,H30&gt;0,C30="Yes"),"Extra Hazardous",U32)</f>
        <v>-</v>
      </c>
      <c r="U32" s="562" t="str">
        <f>IF(AND(H30&gt;0,E32=1,C30="Yes"),"Hazardous",W32)</f>
        <v>-</v>
      </c>
      <c r="V32" s="562"/>
      <c r="W32" s="562" t="str">
        <f>IF(AND(H30&gt;0,C30="Yes"),"Non Hazardous","-")</f>
        <v>-</v>
      </c>
      <c r="X32" s="562"/>
      <c r="Y32" s="562"/>
      <c r="Z32" s="562"/>
      <c r="AA32" s="562"/>
      <c r="AJ32" s="142">
        <f t="shared" si="2"/>
        <v>200000</v>
      </c>
      <c r="AM32" s="219"/>
      <c r="AU32" s="142">
        <f t="shared" si="1"/>
        <v>1994</v>
      </c>
      <c r="AX32" s="674" t="s">
        <v>384</v>
      </c>
    </row>
    <row r="33" spans="2:50" s="142" customFormat="1" ht="18" hidden="1" customHeight="1" thickTop="1" thickBot="1" x14ac:dyDescent="0.35">
      <c r="B33" s="5"/>
      <c r="D33" s="314"/>
      <c r="E33" s="501">
        <f>IF(I30="Extra Hazardous",1,0)</f>
        <v>1</v>
      </c>
      <c r="F33" s="295"/>
      <c r="G33" s="205" t="s">
        <v>9</v>
      </c>
      <c r="H33" s="329" t="str">
        <f>IF(AND(H30&gt;0,O31=1),"Extra Hazardous","")</f>
        <v/>
      </c>
      <c r="I33" s="311">
        <f>H30*Rates!K55%*E33*O30*O31</f>
        <v>0</v>
      </c>
      <c r="J33" s="677"/>
      <c r="K33" s="677"/>
      <c r="L33" s="677"/>
      <c r="M33" s="192"/>
      <c r="N33" s="883"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884"/>
      <c r="Q33" s="142">
        <f>E33</f>
        <v>1</v>
      </c>
      <c r="S33" s="562"/>
      <c r="T33" s="562"/>
      <c r="U33" s="562"/>
      <c r="V33" s="562"/>
      <c r="W33" s="562"/>
      <c r="X33" s="562"/>
      <c r="Y33" s="562"/>
      <c r="Z33" s="562"/>
      <c r="AA33" s="562"/>
      <c r="AJ33" s="142">
        <f t="shared" si="2"/>
        <v>225000</v>
      </c>
      <c r="AM33" s="219"/>
      <c r="AU33" s="142">
        <f t="shared" si="1"/>
        <v>1995</v>
      </c>
      <c r="AX33" s="674" t="s">
        <v>392</v>
      </c>
    </row>
    <row r="34" spans="2:50" s="142" customFormat="1" ht="18" customHeight="1" thickBot="1" x14ac:dyDescent="0.35">
      <c r="B34" s="5"/>
      <c r="D34" s="314"/>
      <c r="E34" s="501">
        <f>IF(K30="With Fire",1,0)</f>
        <v>1</v>
      </c>
      <c r="F34" s="270" t="str">
        <f>IF(AND(H30&gt;0,O31=1),"Select to include Damage by Fire","")</f>
        <v/>
      </c>
      <c r="G34" s="205" t="s">
        <v>9</v>
      </c>
      <c r="H34" s="329" t="str">
        <f>IF(AND(H30&gt;0,O31=1),"Fire","")</f>
        <v/>
      </c>
      <c r="I34" s="311">
        <f>H30*E34*Rates!K56%*O30*O31</f>
        <v>0</v>
      </c>
      <c r="J34" s="677"/>
      <c r="K34" s="677"/>
      <c r="L34" s="677"/>
      <c r="M34" s="192"/>
      <c r="N34" s="885"/>
      <c r="O34" s="886"/>
      <c r="S34" s="562"/>
      <c r="T34" s="562"/>
      <c r="U34" s="562"/>
      <c r="V34" s="562"/>
      <c r="W34" s="562"/>
      <c r="X34" s="562"/>
      <c r="Y34" s="562"/>
      <c r="Z34" s="562"/>
      <c r="AA34" s="562"/>
      <c r="AJ34" s="142">
        <f t="shared" si="2"/>
        <v>250000</v>
      </c>
      <c r="AM34" s="219"/>
      <c r="AU34" s="539">
        <f t="shared" si="1"/>
        <v>1996</v>
      </c>
    </row>
    <row r="35" spans="2:50" s="142" customFormat="1" ht="16.5" thickTop="1" thickBot="1" x14ac:dyDescent="0.4">
      <c r="B35" s="5"/>
      <c r="C35" s="136"/>
      <c r="D35" s="503"/>
      <c r="E35" s="504"/>
      <c r="F35" s="505"/>
      <c r="G35" s="506"/>
      <c r="H35" s="507">
        <f>IF(H36=0,H37,H36)</f>
        <v>25</v>
      </c>
      <c r="I35" s="508"/>
      <c r="J35" s="508"/>
      <c r="K35" s="509"/>
      <c r="L35" s="509" t="s">
        <v>285</v>
      </c>
      <c r="M35" s="510">
        <f ca="1">M24+M25+M30</f>
        <v>10599.999999999998</v>
      </c>
      <c r="N35" s="237"/>
      <c r="O35" s="229"/>
      <c r="P35" s="229"/>
      <c r="Q35" s="241"/>
      <c r="AJ35" s="142">
        <f t="shared" si="2"/>
        <v>275000</v>
      </c>
      <c r="AM35" s="219"/>
      <c r="AU35" s="539">
        <f t="shared" si="1"/>
        <v>1997</v>
      </c>
    </row>
    <row r="36" spans="2:50" s="142" customFormat="1" ht="16" customHeight="1" thickBot="1" x14ac:dyDescent="0.4">
      <c r="B36" s="5"/>
      <c r="C36" s="137" t="str">
        <f>IF(H38="Upfront NCB","NCB (No Claim Bonus)","No Claim Bonus (NCB)")</f>
        <v>No Claim Bonus (NCB)</v>
      </c>
      <c r="D36" s="321" t="s">
        <v>283</v>
      </c>
      <c r="E36" s="342" t="s">
        <v>9</v>
      </c>
      <c r="F36" s="267" t="s">
        <v>319</v>
      </c>
      <c r="G36" s="375">
        <f>H36+H37</f>
        <v>25</v>
      </c>
      <c r="H36" s="678">
        <f>'SRC Quote'!T34</f>
        <v>0</v>
      </c>
      <c r="I36" s="903" t="str">
        <f>IF(H36&gt;R36,CONCATENATE("NCB ALLOWED - ",R36),IF(H36&gt;0,"Earned NCB - NOT Upfront NCB",IF(AND(M8=Administration!C19,H9=Administration!C20),"NCB Not Allowed","")))</f>
        <v/>
      </c>
      <c r="J36" s="904"/>
      <c r="K36" s="904"/>
      <c r="L36" s="501">
        <v>0</v>
      </c>
      <c r="M36" s="193">
        <f ca="1">IF(AND($C$2="Yes",L36=1),N36,(-M35/1*MIN(H36%,R36%)*Y2))</f>
        <v>0</v>
      </c>
      <c r="N36" s="679">
        <v>0</v>
      </c>
      <c r="O36" s="229">
        <f ca="1">IF(OR(AND(H36&gt;0%,M36&lt;0),M37&lt;0),1,0)</f>
        <v>1</v>
      </c>
      <c r="P36" s="229"/>
      <c r="Q36" s="491"/>
      <c r="R36" s="242">
        <f>IF(T47=0,35,IF(U57=1,75,65))</f>
        <v>35</v>
      </c>
      <c r="S36" s="242"/>
      <c r="T36" s="231"/>
      <c r="U36" s="231"/>
      <c r="V36" s="231"/>
      <c r="W36" s="141"/>
      <c r="X36" s="141"/>
      <c r="Y36" s="141"/>
      <c r="Z36" s="141"/>
      <c r="AJ36" s="142">
        <f t="shared" si="2"/>
        <v>300000</v>
      </c>
      <c r="AU36" s="539">
        <f t="shared" si="1"/>
        <v>1998</v>
      </c>
      <c r="AX36" s="680"/>
    </row>
    <row r="37" spans="2:50" s="142" customFormat="1" ht="16" customHeight="1" thickBot="1" x14ac:dyDescent="0.4">
      <c r="B37" s="5"/>
      <c r="C37" s="137"/>
      <c r="D37" s="321"/>
      <c r="E37" s="511" t="s">
        <v>9</v>
      </c>
      <c r="F37" s="267" t="s">
        <v>320</v>
      </c>
      <c r="G37" s="658">
        <f>IF(H36+H37&gt;35,35-H36,H37)</f>
        <v>25</v>
      </c>
      <c r="H37" s="559">
        <f>IF(M12="Above 250cc",0,IF('SRC Quote'!P8="Other",25,0))</f>
        <v>25</v>
      </c>
      <c r="I37" s="921" t="str">
        <f>IF(G37&lt;&gt;H37,CONCATENATE(G37,"% NCB Allowed (Max - 35%)"),"")</f>
        <v/>
      </c>
      <c r="J37" s="922"/>
      <c r="K37" s="922"/>
      <c r="L37" s="501">
        <v>0</v>
      </c>
      <c r="M37" s="458">
        <f ca="1">IF(AND($C$2="Yes",L37=1),Q37,(-M35/1*G37%))</f>
        <v>-2649.9999999999995</v>
      </c>
      <c r="N37" s="679">
        <v>-121</v>
      </c>
      <c r="O37" s="229"/>
      <c r="P37" s="229"/>
      <c r="Q37" s="491"/>
      <c r="R37" s="242">
        <f>IF(H36+H37&gt;R36,0,1)</f>
        <v>1</v>
      </c>
      <c r="S37" s="242"/>
      <c r="T37" s="231"/>
      <c r="U37" s="231"/>
      <c r="V37" s="231"/>
      <c r="W37" s="141"/>
      <c r="X37" s="141"/>
      <c r="Y37" s="141"/>
      <c r="Z37" s="141"/>
      <c r="AU37" s="539">
        <f t="shared" ref="AU37:AU42" si="3">AU36+1</f>
        <v>1999</v>
      </c>
      <c r="AX37" s="680"/>
    </row>
    <row r="38" spans="2:50" s="142" customFormat="1" ht="15" customHeight="1" thickBot="1" x14ac:dyDescent="0.35">
      <c r="B38" s="5"/>
      <c r="C38" s="136"/>
      <c r="D38" s="512"/>
      <c r="E38" s="513"/>
      <c r="F38" s="505"/>
      <c r="G38" s="514"/>
      <c r="H38" s="515" t="s">
        <v>319</v>
      </c>
      <c r="I38" s="516" t="s">
        <v>397</v>
      </c>
      <c r="J38" s="517"/>
      <c r="K38" s="518"/>
      <c r="L38" s="509" t="s">
        <v>286</v>
      </c>
      <c r="M38" s="510">
        <f ca="1">(M35+M36+M37)*C70</f>
        <v>7949.9999999999982</v>
      </c>
      <c r="N38" s="237"/>
      <c r="O38" s="243">
        <f ca="1">M35+M36</f>
        <v>10599.999999999998</v>
      </c>
      <c r="P38" s="142">
        <f>IF(O44=1,Rates!K4,Rates!K3)</f>
        <v>0.2</v>
      </c>
      <c r="Q38" s="142">
        <f>IF(B40="Yes",1,0)</f>
        <v>1</v>
      </c>
      <c r="R38" s="492"/>
      <c r="S38" s="492"/>
      <c r="T38" s="492"/>
      <c r="U38" s="492"/>
      <c r="V38" s="492"/>
      <c r="W38" s="141"/>
      <c r="X38" s="141"/>
      <c r="Y38" s="141"/>
      <c r="Z38" s="141"/>
      <c r="AA38" s="562"/>
      <c r="AB38" s="562"/>
      <c r="AC38" s="562"/>
      <c r="AD38" s="562"/>
      <c r="AE38" s="562"/>
      <c r="AF38" s="562"/>
      <c r="AG38" s="562"/>
      <c r="AH38" s="562"/>
      <c r="AJ38" s="142">
        <f>AJ36+25000</f>
        <v>325000</v>
      </c>
      <c r="AU38" s="539">
        <f t="shared" si="3"/>
        <v>2000</v>
      </c>
      <c r="AX38" s="680"/>
    </row>
    <row r="39" spans="2:50" s="142" customFormat="1" ht="15" customHeight="1" thickBot="1" x14ac:dyDescent="0.45">
      <c r="B39" s="669" t="str">
        <f>IF(C39=1,"Yes","No")</f>
        <v>Yes</v>
      </c>
      <c r="C39" s="534">
        <v>1</v>
      </c>
      <c r="D39" s="321" t="s">
        <v>283</v>
      </c>
      <c r="E39" s="342" t="s">
        <v>9</v>
      </c>
      <c r="F39" s="267" t="s">
        <v>287</v>
      </c>
      <c r="G39" s="267"/>
      <c r="H39" s="221"/>
      <c r="I39" s="188"/>
      <c r="J39" s="188"/>
      <c r="K39" s="9"/>
      <c r="L39" s="501">
        <v>0</v>
      </c>
      <c r="M39" s="189">
        <f ca="1">IF(AND($C$2="Yes",L39=1),N39,IF(B39="Yes",M19*Rates!K11%,0))</f>
        <v>2500</v>
      </c>
      <c r="N39" s="236">
        <v>0</v>
      </c>
      <c r="O39" s="142">
        <f>IF(B40="Yes",1,0)</f>
        <v>1</v>
      </c>
      <c r="P39" s="142">
        <f>IF(O44=1,Rates!K6,Rates!K5)</f>
        <v>0.05</v>
      </c>
      <c r="Q39" s="142">
        <f>IF(B41="Yes",1,0)</f>
        <v>1</v>
      </c>
      <c r="R39" s="492"/>
      <c r="S39" s="492"/>
      <c r="T39" s="492"/>
      <c r="U39" s="492"/>
      <c r="V39" s="492"/>
      <c r="W39" s="141"/>
      <c r="X39" s="141"/>
      <c r="Y39" s="141"/>
      <c r="Z39" s="141"/>
      <c r="AA39" s="562"/>
      <c r="AB39" s="562"/>
      <c r="AC39" s="562"/>
      <c r="AD39" s="562"/>
      <c r="AE39" s="562"/>
      <c r="AF39" s="562"/>
      <c r="AG39" s="562"/>
      <c r="AH39" s="562"/>
      <c r="AJ39" s="142">
        <f t="shared" si="2"/>
        <v>350000</v>
      </c>
      <c r="AU39" s="539">
        <f t="shared" si="3"/>
        <v>2001</v>
      </c>
      <c r="AX39" s="680"/>
    </row>
    <row r="40" spans="2:50" s="142" customFormat="1" ht="16" customHeight="1" thickBot="1" x14ac:dyDescent="0.35">
      <c r="B40" s="669" t="str">
        <f>IF(C40=1,"Yes","No")</f>
        <v>Yes</v>
      </c>
      <c r="C40" s="534">
        <v>1</v>
      </c>
      <c r="D40" s="321" t="s">
        <v>283</v>
      </c>
      <c r="E40" s="342" t="s">
        <v>9</v>
      </c>
      <c r="F40" s="267" t="s">
        <v>14</v>
      </c>
      <c r="G40" s="267"/>
      <c r="H40" s="188"/>
      <c r="I40" s="188"/>
      <c r="J40" s="188"/>
      <c r="K40" s="9"/>
      <c r="L40" s="501">
        <v>0</v>
      </c>
      <c r="M40" s="189">
        <f>IF(AND($C$2="Yes",L40=1),N40,(Q38*P38%*H15*U2*Z2*N4))</f>
        <v>1000</v>
      </c>
      <c r="N40" s="236">
        <v>0</v>
      </c>
      <c r="O40" s="911"/>
      <c r="P40" s="911"/>
      <c r="Q40" s="911"/>
      <c r="R40" s="911"/>
      <c r="S40" s="911"/>
      <c r="T40" s="911"/>
      <c r="U40" s="911"/>
      <c r="V40" s="911"/>
      <c r="AA40" s="562"/>
      <c r="AB40" s="562"/>
      <c r="AC40" s="562"/>
      <c r="AD40" s="562"/>
      <c r="AE40" s="562"/>
      <c r="AF40" s="562"/>
      <c r="AG40" s="562"/>
      <c r="AH40" s="562"/>
      <c r="AJ40" s="142">
        <f t="shared" si="2"/>
        <v>375000</v>
      </c>
      <c r="AU40" s="539">
        <f t="shared" si="3"/>
        <v>2002</v>
      </c>
      <c r="AX40" s="680"/>
    </row>
    <row r="41" spans="2:50" s="142" customFormat="1" ht="16" customHeight="1" thickBot="1" x14ac:dyDescent="0.35">
      <c r="B41" s="669" t="str">
        <f>IF(C42=1,"Yes","No")</f>
        <v>Yes</v>
      </c>
      <c r="C41" s="136"/>
      <c r="D41" s="443">
        <f>IF(OR($R$25&gt;1,AA25=1),1,0)</f>
        <v>0</v>
      </c>
      <c r="E41" s="501">
        <v>1</v>
      </c>
      <c r="F41" s="267" t="str">
        <f>IF(AND($C$40=1,D41=1),CONCATENATE("     PAB by SRCC (Rs.",Y42,")"),"")</f>
        <v/>
      </c>
      <c r="G41" s="501">
        <v>1</v>
      </c>
      <c r="H41" s="444" t="str">
        <f>IF(AND($C$40=1,M30&gt;0),"   Goods Cover by SRCC","")</f>
        <v/>
      </c>
      <c r="I41" s="204"/>
      <c r="J41" s="501">
        <v>1</v>
      </c>
      <c r="K41" s="445" t="str">
        <f>IF(AND($C$40=1,OR(H50&gt;0,H51&gt;0)),"WCT by SRCC","")</f>
        <v/>
      </c>
      <c r="L41" s="501">
        <v>1</v>
      </c>
      <c r="M41" s="189">
        <v>0</v>
      </c>
      <c r="N41" s="236">
        <v>0</v>
      </c>
      <c r="O41" s="911"/>
      <c r="P41" s="911"/>
      <c r="Q41" s="911"/>
      <c r="R41" s="911"/>
      <c r="S41" s="911"/>
      <c r="T41" s="911"/>
      <c r="U41" s="911"/>
      <c r="V41" s="911"/>
      <c r="X41" s="476" t="s">
        <v>19</v>
      </c>
      <c r="Y41" s="476" t="s">
        <v>17</v>
      </c>
      <c r="Z41" s="476" t="s">
        <v>18</v>
      </c>
      <c r="AA41" s="596"/>
      <c r="AB41" s="597" t="s">
        <v>146</v>
      </c>
      <c r="AC41" s="598" t="s">
        <v>149</v>
      </c>
      <c r="AD41" s="599" t="s">
        <v>150</v>
      </c>
      <c r="AE41" s="598" t="s">
        <v>149</v>
      </c>
      <c r="AF41" s="562"/>
      <c r="AG41" s="562" t="s">
        <v>152</v>
      </c>
      <c r="AH41" s="562" t="s">
        <v>151</v>
      </c>
      <c r="AJ41" s="142">
        <f t="shared" si="2"/>
        <v>400000</v>
      </c>
      <c r="AU41" s="539">
        <f t="shared" si="3"/>
        <v>2003</v>
      </c>
    </row>
    <row r="42" spans="2:50" s="142" customFormat="1" ht="18.75" customHeight="1" thickBot="1" x14ac:dyDescent="0.35">
      <c r="B42" s="118"/>
      <c r="C42" s="681">
        <f>IF('SRC Quote'!T20="No",0,1)</f>
        <v>1</v>
      </c>
      <c r="D42" s="321" t="s">
        <v>283</v>
      </c>
      <c r="E42" s="342" t="s">
        <v>9</v>
      </c>
      <c r="F42" s="267" t="s">
        <v>378</v>
      </c>
      <c r="G42" s="267"/>
      <c r="H42" s="446" t="str">
        <f>IF(X42&gt;0,CONCATENATE("    (Rs.",X42,")"),"")</f>
        <v/>
      </c>
      <c r="I42" s="188"/>
      <c r="J42" s="188"/>
      <c r="K42" s="446" t="str">
        <f>IF(Z42&gt;0,CONCATENATE("  (Rs.",FIXED(Z42),")"),"")</f>
        <v/>
      </c>
      <c r="L42" s="501">
        <v>0</v>
      </c>
      <c r="M42" s="189">
        <f>IF(AND($C$2="Yes",L42=1),N41,(H15*P39%*Q39*U2*Q38*Z2*N4))</f>
        <v>250</v>
      </c>
      <c r="N42" s="682">
        <v>0</v>
      </c>
      <c r="O42" s="493"/>
      <c r="Q42" s="469" t="str">
        <f>IF(G41=1,"Yes","No")</f>
        <v>Yes</v>
      </c>
      <c r="R42" s="470"/>
      <c r="T42" s="244" t="str">
        <f>IF(E41=1,"Yes","No")</f>
        <v>Yes</v>
      </c>
      <c r="U42" s="462"/>
      <c r="W42" s="234" t="str">
        <f>IF(J41=1,"Yes","No")</f>
        <v>Yes</v>
      </c>
      <c r="X42" s="245">
        <f>IF(AND(B40="Yes",Q42="Yes",C30="Yes"),H30*Rates!Q8%,0)*Z49*O31</f>
        <v>0</v>
      </c>
      <c r="Y42" s="245">
        <f>IF(AND(B40="Yes",T42="Yes"),AE42,0)</f>
        <v>0</v>
      </c>
      <c r="Z42" s="245">
        <f>IF(AND(B40="Yes",W42="Yes"),(M50+M51)*Rates!Q9%,0)</f>
        <v>0</v>
      </c>
      <c r="AA42" s="600"/>
      <c r="AB42" s="601">
        <f>IF(Y48="Commercial Vehicle Policy",1,0)</f>
        <v>0</v>
      </c>
      <c r="AC42" s="601">
        <f>IF(OR(Y48="Private car policy",Y48="Motor Cycle Policy"),1,0)</f>
        <v>1</v>
      </c>
      <c r="AD42" s="562">
        <f>IF(AND(M8=Administration!C10,H9=Administration!C23),1,0)</f>
        <v>0</v>
      </c>
      <c r="AE42" s="562">
        <f>IF(AC42=1,I26*L25*Rates!Q6%,AF42)</f>
        <v>0</v>
      </c>
      <c r="AF42" s="562">
        <f>AG42+AH42</f>
        <v>0</v>
      </c>
      <c r="AG42" s="562">
        <f>Z28*I26*Rates!Q6%</f>
        <v>0</v>
      </c>
      <c r="AH42" s="562">
        <f>IF(AD42=1,(L25-Z28)*Z25*Rates!Q7%,(L25-Z28)*Z25*Rates!Q6%)</f>
        <v>0</v>
      </c>
      <c r="AJ42" s="142">
        <f>AJ41+25000</f>
        <v>425000</v>
      </c>
      <c r="AU42" s="539">
        <f t="shared" si="3"/>
        <v>2004</v>
      </c>
      <c r="AX42" s="680"/>
    </row>
    <row r="43" spans="2:50" s="142" customFormat="1" ht="16" customHeight="1" x14ac:dyDescent="0.3">
      <c r="B43" s="118"/>
      <c r="C43" s="136"/>
      <c r="D43" s="313"/>
      <c r="E43" s="501">
        <v>0</v>
      </c>
      <c r="F43" s="267" t="str">
        <f>IF(AND($C$40=1,C42=1,D41=1),CONCATENATE("     PAB by TC (Rs.",Y43,")"),"")</f>
        <v/>
      </c>
      <c r="G43" s="501">
        <v>1</v>
      </c>
      <c r="H43" s="444" t="str">
        <f>IF(AND($C$40=1,C42=1,M30&gt;0),"   Goods Cover by TC","")</f>
        <v/>
      </c>
      <c r="I43" s="204"/>
      <c r="J43" s="501">
        <v>1</v>
      </c>
      <c r="K43" s="445" t="str">
        <f>IF(AND($C$40=1,C42=1,OR(H50&gt;0,H51&gt;0)),"WCT by TC","")</f>
        <v/>
      </c>
      <c r="L43" s="501">
        <v>0</v>
      </c>
      <c r="M43" s="189">
        <f>IF(AND($C$2="Yes",L43=1),N43,(SUM(X43:Z43)*U2*R15*Y2))</f>
        <v>0</v>
      </c>
      <c r="N43" s="236">
        <v>0</v>
      </c>
      <c r="O43" s="493"/>
      <c r="Q43" s="469" t="str">
        <f>IF(G43=1,"Yes","No")</f>
        <v>Yes</v>
      </c>
      <c r="R43" s="471"/>
      <c r="T43" s="244" t="str">
        <f>IF(E43=1,"Yes","No")</f>
        <v>No</v>
      </c>
      <c r="U43" s="472"/>
      <c r="W43" s="234" t="str">
        <f>IF(J43=1,"Yes","No")</f>
        <v>Yes</v>
      </c>
      <c r="X43" s="245">
        <f>IF(AND(B40="Yes",B41="Yes",Q42="Yes",Q43="Yes",C30="Yes"),H30*Rates!R8%,0)*Z49*O31</f>
        <v>0</v>
      </c>
      <c r="Y43" s="245">
        <f>IF(AND(B40="Yes",B41="Yes",T42="Yes",T43="Yes"),AE43,0)</f>
        <v>0</v>
      </c>
      <c r="Z43" s="245">
        <f>IF(AND(B40="Yes",B41="Yes",W42="Yes",W43="Yes"),(M50+M51)*Rates!R9%,0)</f>
        <v>0</v>
      </c>
      <c r="AA43" s="600"/>
      <c r="AB43" s="601"/>
      <c r="AC43" s="601"/>
      <c r="AD43" s="562"/>
      <c r="AE43" s="562">
        <f>IF(AC42=1,I26*L25*Rates!R6%,AF43)</f>
        <v>0</v>
      </c>
      <c r="AF43" s="562">
        <f>AG43+AH43</f>
        <v>0</v>
      </c>
      <c r="AG43" s="562">
        <f>Z28*I26*Rates!R4%</f>
        <v>0</v>
      </c>
      <c r="AH43" s="562">
        <f>IF(AD42=1,Rates!R7,(L25-Z28)*Z25*Rates!R5%)</f>
        <v>0</v>
      </c>
      <c r="AJ43" s="142">
        <f t="shared" si="2"/>
        <v>450000</v>
      </c>
      <c r="AU43" s="539">
        <f t="shared" ref="AU43:AU85" ca="1" si="4">IF(AU42&gt;=$AW$46,"",AU42+1)</f>
        <v>2005</v>
      </c>
      <c r="AX43" s="680"/>
    </row>
    <row r="44" spans="2:50" s="142" customFormat="1" ht="16" customHeight="1" x14ac:dyDescent="0.3">
      <c r="B44" s="118"/>
      <c r="C44" s="136"/>
      <c r="D44" s="321" t="s">
        <v>283</v>
      </c>
      <c r="E44" s="342" t="s">
        <v>9</v>
      </c>
      <c r="F44" s="267" t="s">
        <v>125</v>
      </c>
      <c r="G44" s="267"/>
      <c r="H44" s="446" t="str">
        <f>IF(X43&gt;0,CONCATENATE("    (Rs.",X43,")"),"")</f>
        <v/>
      </c>
      <c r="I44" s="188"/>
      <c r="J44" s="188"/>
      <c r="K44" s="446" t="str">
        <f>IF(Z43&gt;0,CONCATENATE("  (Rs.",FIXED(Z43),")"),"")</f>
        <v/>
      </c>
      <c r="L44" s="501">
        <v>0</v>
      </c>
      <c r="M44" s="189">
        <f ca="1">IF(AND($C$2="Yes",L44=1),M19*N44%,(M19*Rates!K14%*O44*R44))</f>
        <v>0</v>
      </c>
      <c r="N44" s="683">
        <v>0</v>
      </c>
      <c r="O44" s="493">
        <f>IF(OR(H9=Administration!C21,H9=Administration!C22),1,Q44)</f>
        <v>0</v>
      </c>
      <c r="P44" s="234"/>
      <c r="Q44" s="234">
        <f>IF(AND(M8=Administration!C10,H9=Administration!C23),1,0)</f>
        <v>0</v>
      </c>
      <c r="R44" s="231">
        <f>IF(Rates!M14="Free",0,1)</f>
        <v>1</v>
      </c>
      <c r="S44" s="231"/>
      <c r="T44" s="473"/>
      <c r="U44" s="473"/>
      <c r="V44" s="231"/>
      <c r="W44" s="141"/>
      <c r="X44" s="474"/>
      <c r="Y44" s="474"/>
      <c r="Z44" s="232"/>
      <c r="AA44" s="562"/>
      <c r="AB44" s="562"/>
      <c r="AC44" s="562"/>
      <c r="AD44" s="562"/>
      <c r="AE44" s="562"/>
      <c r="AF44" s="562"/>
      <c r="AG44" s="562"/>
      <c r="AH44" s="562"/>
      <c r="AJ44" s="142">
        <f>AJ43+25000</f>
        <v>475000</v>
      </c>
      <c r="AU44" s="539">
        <f t="shared" ca="1" si="4"/>
        <v>2006</v>
      </c>
      <c r="AX44" s="680"/>
    </row>
    <row r="45" spans="2:50" s="142" customFormat="1" ht="15" customHeight="1" thickBot="1" x14ac:dyDescent="0.35">
      <c r="B45" s="118" t="str">
        <f>IF(C47=1,"Yes","No")</f>
        <v>No</v>
      </c>
      <c r="C45" s="586">
        <v>0</v>
      </c>
      <c r="D45" s="321" t="s">
        <v>283</v>
      </c>
      <c r="E45" s="342" t="s">
        <v>9</v>
      </c>
      <c r="F45" s="267" t="s">
        <v>450</v>
      </c>
      <c r="G45" s="267"/>
      <c r="H45" s="188"/>
      <c r="I45" s="188"/>
      <c r="J45" s="188"/>
      <c r="K45" s="9"/>
      <c r="L45" s="501">
        <v>0</v>
      </c>
      <c r="M45" s="189"/>
      <c r="N45" s="684">
        <v>0</v>
      </c>
      <c r="O45" s="587">
        <f>C45</f>
        <v>0</v>
      </c>
      <c r="P45" s="588"/>
      <c r="Q45" s="588"/>
      <c r="R45" s="589">
        <f>IF(Rates!M15="Free",0,1)</f>
        <v>1</v>
      </c>
      <c r="S45" s="589"/>
      <c r="T45" s="590"/>
      <c r="U45" s="590"/>
      <c r="V45" s="231"/>
      <c r="W45" s="141"/>
      <c r="X45" s="141"/>
      <c r="Y45" s="141"/>
      <c r="AA45" s="562"/>
      <c r="AB45" s="562"/>
      <c r="AC45" s="562"/>
      <c r="AD45" s="593"/>
      <c r="AE45" s="593"/>
      <c r="AF45" s="593"/>
      <c r="AG45" s="593"/>
      <c r="AH45" s="593"/>
      <c r="AI45" s="141"/>
      <c r="AJ45" s="142">
        <f>IF(AJ44=500000,"",AJ44+25000)</f>
        <v>500000</v>
      </c>
      <c r="AK45" s="141"/>
      <c r="AL45" s="141"/>
      <c r="AN45" s="141"/>
      <c r="AO45" s="141"/>
      <c r="AP45" s="141"/>
      <c r="AQ45" s="141"/>
      <c r="AR45" s="141"/>
      <c r="AS45" s="141"/>
      <c r="AU45" s="539">
        <f t="shared" ca="1" si="4"/>
        <v>2007</v>
      </c>
      <c r="AX45" s="680"/>
    </row>
    <row r="46" spans="2:50" s="142" customFormat="1" ht="15.75" customHeight="1" thickBot="1" x14ac:dyDescent="0.35">
      <c r="B46" s="669" t="str">
        <f>IF(C46=1,"Yes","No")</f>
        <v>No</v>
      </c>
      <c r="C46" s="603">
        <v>0</v>
      </c>
      <c r="D46" s="321" t="s">
        <v>283</v>
      </c>
      <c r="E46" s="342" t="s">
        <v>9</v>
      </c>
      <c r="F46" s="267" t="s">
        <v>278</v>
      </c>
      <c r="G46" s="267"/>
      <c r="H46" s="904" t="str">
        <f>IF(U57=1,"Free Cover",IF(AND(B46="Yes",Q48=1,Q46=0,U46=0),"Only for Private Dual Purpose Vehicles",""))</f>
        <v/>
      </c>
      <c r="I46" s="904"/>
      <c r="J46" s="904"/>
      <c r="K46" s="904"/>
      <c r="L46" s="501">
        <v>0</v>
      </c>
      <c r="M46" s="189">
        <f ca="1">IF(AND($C$2="Yes",L46=1),N46,(M19*Rates!K19%*T46))</f>
        <v>0</v>
      </c>
      <c r="N46" s="685">
        <v>0</v>
      </c>
      <c r="O46" s="562">
        <f>IF(B46="Yes",1,0)</f>
        <v>0</v>
      </c>
      <c r="P46" s="562"/>
      <c r="Q46" s="562">
        <f>IF(AND(M8=Administration!C9,H9=Administration!C20),1,U46)</f>
        <v>0</v>
      </c>
      <c r="R46" s="591">
        <f>O46+Q46</f>
        <v>0</v>
      </c>
      <c r="S46" s="591"/>
      <c r="T46" s="591">
        <f>IF(R46=2,1,0)</f>
        <v>0</v>
      </c>
      <c r="U46" s="591">
        <f>IF(AND(Rates!O19="Yes",Q48=1),1,0)</f>
        <v>0</v>
      </c>
      <c r="V46" s="241"/>
      <c r="W46" s="141"/>
      <c r="X46" s="141"/>
      <c r="Y46" s="141"/>
      <c r="Z46" s="141"/>
      <c r="AA46" s="562"/>
      <c r="AB46" s="562"/>
      <c r="AC46" s="562"/>
      <c r="AD46" s="593"/>
      <c r="AE46" s="593"/>
      <c r="AF46" s="593"/>
      <c r="AG46" s="593"/>
      <c r="AH46" s="593"/>
      <c r="AI46" s="141"/>
      <c r="AK46" s="141"/>
      <c r="AL46" s="141"/>
      <c r="AN46" s="141"/>
      <c r="AO46" s="141"/>
      <c r="AP46" s="141"/>
      <c r="AQ46" s="141"/>
      <c r="AR46" s="141"/>
      <c r="AS46" s="141"/>
      <c r="AU46" s="539">
        <f t="shared" ca="1" si="4"/>
        <v>2008</v>
      </c>
      <c r="AW46" s="142">
        <f ca="1">YEAR(F70)</f>
        <v>2024</v>
      </c>
      <c r="AX46" s="680"/>
    </row>
    <row r="47" spans="2:50" s="142" customFormat="1" ht="15.75" customHeight="1" thickBot="1" x14ac:dyDescent="0.35">
      <c r="B47" s="118"/>
      <c r="C47" s="136"/>
      <c r="D47" s="321" t="s">
        <v>283</v>
      </c>
      <c r="E47" s="342" t="s">
        <v>9</v>
      </c>
      <c r="F47" s="267" t="s">
        <v>448</v>
      </c>
      <c r="G47" s="267"/>
      <c r="H47" s="722">
        <v>300000</v>
      </c>
      <c r="I47" s="188" t="s">
        <v>110</v>
      </c>
      <c r="J47" s="188"/>
      <c r="K47" s="620" t="str">
        <f>IF(AND(H47&gt;0,T47=0),"Not Applicable",0)</f>
        <v>Not Applicable</v>
      </c>
      <c r="L47" s="501">
        <v>1</v>
      </c>
      <c r="M47" s="187">
        <v>0</v>
      </c>
      <c r="N47" s="685">
        <v>0</v>
      </c>
      <c r="O47" s="592">
        <f>IF(H47&gt;0,1,0)</f>
        <v>1</v>
      </c>
      <c r="P47" s="592"/>
      <c r="Q47" s="588"/>
      <c r="R47" s="589"/>
      <c r="S47" s="589"/>
      <c r="T47" s="593">
        <f>IF(OR(M8=Administration!C13,M8=Administration!C14,),0,1)</f>
        <v>0</v>
      </c>
      <c r="U47" s="589"/>
      <c r="V47" s="231"/>
      <c r="W47" s="141"/>
      <c r="X47" s="141"/>
      <c r="Y47" s="141"/>
      <c r="Z47" s="141"/>
      <c r="AA47" s="593"/>
      <c r="AB47" s="593"/>
      <c r="AC47" s="593"/>
      <c r="AD47" s="593"/>
      <c r="AE47" s="593"/>
      <c r="AF47" s="593"/>
      <c r="AG47" s="593"/>
      <c r="AH47" s="593"/>
      <c r="AI47" s="141"/>
      <c r="AK47" s="141"/>
      <c r="AL47" s="141"/>
      <c r="AN47" s="141"/>
      <c r="AO47" s="141"/>
      <c r="AP47" s="141"/>
      <c r="AQ47" s="141"/>
      <c r="AR47" s="141"/>
      <c r="AS47" s="141"/>
      <c r="AU47" s="539">
        <f t="shared" ca="1" si="4"/>
        <v>2009</v>
      </c>
      <c r="AX47" s="680"/>
    </row>
    <row r="48" spans="2:50" s="142" customFormat="1" ht="16" customHeight="1" thickBot="1" x14ac:dyDescent="0.35">
      <c r="B48" s="118"/>
      <c r="C48" s="136"/>
      <c r="D48" s="321" t="s">
        <v>283</v>
      </c>
      <c r="E48" s="342" t="s">
        <v>9</v>
      </c>
      <c r="F48" s="267" t="s">
        <v>6</v>
      </c>
      <c r="G48" s="267"/>
      <c r="H48" s="699">
        <f>IF('SRC Quote'!R33&lt;&gt;"",'SRC Quote'!R33,100000)</f>
        <v>100000</v>
      </c>
      <c r="I48" s="188" t="s">
        <v>109</v>
      </c>
      <c r="J48" s="188"/>
      <c r="K48" s="340">
        <f>IF(AND(Q48=0,H48&gt;0),"Free Unlimited Cover",0)</f>
        <v>0</v>
      </c>
      <c r="L48" s="501">
        <v>0</v>
      </c>
      <c r="M48" s="187">
        <f>IF(AND($C$2="Yes",L48=1),N48,IF(H48&lt;100000,0,IF(H48=100000,Rates!K17*R48,IF(H48&lt;=300000,Rates!K18*R48,IF(H48&lt;=500000,Rates!M17*R48,IF(H48&lt;=1000000,Rates!M18*R48,IF(H48&lt;=2000000,1200*R48,H48*0.1%)))))))*U2*Q48*R15*Z2*Q66*N3</f>
        <v>100</v>
      </c>
      <c r="N48" s="685">
        <v>0</v>
      </c>
      <c r="O48" s="592">
        <f>IF(H48&gt;1,1,0)</f>
        <v>1</v>
      </c>
      <c r="P48" s="592"/>
      <c r="Q48" s="594">
        <f>IF(O57+Q57=1,0,1)</f>
        <v>1</v>
      </c>
      <c r="R48" s="589">
        <f>IF(AND(H48&gt;=100000,Q48=1),1,0)</f>
        <v>1</v>
      </c>
      <c r="S48" s="589"/>
      <c r="T48" s="593">
        <f>IF(OR(Q48=0,H48&gt;0),1,0)</f>
        <v>1</v>
      </c>
      <c r="U48" s="589"/>
      <c r="V48" s="231"/>
      <c r="W48" s="141"/>
      <c r="X48" s="141">
        <f>IF(O57+Q57=1,0,1)</f>
        <v>1</v>
      </c>
      <c r="Y48" s="141" t="str">
        <f>IF(X48=0,"Private Car Policy",Z48)</f>
        <v>Motor Cycle Policy</v>
      </c>
      <c r="Z48" s="141" t="str">
        <f>IF(T47=0,"Motor Cycle Policy",AA48)</f>
        <v>Motor Cycle Policy</v>
      </c>
      <c r="AA48" s="593" t="str">
        <f>IF(M8=Administration!C19,"Trade Plate Policy","Commercial Vehicle Policy")</f>
        <v>Commercial Vehicle Policy</v>
      </c>
      <c r="AB48" s="593"/>
      <c r="AC48" s="593"/>
      <c r="AD48" s="593"/>
      <c r="AE48" s="593"/>
      <c r="AF48" s="593"/>
      <c r="AG48" s="593"/>
      <c r="AH48" s="593"/>
      <c r="AI48" s="141"/>
      <c r="AK48" s="141"/>
      <c r="AL48" s="141"/>
      <c r="AN48" s="141"/>
      <c r="AO48" s="141"/>
      <c r="AP48" s="141"/>
      <c r="AQ48" s="141"/>
      <c r="AR48" s="141"/>
      <c r="AS48" s="141"/>
      <c r="AU48" s="539">
        <f t="shared" ca="1" si="4"/>
        <v>2010</v>
      </c>
      <c r="AX48" s="680"/>
    </row>
    <row r="49" spans="2:52" s="142" customFormat="1" ht="15" customHeight="1" thickBot="1" x14ac:dyDescent="0.35">
      <c r="B49" s="118"/>
      <c r="C49" s="136"/>
      <c r="D49" s="321" t="s">
        <v>283</v>
      </c>
      <c r="E49" s="342" t="s">
        <v>9</v>
      </c>
      <c r="F49" s="267" t="s">
        <v>12</v>
      </c>
      <c r="G49" s="267"/>
      <c r="H49" s="699">
        <f>'SRC Quote'!R35</f>
        <v>0</v>
      </c>
      <c r="I49" s="913" t="str">
        <f>IF(Q49&gt;0,CONCATENATE("Free Cover of Rs.",Q49,"/-"),"")</f>
        <v/>
      </c>
      <c r="J49" s="914"/>
      <c r="K49" s="914"/>
      <c r="L49" s="501">
        <v>0</v>
      </c>
      <c r="M49" s="187">
        <f>IF(AND($C$2="Yes",L49=1),N49,((H49*Rates!K32%-R49)*U2*R15*Y2*Z2))*N3</f>
        <v>0</v>
      </c>
      <c r="N49" s="685">
        <v>0</v>
      </c>
      <c r="O49" s="595">
        <f>IF(H49&gt;=Rates!B36,1,0)</f>
        <v>0</v>
      </c>
      <c r="P49" s="595"/>
      <c r="Q49" s="589">
        <f>IF(T47=0,Rates!C38,Rates!B36)</f>
        <v>0</v>
      </c>
      <c r="R49" s="589">
        <f>IF(H49&lt;=Q49,H49*Rates!K32%,Q49*Rates!K32%)</f>
        <v>0</v>
      </c>
      <c r="S49" s="589"/>
      <c r="T49" s="589"/>
      <c r="U49" s="593"/>
      <c r="V49" s="141"/>
      <c r="W49" s="141"/>
      <c r="X49" s="141"/>
      <c r="Y49" s="141">
        <f>IF(Y48="Private Car Policy",0,1)</f>
        <v>1</v>
      </c>
      <c r="Z49" s="141">
        <f>IF(Y48="Motor Cycle Policy",0,1)</f>
        <v>0</v>
      </c>
      <c r="AA49" s="141"/>
      <c r="AB49" s="141"/>
      <c r="AC49" s="141"/>
      <c r="AD49" s="141"/>
      <c r="AE49" s="141"/>
      <c r="AF49" s="141"/>
      <c r="AG49" s="141"/>
      <c r="AH49" s="141"/>
      <c r="AI49" s="141"/>
      <c r="AK49" s="141"/>
      <c r="AL49" s="141"/>
      <c r="AN49" s="141"/>
      <c r="AO49" s="141"/>
      <c r="AP49" s="141"/>
      <c r="AQ49" s="141"/>
      <c r="AR49" s="141"/>
      <c r="AS49" s="141"/>
      <c r="AU49" s="539">
        <f t="shared" ca="1" si="4"/>
        <v>2011</v>
      </c>
      <c r="AX49" s="680"/>
    </row>
    <row r="50" spans="2:52" s="142" customFormat="1" ht="15.75" customHeight="1" thickBot="1" x14ac:dyDescent="0.35">
      <c r="B50" s="118"/>
      <c r="C50" s="136"/>
      <c r="D50" s="321" t="s">
        <v>283</v>
      </c>
      <c r="E50" s="342" t="s">
        <v>9</v>
      </c>
      <c r="F50" s="302" t="s">
        <v>112</v>
      </c>
      <c r="G50" s="302"/>
      <c r="H50" s="613">
        <v>0</v>
      </c>
      <c r="I50" s="188" t="s">
        <v>21</v>
      </c>
      <c r="J50" s="188"/>
      <c r="K50" s="619"/>
      <c r="L50" s="501">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9">
        <f t="shared" ca="1" si="4"/>
        <v>2012</v>
      </c>
      <c r="AX50" s="680"/>
    </row>
    <row r="51" spans="2:52" s="142" customFormat="1" ht="1.5" customHeight="1" thickBot="1" x14ac:dyDescent="0.35">
      <c r="B51" s="118"/>
      <c r="C51" s="136"/>
      <c r="D51" s="321" t="s">
        <v>283</v>
      </c>
      <c r="E51" s="342" t="s">
        <v>9</v>
      </c>
      <c r="F51" s="267" t="s">
        <v>20</v>
      </c>
      <c r="G51" s="267"/>
      <c r="H51" s="614">
        <v>0</v>
      </c>
      <c r="I51" s="188" t="s">
        <v>22</v>
      </c>
      <c r="J51" s="188"/>
      <c r="K51" s="199"/>
      <c r="L51" s="501">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9">
        <f t="shared" ca="1" si="4"/>
        <v>2013</v>
      </c>
      <c r="AX51" s="680"/>
    </row>
    <row r="52" spans="2:52" s="142" customFormat="1" ht="20.25" customHeight="1" thickBot="1" x14ac:dyDescent="0.35">
      <c r="B52" s="686" t="str">
        <f>Rates!M21</f>
        <v>Charge</v>
      </c>
      <c r="C52" s="136"/>
      <c r="D52" s="321" t="s">
        <v>283</v>
      </c>
      <c r="E52" s="342" t="s">
        <v>9</v>
      </c>
      <c r="F52" s="267" t="s">
        <v>449</v>
      </c>
      <c r="G52" s="615">
        <v>1</v>
      </c>
      <c r="H52" s="618">
        <v>7500</v>
      </c>
      <c r="I52" s="915" t="str">
        <f>IF(AND(G52=0,K50&gt;0),"Enter Number of Air Bags",IF(AND(K50&gt;0,T47=0),"Not Applicable",IF(AND(Q52=0,T47=1,K50&gt;0),"Free Cover",IF(R52=0,"Free Cover - Front Seat Bags","Value of 2 Front Dashboard Airbgs"))))</f>
        <v>Value of 2 Front Dashboard Airbgs</v>
      </c>
      <c r="J52" s="915"/>
      <c r="K52" s="915"/>
      <c r="L52" s="501">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9">
        <f t="shared" ca="1" si="4"/>
        <v>2014</v>
      </c>
      <c r="AV52" s="141"/>
      <c r="AW52" s="269"/>
      <c r="AX52" s="680"/>
      <c r="AY52" s="141"/>
      <c r="AZ52" s="141"/>
    </row>
    <row r="53" spans="2:52" s="142" customFormat="1" ht="18" customHeight="1" thickBot="1" x14ac:dyDescent="0.35">
      <c r="B53" s="687"/>
      <c r="C53" s="136"/>
      <c r="D53" s="321"/>
      <c r="E53" s="377"/>
      <c r="F53" s="267"/>
      <c r="G53" s="688">
        <v>0</v>
      </c>
      <c r="H53" s="689">
        <v>0</v>
      </c>
      <c r="I53" s="657" t="str">
        <f>IF(AND(G53=0,H53&gt;0),"Enter Number of Air Bags",IF(AND(H53&gt;0,T47=0),"Not Applicable",IF(AND(Q52=0,T47=1,H53&gt;0),"Free Cover","Value of Rear Seat Airbags")))</f>
        <v>Value of Rear Seat Airbags</v>
      </c>
      <c r="J53" s="374"/>
      <c r="K53" s="374"/>
      <c r="L53" s="501">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9">
        <f t="shared" ca="1" si="4"/>
        <v>2015</v>
      </c>
      <c r="AV53" s="141"/>
      <c r="AW53" s="141"/>
      <c r="AX53" s="562"/>
      <c r="AY53" s="141"/>
      <c r="AZ53" s="141"/>
    </row>
    <row r="54" spans="2:52" s="142" customFormat="1" ht="16" customHeight="1" thickBot="1" x14ac:dyDescent="0.35">
      <c r="B54" s="118"/>
      <c r="C54" s="136"/>
      <c r="D54" s="321" t="s">
        <v>283</v>
      </c>
      <c r="E54" s="342" t="s">
        <v>9</v>
      </c>
      <c r="F54" s="267" t="s">
        <v>8</v>
      </c>
      <c r="G54" s="267"/>
      <c r="H54" s="690">
        <f>IF('SRC Quote'!T36="Yes",1,0)</f>
        <v>0</v>
      </c>
      <c r="I54" s="188" t="s">
        <v>111</v>
      </c>
      <c r="J54" s="188"/>
      <c r="K54" s="9"/>
      <c r="L54" s="501">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9">
        <f t="shared" ca="1" si="4"/>
        <v>2016</v>
      </c>
      <c r="AV54" s="141"/>
      <c r="AW54" s="141"/>
      <c r="AX54" s="680"/>
      <c r="AY54" s="141"/>
      <c r="AZ54" s="141"/>
    </row>
    <row r="55" spans="2:52" s="142" customFormat="1" ht="15" customHeight="1" thickBot="1" x14ac:dyDescent="0.35">
      <c r="B55" s="669" t="str">
        <f>IF(C55=1,"Yes","No")</f>
        <v>No</v>
      </c>
      <c r="C55" s="603">
        <v>0</v>
      </c>
      <c r="D55" s="321" t="s">
        <v>283</v>
      </c>
      <c r="E55" s="342" t="s">
        <v>9</v>
      </c>
      <c r="F55" s="730"/>
      <c r="G55" s="267"/>
      <c r="H55" s="188"/>
      <c r="I55" s="188"/>
      <c r="J55" s="188"/>
      <c r="K55" s="9"/>
      <c r="L55" s="501">
        <v>0</v>
      </c>
      <c r="M55" s="187"/>
      <c r="N55" s="691">
        <v>0</v>
      </c>
      <c r="O55" s="522"/>
      <c r="P55" s="522"/>
      <c r="Q55" s="522">
        <f>IF(B55="Yes",1,0)</f>
        <v>0</v>
      </c>
      <c r="R55" s="521"/>
      <c r="S55" s="521"/>
      <c r="T55" s="521"/>
      <c r="U55" s="521"/>
      <c r="V55" s="521"/>
      <c r="W55" s="522"/>
      <c r="X55" s="522"/>
      <c r="Y55" s="522"/>
      <c r="Z55" s="522"/>
      <c r="AA55" s="522"/>
      <c r="AB55" s="522"/>
      <c r="AC55" s="522"/>
      <c r="AD55" s="522"/>
      <c r="AE55" s="522"/>
      <c r="AF55" s="522"/>
      <c r="AG55" s="522"/>
      <c r="AH55" s="522"/>
      <c r="AI55" s="522"/>
      <c r="AK55" s="141"/>
      <c r="AL55" s="141"/>
      <c r="AN55" s="141"/>
      <c r="AO55" s="141"/>
      <c r="AP55" s="141"/>
      <c r="AQ55" s="141"/>
      <c r="AR55" s="141"/>
      <c r="AS55" s="141"/>
      <c r="AT55" s="141"/>
      <c r="AU55" s="539">
        <f t="shared" ca="1" si="4"/>
        <v>2017</v>
      </c>
      <c r="AV55" s="141"/>
      <c r="AW55" s="141"/>
      <c r="AX55" s="680"/>
      <c r="AY55" s="141"/>
      <c r="AZ55" s="141"/>
    </row>
    <row r="56" spans="2:52" s="142" customFormat="1" ht="21.75" customHeight="1" thickBot="1" x14ac:dyDescent="0.35">
      <c r="B56" s="669" t="str">
        <f>IF(C56=1,"Yes","No")</f>
        <v>No</v>
      </c>
      <c r="C56" s="603"/>
      <c r="D56" s="321"/>
      <c r="E56" s="342"/>
      <c r="F56" s="267" t="s">
        <v>545</v>
      </c>
      <c r="G56" s="267"/>
      <c r="H56" s="188"/>
      <c r="I56" s="303" t="str">
        <f>IF(AND(Rates!D43="No",B56="Yes"),"Provided only for Private Cars","")</f>
        <v/>
      </c>
      <c r="J56" s="303"/>
      <c r="K56" s="9"/>
      <c r="L56" s="501">
        <v>0</v>
      </c>
      <c r="M56" s="189">
        <f ca="1">IF(YEAR(F70)&gt;2023,0.2%*H15,IF(MONTH(F70)=8,0.033%*H15,IF(MONTH(F70)=9,0.066%*H15,IF(MONTH(F70)=10,0.099%*H15,IF(MONTH(F70)=11,0.132%*H15,IF(MONTH(F70)=12,0.2%*H15,0))))))</f>
        <v>1000</v>
      </c>
      <c r="N56" s="691">
        <v>0</v>
      </c>
      <c r="O56" s="522">
        <f>IF(OR(R57=2,R61=1),1,0)</f>
        <v>0</v>
      </c>
      <c r="P56" s="522"/>
      <c r="Q56" s="522">
        <f>IF(B56="Yes",1,0)</f>
        <v>0</v>
      </c>
      <c r="R56" s="521">
        <f>IF(H35&lt;25,Rates!K42,T56)</f>
        <v>5.25</v>
      </c>
      <c r="S56" s="521"/>
      <c r="T56" s="521">
        <f>IF(AND(H35&gt;=25,H35&lt;30),Rates!K43,U56)</f>
        <v>5.25</v>
      </c>
      <c r="U56" s="521">
        <f>IF(AND(H35&lt;38.33,H35&gt;=30),Rates!K44,W56)</f>
        <v>4.5</v>
      </c>
      <c r="V56" s="521"/>
      <c r="W56" s="521">
        <f>IF(AND(H35&gt;=38.33,H35&lt;45),Rates!K45,X56)</f>
        <v>4.5</v>
      </c>
      <c r="X56" s="521">
        <f>IF(AND(H35&gt;=45,H35&lt;55),Rates!K46,Y56)</f>
        <v>4.5</v>
      </c>
      <c r="Y56" s="521">
        <f>IF(AND(H35&gt;=55,H35&lt;60),Rates!K47,Z56)</f>
        <v>4.5</v>
      </c>
      <c r="Z56" s="521">
        <f>IF(AND(H35&gt;=60,H35&lt;65),Rates!K48,AA56)</f>
        <v>4.5</v>
      </c>
      <c r="AA56" s="521">
        <f>IF(AND(H35&gt;=65,H35&lt;70),Rates!K49,AB56)</f>
        <v>4.5</v>
      </c>
      <c r="AB56" s="521">
        <f>IF(AND(H35&gt;=70,H35&lt;75),Rates!K50,AC56)</f>
        <v>4.5</v>
      </c>
      <c r="AC56" s="521">
        <f>IF(H35&gt;=75,Rates!K51,AD56)</f>
        <v>4.5</v>
      </c>
      <c r="AD56" s="522">
        <v>4.5</v>
      </c>
      <c r="AE56" s="522"/>
      <c r="AF56" s="522"/>
      <c r="AG56" s="522"/>
      <c r="AH56" s="522"/>
      <c r="AI56" s="522"/>
      <c r="AK56" s="141"/>
      <c r="AL56" s="141"/>
      <c r="AN56" s="141"/>
      <c r="AO56" s="141"/>
      <c r="AP56" s="141"/>
      <c r="AQ56" s="141"/>
      <c r="AR56" s="141"/>
      <c r="AS56" s="141"/>
      <c r="AT56" s="141"/>
      <c r="AU56" s="539">
        <f t="shared" ca="1" si="4"/>
        <v>2018</v>
      </c>
      <c r="AV56" s="141"/>
      <c r="AW56" s="141"/>
      <c r="AX56" s="680"/>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501">
        <v>0</v>
      </c>
      <c r="M57" s="187">
        <f>IF(AND($C$2="Yes",L57=1),N57,IF(AND(M8=Administration!C10,H9=Administration!C23),2000,0)*U2*R15)*N3</f>
        <v>0</v>
      </c>
      <c r="N57" s="691">
        <v>0</v>
      </c>
      <c r="O57" s="523">
        <f>IF(AND(M8=Administration!C7,H9=Administration!C20),1,0)</f>
        <v>0</v>
      </c>
      <c r="P57" s="523"/>
      <c r="Q57" s="523">
        <f>IF(AND(M8=Administration!C8,H9=Administration!C20),1,0)</f>
        <v>0</v>
      </c>
      <c r="R57" s="524">
        <f>Q56+Q57+O57</f>
        <v>0</v>
      </c>
      <c r="S57" s="524"/>
      <c r="T57" s="523">
        <f>IF(AND(M8=Administration!C12,H9=Administration!C20),1,0)</f>
        <v>0</v>
      </c>
      <c r="U57" s="521">
        <f>IF(O57+Q57=1,1,0)</f>
        <v>0</v>
      </c>
      <c r="V57" s="521"/>
      <c r="W57" s="522">
        <f>IF(AND(M8=Administration!C9,H9=Administration!C20),1,0)</f>
        <v>0</v>
      </c>
      <c r="X57" s="548"/>
      <c r="Y57" s="548"/>
      <c r="Z57" s="548"/>
      <c r="AA57" s="548"/>
      <c r="AB57" s="522"/>
      <c r="AC57" s="522"/>
      <c r="AD57" s="522"/>
      <c r="AE57" s="522"/>
      <c r="AF57" s="522"/>
      <c r="AG57" s="522"/>
      <c r="AH57" s="522"/>
      <c r="AI57" s="522"/>
      <c r="AK57" s="141"/>
      <c r="AL57" s="141"/>
      <c r="AN57" s="141"/>
      <c r="AO57" s="141"/>
      <c r="AP57" s="141"/>
      <c r="AQ57" s="141"/>
      <c r="AR57" s="141"/>
      <c r="AS57" s="141"/>
      <c r="AT57" s="141"/>
      <c r="AU57" s="539">
        <f t="shared" ca="1" si="4"/>
        <v>2019</v>
      </c>
      <c r="AV57" s="141"/>
      <c r="AW57" s="141"/>
      <c r="AX57" s="680"/>
      <c r="AY57" s="141"/>
      <c r="AZ57" s="141"/>
    </row>
    <row r="58" spans="2:52" s="142" customFormat="1" ht="20.25" hidden="1" customHeight="1" thickBot="1" x14ac:dyDescent="0.35">
      <c r="B58" s="118"/>
      <c r="C58" s="534">
        <v>0</v>
      </c>
      <c r="D58" s="6"/>
      <c r="E58" s="343" t="s">
        <v>9</v>
      </c>
      <c r="F58" s="882"/>
      <c r="G58" s="882"/>
      <c r="H58" s="307" t="str">
        <f>IF(AND(C58=1,F58=""),"Enter Name of Cover","Additional Cover 1")</f>
        <v>Additional Cover 1</v>
      </c>
      <c r="I58" s="188"/>
      <c r="J58" s="188"/>
      <c r="K58" s="9"/>
      <c r="L58" s="501">
        <v>0</v>
      </c>
      <c r="M58" s="191">
        <f>IF(AND(C58=1,F58&lt;&gt;""),N58,0)</f>
        <v>0</v>
      </c>
      <c r="N58" s="535">
        <v>0</v>
      </c>
      <c r="O58" s="305">
        <f>IF(AND(C58=1,N58&lt;&gt;0,F58&lt;&gt;""),1,0)</f>
        <v>0</v>
      </c>
      <c r="P58" s="305"/>
      <c r="Q58" s="305"/>
      <c r="R58" s="246"/>
      <c r="S58" s="484"/>
      <c r="T58" s="483"/>
      <c r="U58" s="481"/>
      <c r="V58" s="481"/>
      <c r="W58" s="139"/>
      <c r="X58" s="139"/>
      <c r="Y58" s="139"/>
      <c r="Z58" s="139"/>
      <c r="AA58" s="139"/>
      <c r="AB58" s="139"/>
      <c r="AC58" s="139"/>
      <c r="AD58" s="482"/>
      <c r="AE58" s="482"/>
      <c r="AF58" s="482"/>
      <c r="AG58" s="482"/>
      <c r="AH58" s="482"/>
      <c r="AI58" s="482"/>
      <c r="AJ58" s="139"/>
      <c r="AK58" s="482"/>
      <c r="AL58" s="482"/>
      <c r="AM58" s="139"/>
      <c r="AN58" s="482"/>
      <c r="AO58" s="482"/>
      <c r="AP58" s="141"/>
      <c r="AQ58" s="141"/>
      <c r="AR58" s="141"/>
      <c r="AS58" s="141"/>
      <c r="AT58" s="141"/>
      <c r="AU58" s="539">
        <f t="shared" ca="1" si="4"/>
        <v>2020</v>
      </c>
      <c r="AV58" s="141"/>
      <c r="AW58" s="141"/>
      <c r="AX58" s="680"/>
      <c r="AY58" s="141"/>
      <c r="AZ58" s="141"/>
    </row>
    <row r="59" spans="2:52" s="142" customFormat="1" ht="17.25" hidden="1" customHeight="1" thickBot="1" x14ac:dyDescent="0.35">
      <c r="B59" s="118"/>
      <c r="C59" s="534">
        <v>0</v>
      </c>
      <c r="D59" s="6"/>
      <c r="E59" s="343" t="s">
        <v>9</v>
      </c>
      <c r="F59" s="882"/>
      <c r="G59" s="882"/>
      <c r="H59" s="307" t="str">
        <f>IF(AND(C59=1,F59=""),"Enter Name of Cover","Additional Cover 2")</f>
        <v>Additional Cover 2</v>
      </c>
      <c r="I59" s="188"/>
      <c r="J59" s="188"/>
      <c r="K59" s="9"/>
      <c r="L59" s="501">
        <v>0</v>
      </c>
      <c r="M59" s="191">
        <f>IF(AND(C59=1,F59&lt;&gt;""),N59,0)</f>
        <v>0</v>
      </c>
      <c r="N59" s="535">
        <v>0</v>
      </c>
      <c r="O59" s="305">
        <f>IF(AND(C59=1,N59&lt;&gt;0,F59&lt;&gt;""),1,0)</f>
        <v>0</v>
      </c>
      <c r="P59" s="305"/>
      <c r="Q59" s="305"/>
      <c r="R59" s="246"/>
      <c r="S59" s="484"/>
      <c r="T59" s="483"/>
      <c r="U59" s="481"/>
      <c r="V59" s="481"/>
      <c r="W59" s="139"/>
      <c r="X59" s="139"/>
      <c r="Y59" s="139"/>
      <c r="Z59" s="139"/>
      <c r="AA59" s="139"/>
      <c r="AB59" s="139"/>
      <c r="AC59" s="139"/>
      <c r="AD59" s="482"/>
      <c r="AE59" s="482"/>
      <c r="AF59" s="482"/>
      <c r="AG59" s="482"/>
      <c r="AH59" s="482"/>
      <c r="AI59" s="482"/>
      <c r="AJ59" s="139"/>
      <c r="AK59" s="482"/>
      <c r="AL59" s="482"/>
      <c r="AM59" s="139"/>
      <c r="AN59" s="482"/>
      <c r="AO59" s="482"/>
      <c r="AP59" s="141"/>
      <c r="AQ59" s="141"/>
      <c r="AR59" s="141"/>
      <c r="AS59" s="141"/>
      <c r="AT59" s="141"/>
      <c r="AU59" s="539">
        <f t="shared" ca="1" si="4"/>
        <v>2021</v>
      </c>
      <c r="AV59" s="141"/>
      <c r="AW59" s="141"/>
      <c r="AX59" s="680"/>
      <c r="AY59" s="141"/>
      <c r="AZ59" s="141"/>
    </row>
    <row r="60" spans="2:52" s="142" customFormat="1" ht="18" hidden="1" customHeight="1" thickBot="1" x14ac:dyDescent="0.35">
      <c r="B60" s="118"/>
      <c r="C60" s="534">
        <v>0</v>
      </c>
      <c r="D60" s="448"/>
      <c r="E60" s="449" t="s">
        <v>9</v>
      </c>
      <c r="F60" s="450" t="s">
        <v>168</v>
      </c>
      <c r="G60" s="450"/>
      <c r="H60" s="451"/>
      <c r="I60" s="452"/>
      <c r="J60" s="452"/>
      <c r="K60" s="453"/>
      <c r="L60" s="454"/>
      <c r="M60" s="191">
        <f>IF(AND(Working!H8="Three Wheeler",Working!B12="Above 5 yrs",Rates!D81="Yes",C60=1,N60&gt;Rates!F81,H13&lt;2009),N60,IF(AND(Working!H8="Three Wheeler",Working!B12="Above 5 yrs",Rates!D81="Yes",H13&lt;2009),Rates!F81,IF(C60=1,N60,0)))</f>
        <v>0</v>
      </c>
      <c r="N60" s="535">
        <v>0</v>
      </c>
      <c r="P60" s="305"/>
      <c r="Q60" s="305"/>
      <c r="R60" s="246"/>
      <c r="S60" s="484"/>
      <c r="T60" s="483"/>
      <c r="U60" s="481"/>
      <c r="V60" s="481"/>
      <c r="W60" s="139"/>
      <c r="X60" s="139"/>
      <c r="Y60" s="139"/>
      <c r="Z60" s="139"/>
      <c r="AA60" s="139"/>
      <c r="AB60" s="139"/>
      <c r="AC60" s="139"/>
      <c r="AD60" s="482"/>
      <c r="AE60" s="482"/>
      <c r="AF60" s="482"/>
      <c r="AG60" s="482"/>
      <c r="AH60" s="482"/>
      <c r="AI60" s="482"/>
      <c r="AJ60" s="139"/>
      <c r="AK60" s="482"/>
      <c r="AL60" s="482"/>
      <c r="AM60" s="139"/>
      <c r="AN60" s="482"/>
      <c r="AO60" s="482"/>
      <c r="AP60" s="141"/>
      <c r="AQ60" s="141"/>
      <c r="AR60" s="141"/>
      <c r="AS60" s="141"/>
      <c r="AT60" s="141"/>
      <c r="AU60" s="539">
        <f t="shared" ca="1" si="4"/>
        <v>2022</v>
      </c>
      <c r="AV60" s="141"/>
      <c r="AW60" s="141"/>
      <c r="AX60" s="680"/>
      <c r="AY60" s="141"/>
      <c r="AZ60" s="141"/>
    </row>
    <row r="61" spans="2:52" s="142" customFormat="1" ht="19.5" customHeight="1" x14ac:dyDescent="0.3">
      <c r="B61" s="118"/>
      <c r="C61" s="136"/>
      <c r="D61" s="6"/>
      <c r="E61" s="926"/>
      <c r="F61" s="927"/>
      <c r="G61" s="9"/>
      <c r="H61" s="73" t="s">
        <v>10</v>
      </c>
      <c r="I61" s="295"/>
      <c r="J61" s="73"/>
      <c r="K61" s="184"/>
      <c r="L61" s="185"/>
      <c r="M61" s="440">
        <f ca="1">SUM(M38:M60)*C70*U2</f>
        <v>12799.999999999998</v>
      </c>
      <c r="N61" s="207"/>
      <c r="O61" s="306">
        <f ca="1">M61-M40-M42-M41-M43</f>
        <v>11549.999999999998</v>
      </c>
      <c r="P61" s="306"/>
      <c r="Q61" s="234">
        <f>IF(Rates!D45="Yes",0,1)</f>
        <v>1</v>
      </c>
      <c r="R61" s="231">
        <f>IF(AND(Rates!D43="Yes",B56="Yes"),1,0)</f>
        <v>0</v>
      </c>
      <c r="S61" s="481"/>
      <c r="T61" s="481"/>
      <c r="U61" s="481"/>
      <c r="V61" s="481"/>
      <c r="W61" s="139"/>
      <c r="X61" s="139"/>
      <c r="Y61" s="139"/>
      <c r="Z61" s="139"/>
      <c r="AA61" s="139"/>
      <c r="AB61" s="139"/>
      <c r="AC61" s="139"/>
      <c r="AD61" s="482"/>
      <c r="AE61" s="482"/>
      <c r="AF61" s="482"/>
      <c r="AG61" s="482"/>
      <c r="AH61" s="482"/>
      <c r="AI61" s="482"/>
      <c r="AJ61" s="139"/>
      <c r="AK61" s="482"/>
      <c r="AL61" s="482"/>
      <c r="AM61" s="139"/>
      <c r="AN61" s="482"/>
      <c r="AO61" s="482"/>
      <c r="AP61" s="141"/>
      <c r="AQ61" s="141"/>
      <c r="AR61" s="141"/>
      <c r="AS61" s="141"/>
      <c r="AT61" s="141"/>
      <c r="AU61" s="539">
        <f t="shared" ca="1" si="4"/>
        <v>2023</v>
      </c>
      <c r="AV61" s="141"/>
      <c r="AW61" s="141"/>
      <c r="AX61" s="680"/>
      <c r="AY61" s="141"/>
      <c r="AZ61" s="141"/>
    </row>
    <row r="62" spans="2:52" s="142" customFormat="1" ht="15.75" customHeight="1" x14ac:dyDescent="0.3">
      <c r="B62" s="118"/>
      <c r="C62" s="136"/>
      <c r="D62" s="6"/>
      <c r="E62" s="926"/>
      <c r="F62" s="927"/>
      <c r="G62" s="9"/>
      <c r="H62" s="74" t="s">
        <v>133</v>
      </c>
      <c r="I62" s="295"/>
      <c r="J62" s="74"/>
      <c r="K62" s="78">
        <f>Rates!D19</f>
        <v>2.5</v>
      </c>
      <c r="L62" s="186" t="s">
        <v>56</v>
      </c>
      <c r="M62" s="257">
        <f ca="1">(MAX(750,M61*2.5%)+250)</f>
        <v>1000</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9">
        <f t="shared" ca="1" si="4"/>
        <v>2024</v>
      </c>
      <c r="AV62" s="141"/>
      <c r="AW62" s="141"/>
      <c r="AX62" s="680"/>
      <c r="AY62" s="141"/>
      <c r="AZ62" s="141"/>
    </row>
    <row r="63" spans="2:52" s="142" customFormat="1" ht="15.75" hidden="1" customHeight="1" x14ac:dyDescent="0.35">
      <c r="B63" s="118"/>
      <c r="C63" s="136"/>
      <c r="D63" s="6"/>
      <c r="E63" s="926"/>
      <c r="F63" s="927"/>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9" t="str">
        <f t="shared" ca="1" si="4"/>
        <v/>
      </c>
      <c r="AV63" s="141"/>
      <c r="AW63" s="141"/>
      <c r="AX63" s="680"/>
      <c r="AY63" s="141"/>
      <c r="AZ63" s="141"/>
    </row>
    <row r="64" spans="2:52" s="142" customFormat="1" ht="15.75" customHeight="1" x14ac:dyDescent="0.3">
      <c r="B64" s="118"/>
      <c r="C64" s="136"/>
      <c r="D64" s="6"/>
      <c r="E64" s="926"/>
      <c r="F64" s="927"/>
      <c r="G64" s="9"/>
      <c r="H64" s="74" t="s">
        <v>543</v>
      </c>
      <c r="I64" s="295"/>
      <c r="J64" s="74"/>
      <c r="K64" s="746">
        <f ca="1">M64/M61</f>
        <v>0.15625000000000003</v>
      </c>
      <c r="L64" s="186"/>
      <c r="M64" s="187">
        <v>2000</v>
      </c>
      <c r="N64" s="208"/>
      <c r="O64" s="229"/>
      <c r="P64" s="229"/>
      <c r="Q64" s="234"/>
      <c r="R64" s="621">
        <v>1</v>
      </c>
      <c r="S64" s="231"/>
      <c r="T64" s="231"/>
      <c r="U64" s="231"/>
      <c r="V64" s="231"/>
      <c r="AD64" s="141"/>
      <c r="AE64" s="141"/>
      <c r="AF64" s="141"/>
      <c r="AG64" s="141"/>
      <c r="AH64" s="141"/>
      <c r="AI64" s="141"/>
      <c r="AK64" s="141"/>
      <c r="AL64" s="141"/>
      <c r="AM64" s="219"/>
      <c r="AN64" s="141"/>
      <c r="AO64" s="141"/>
      <c r="AP64" s="141"/>
      <c r="AQ64" s="141"/>
      <c r="AR64" s="141"/>
      <c r="AS64" s="141"/>
      <c r="AT64" s="141"/>
      <c r="AU64" s="539" t="str">
        <f t="shared" ca="1" si="4"/>
        <v/>
      </c>
      <c r="AV64" s="141"/>
      <c r="AW64" s="141"/>
      <c r="AX64" s="680"/>
      <c r="AY64" s="141"/>
      <c r="AZ64" s="141"/>
    </row>
    <row r="65" spans="1:52" s="142" customFormat="1" ht="15.75" customHeight="1" x14ac:dyDescent="0.3">
      <c r="B65" s="118"/>
      <c r="C65" s="136"/>
      <c r="D65" s="6"/>
      <c r="E65" s="926"/>
      <c r="F65" s="927"/>
      <c r="G65" s="9"/>
      <c r="H65" s="74" t="s">
        <v>544</v>
      </c>
      <c r="I65" s="295"/>
      <c r="J65" s="74"/>
      <c r="K65" s="746">
        <v>2.5000000000000001E-2</v>
      </c>
      <c r="L65" s="186"/>
      <c r="M65" s="187">
        <f ca="1">SUM(M61:M64)*K65</f>
        <v>395</v>
      </c>
      <c r="N65" s="208"/>
      <c r="O65" s="229"/>
      <c r="P65" s="229"/>
      <c r="Q65" s="234"/>
      <c r="R65" s="621"/>
      <c r="S65" s="231"/>
      <c r="T65" s="231"/>
      <c r="U65" s="231"/>
      <c r="V65" s="231"/>
      <c r="AD65" s="141"/>
      <c r="AE65" s="141"/>
      <c r="AF65" s="141"/>
      <c r="AG65" s="141"/>
      <c r="AH65" s="141"/>
      <c r="AI65" s="141"/>
      <c r="AK65" s="141"/>
      <c r="AL65" s="141"/>
      <c r="AM65" s="219"/>
      <c r="AN65" s="141"/>
      <c r="AO65" s="141"/>
      <c r="AP65" s="141"/>
      <c r="AQ65" s="141"/>
      <c r="AR65" s="141"/>
      <c r="AS65" s="141"/>
      <c r="AT65" s="141"/>
      <c r="AU65" s="539"/>
      <c r="AV65" s="141"/>
      <c r="AW65" s="141"/>
      <c r="AX65" s="680"/>
      <c r="AY65" s="141"/>
      <c r="AZ65" s="141"/>
    </row>
    <row r="66" spans="1:52" s="142" customFormat="1" ht="15.5" thickBot="1" x14ac:dyDescent="0.35">
      <c r="B66" s="118"/>
      <c r="C66" s="136"/>
      <c r="D66" s="6"/>
      <c r="E66" s="926"/>
      <c r="F66" s="927"/>
      <c r="G66" s="9"/>
      <c r="H66" s="74" t="s">
        <v>1</v>
      </c>
      <c r="I66" s="295"/>
      <c r="J66" s="74"/>
      <c r="K66" s="78">
        <f>Rates!D21</f>
        <v>18</v>
      </c>
      <c r="L66" s="186" t="s">
        <v>56</v>
      </c>
      <c r="M66" s="187">
        <f ca="1">SUM(M61:M65)*Rates!D21%</f>
        <v>2915.0999999999995</v>
      </c>
      <c r="N66" s="208"/>
      <c r="O66" s="229"/>
      <c r="P66" s="229"/>
      <c r="Q66" s="142">
        <f>IF(AND(M8=Administration!C10,H9=Administration!C23),0,1)</f>
        <v>1</v>
      </c>
      <c r="R66" s="246"/>
      <c r="S66" s="246"/>
      <c r="W66" s="475"/>
      <c r="AD66" s="141"/>
      <c r="AE66" s="141"/>
      <c r="AF66" s="141"/>
      <c r="AG66" s="141"/>
      <c r="AH66" s="141"/>
      <c r="AI66" s="141"/>
      <c r="AK66" s="141"/>
      <c r="AL66" s="141"/>
      <c r="AM66" s="219"/>
      <c r="AN66" s="141"/>
      <c r="AO66" s="141"/>
      <c r="AP66" s="141"/>
      <c r="AQ66" s="141"/>
      <c r="AR66" s="141"/>
      <c r="AS66" s="141"/>
      <c r="AT66" s="141"/>
      <c r="AU66" s="539" t="str">
        <f ca="1">IF(AU64&gt;=$AW$46,"",AU64+1)</f>
        <v/>
      </c>
      <c r="AV66" s="141"/>
      <c r="AW66" s="141"/>
      <c r="AX66" s="680"/>
      <c r="AY66" s="141"/>
      <c r="AZ66" s="141"/>
    </row>
    <row r="67" spans="1:52" s="142" customFormat="1" ht="25.5" customHeight="1" thickTop="1" thickBot="1" x14ac:dyDescent="0.35">
      <c r="B67" s="118"/>
      <c r="C67" s="308">
        <f>Administration!I3</f>
        <v>45413</v>
      </c>
      <c r="D67" s="6"/>
      <c r="E67" s="928"/>
      <c r="F67" s="929"/>
      <c r="G67" s="9"/>
      <c r="H67" s="73" t="s">
        <v>380</v>
      </c>
      <c r="I67" s="295"/>
      <c r="J67" s="73"/>
      <c r="K67" s="9"/>
      <c r="L67" s="185"/>
      <c r="M67" s="114">
        <f ca="1">SUM(M61:M66)*C70*U2</f>
        <v>19110.099999999999</v>
      </c>
      <c r="N67" s="91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917"/>
      <c r="P67" s="297"/>
      <c r="Q67" s="137"/>
      <c r="AD67" s="141"/>
      <c r="AE67" s="141"/>
      <c r="AF67" s="141"/>
      <c r="AG67" s="141"/>
      <c r="AH67" s="141"/>
      <c r="AI67" s="141"/>
      <c r="AK67" s="141"/>
      <c r="AL67" s="141"/>
      <c r="AM67" s="219"/>
      <c r="AN67" s="141"/>
      <c r="AO67" s="141"/>
      <c r="AP67" s="141"/>
      <c r="AQ67" s="141"/>
      <c r="AR67" s="141"/>
      <c r="AS67" s="141"/>
      <c r="AT67" s="141"/>
      <c r="AU67" s="539" t="str">
        <f t="shared" ca="1" si="4"/>
        <v/>
      </c>
      <c r="AV67" s="141"/>
      <c r="AW67" s="141"/>
      <c r="AX67" s="680"/>
      <c r="AY67" s="141"/>
      <c r="AZ67" s="141"/>
    </row>
    <row r="68" spans="1:52" s="142" customFormat="1" ht="12.75" hidden="1" customHeight="1" x14ac:dyDescent="0.25">
      <c r="B68" s="118"/>
      <c r="C68" s="137"/>
      <c r="D68" s="6"/>
      <c r="E68" s="12"/>
      <c r="F68" s="12"/>
      <c r="G68" s="12"/>
      <c r="H68" s="12"/>
      <c r="I68" s="12"/>
      <c r="J68" s="12"/>
      <c r="K68" s="12"/>
      <c r="L68" s="12"/>
      <c r="M68" s="13"/>
      <c r="N68" s="210"/>
      <c r="O68" s="211"/>
      <c r="P68" s="226"/>
      <c r="AD68" s="141"/>
      <c r="AE68" s="141"/>
      <c r="AF68" s="141"/>
      <c r="AG68" s="141"/>
      <c r="AH68" s="141"/>
      <c r="AI68" s="141"/>
      <c r="AK68" s="141"/>
      <c r="AL68" s="141"/>
      <c r="AM68" s="219"/>
      <c r="AN68" s="141"/>
      <c r="AO68" s="141"/>
      <c r="AP68" s="141"/>
      <c r="AQ68" s="141"/>
      <c r="AR68" s="141"/>
      <c r="AS68" s="141"/>
      <c r="AT68" s="141"/>
      <c r="AU68" s="539" t="str">
        <f t="shared" ca="1" si="4"/>
        <v/>
      </c>
      <c r="AV68" s="141"/>
      <c r="AW68" s="141"/>
      <c r="AX68" s="680"/>
      <c r="AY68" s="141"/>
      <c r="AZ68" s="141"/>
    </row>
    <row r="69" spans="1:52" s="142" customFormat="1" ht="12.75" hidden="1" customHeight="1" x14ac:dyDescent="0.3">
      <c r="B69" s="118"/>
      <c r="C69" s="137"/>
      <c r="D69" s="6"/>
      <c r="E69" s="12"/>
      <c r="F69" s="12"/>
      <c r="G69" s="12"/>
      <c r="H69" s="12"/>
      <c r="I69" s="12"/>
      <c r="J69" s="12"/>
      <c r="K69" s="12"/>
      <c r="L69" s="12"/>
      <c r="M69" s="13"/>
      <c r="N69" s="212"/>
      <c r="O69" s="102"/>
      <c r="P69" s="225"/>
      <c r="AD69" s="141"/>
      <c r="AE69" s="141"/>
      <c r="AF69" s="141"/>
      <c r="AG69" s="141"/>
      <c r="AH69" s="141"/>
      <c r="AI69" s="141"/>
      <c r="AK69" s="141"/>
      <c r="AL69" s="141"/>
      <c r="AM69" s="219"/>
      <c r="AN69" s="141"/>
      <c r="AO69" s="141"/>
      <c r="AP69" s="141"/>
      <c r="AQ69" s="141"/>
      <c r="AR69" s="141"/>
      <c r="AS69" s="141"/>
      <c r="AT69" s="141"/>
      <c r="AU69" s="539" t="str">
        <f t="shared" ca="1" si="4"/>
        <v/>
      </c>
      <c r="AV69" s="141"/>
      <c r="AW69" s="141"/>
      <c r="AX69" s="680"/>
      <c r="AY69" s="141"/>
      <c r="AZ69" s="141"/>
    </row>
    <row r="70" spans="1:52" s="142" customFormat="1" ht="15.75" customHeight="1" thickTop="1" x14ac:dyDescent="0.45">
      <c r="B70" s="118"/>
      <c r="C70" s="137">
        <f ca="1">IF(C67&gt;F70,1,0)</f>
        <v>1</v>
      </c>
      <c r="D70" s="6"/>
      <c r="E70" s="12"/>
      <c r="F70" s="180">
        <f ca="1">TODAY()</f>
        <v>45346</v>
      </c>
      <c r="G70" s="180"/>
      <c r="H70" s="12"/>
      <c r="I70" s="12"/>
      <c r="J70" s="12"/>
      <c r="K70" s="12"/>
      <c r="L70" s="12"/>
      <c r="M70" s="912"/>
      <c r="N70" s="692"/>
      <c r="O70" s="214"/>
      <c r="P70" s="247"/>
      <c r="Q70" s="137"/>
      <c r="AD70" s="141"/>
      <c r="AE70" s="141"/>
      <c r="AF70" s="141"/>
      <c r="AG70" s="141"/>
      <c r="AH70" s="141"/>
      <c r="AI70" s="141"/>
      <c r="AK70" s="141"/>
      <c r="AL70" s="141"/>
      <c r="AM70" s="219"/>
      <c r="AN70" s="141"/>
      <c r="AO70" s="141"/>
      <c r="AP70" s="141"/>
      <c r="AQ70" s="141"/>
      <c r="AR70" s="141"/>
      <c r="AS70" s="141"/>
      <c r="AT70" s="141"/>
      <c r="AU70" s="539" t="str">
        <f t="shared" ca="1" si="4"/>
        <v/>
      </c>
      <c r="AV70" s="141"/>
      <c r="AW70" s="141"/>
      <c r="AX70" s="680"/>
      <c r="AY70" s="141"/>
      <c r="AZ70" s="141"/>
    </row>
    <row r="71" spans="1:52" s="142" customFormat="1" ht="6.75" customHeight="1" x14ac:dyDescent="0.45">
      <c r="B71" s="118"/>
      <c r="C71" s="136"/>
      <c r="D71" s="6"/>
      <c r="E71" s="14"/>
      <c r="F71" s="930" t="str">
        <f>IF(O71=1,"Hiring",IF(O71=3,"Rent A Vehicle",IF(O71=0,"Private")))</f>
        <v>Private</v>
      </c>
      <c r="G71" s="930"/>
      <c r="H71" s="930"/>
      <c r="I71" s="14"/>
      <c r="J71" s="14"/>
      <c r="K71" s="14"/>
      <c r="L71" s="14"/>
      <c r="M71" s="912"/>
      <c r="N71" s="692"/>
      <c r="O71" s="229">
        <f>Q45+Q44</f>
        <v>0</v>
      </c>
      <c r="P71" s="229"/>
      <c r="Q71" s="142" t="s">
        <v>41</v>
      </c>
      <c r="R71" s="142" t="s">
        <v>7</v>
      </c>
      <c r="T71" s="142" t="s">
        <v>45</v>
      </c>
      <c r="AD71" s="141"/>
      <c r="AE71" s="141"/>
      <c r="AF71" s="141"/>
      <c r="AG71" s="141"/>
      <c r="AH71" s="141"/>
      <c r="AI71" s="141"/>
      <c r="AK71" s="141"/>
      <c r="AL71" s="141"/>
      <c r="AM71" s="219"/>
      <c r="AN71" s="141"/>
      <c r="AO71" s="141"/>
      <c r="AP71" s="141"/>
      <c r="AQ71" s="141"/>
      <c r="AR71" s="141"/>
      <c r="AS71" s="141"/>
      <c r="AT71" s="141"/>
      <c r="AU71" s="539" t="str">
        <f t="shared" ca="1" si="4"/>
        <v/>
      </c>
      <c r="AV71" s="141"/>
      <c r="AW71" s="141"/>
      <c r="AX71" s="680"/>
      <c r="AY71" s="141"/>
      <c r="AZ71" s="141"/>
    </row>
    <row r="72" spans="1:52" s="142" customFormat="1" ht="13.5" customHeight="1" thickBot="1" x14ac:dyDescent="0.35">
      <c r="B72" s="118"/>
      <c r="C72" s="136"/>
      <c r="D72" s="181"/>
      <c r="E72" s="182"/>
      <c r="F72" s="931"/>
      <c r="G72" s="931"/>
      <c r="H72" s="931"/>
      <c r="I72" s="182"/>
      <c r="J72" s="182"/>
      <c r="K72" s="182"/>
      <c r="L72" s="182"/>
      <c r="M72" s="183"/>
      <c r="N72" s="213"/>
      <c r="O72" s="206"/>
      <c r="P72" s="225"/>
      <c r="AD72" s="141"/>
      <c r="AE72" s="141"/>
      <c r="AF72" s="141"/>
      <c r="AG72" s="141"/>
      <c r="AH72" s="141"/>
      <c r="AI72" s="141"/>
      <c r="AK72" s="141"/>
      <c r="AL72" s="141"/>
      <c r="AM72" s="219"/>
      <c r="AN72" s="141"/>
      <c r="AO72" s="141"/>
      <c r="AP72" s="141"/>
      <c r="AQ72" s="141"/>
      <c r="AR72" s="141"/>
      <c r="AS72" s="141"/>
      <c r="AT72" s="141"/>
      <c r="AU72" s="539" t="str">
        <f t="shared" ca="1" si="4"/>
        <v/>
      </c>
      <c r="AV72" s="141"/>
      <c r="AW72" s="141"/>
      <c r="AX72" s="680"/>
      <c r="AY72" s="141"/>
      <c r="AZ72" s="141"/>
    </row>
    <row r="73" spans="1:52" s="138" customFormat="1" ht="14.5" hidden="1" thickTop="1" x14ac:dyDescent="0.3">
      <c r="A73" s="219"/>
      <c r="B73" s="223"/>
      <c r="C73" s="219"/>
      <c r="D73" s="298" t="s">
        <v>15</v>
      </c>
      <c r="E73" s="219"/>
      <c r="F73" s="222"/>
      <c r="G73" s="222"/>
      <c r="H73" s="222"/>
      <c r="I73" s="222"/>
      <c r="J73" s="222"/>
      <c r="K73" s="222"/>
      <c r="L73" s="219"/>
      <c r="M73" s="219"/>
      <c r="N73" s="139"/>
      <c r="O73" s="206"/>
      <c r="P73" s="225"/>
      <c r="Q73" s="142"/>
      <c r="R73" s="142"/>
      <c r="S73" s="142"/>
      <c r="T73" s="142"/>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9" t="str">
        <f t="shared" ca="1" si="4"/>
        <v/>
      </c>
      <c r="AV73" s="141"/>
      <c r="AW73" s="141"/>
      <c r="AX73" s="680"/>
      <c r="AY73" s="141"/>
      <c r="AZ73" s="141"/>
    </row>
    <row r="74" spans="1:52" s="138" customFormat="1" ht="22.5" hidden="1" customHeight="1" x14ac:dyDescent="0.25">
      <c r="A74" s="219"/>
      <c r="B74" s="224"/>
      <c r="C74" s="219"/>
      <c r="D74" s="142"/>
      <c r="E74" s="142"/>
      <c r="F74" s="142"/>
      <c r="G74" s="142"/>
      <c r="H74" s="142"/>
      <c r="I74" s="142"/>
      <c r="J74" s="142"/>
      <c r="K74" s="142"/>
      <c r="L74" s="142"/>
      <c r="M74" s="539"/>
      <c r="N74" s="539"/>
      <c r="O74" s="539"/>
      <c r="P74" s="539"/>
      <c r="Q74" s="539"/>
      <c r="R74" s="539"/>
      <c r="S74" s="539"/>
      <c r="T74" s="539"/>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9" t="str">
        <f t="shared" ca="1" si="4"/>
        <v/>
      </c>
      <c r="AV74" s="141"/>
      <c r="AW74" s="141"/>
      <c r="AY74" s="141"/>
      <c r="AZ74" s="141"/>
    </row>
    <row r="75" spans="1:52" s="138" customFormat="1" hidden="1" x14ac:dyDescent="0.3">
      <c r="A75" s="219"/>
      <c r="B75" s="224"/>
      <c r="C75" s="219"/>
      <c r="D75" s="142" t="s">
        <v>78</v>
      </c>
      <c r="E75" s="142" t="s">
        <v>78</v>
      </c>
      <c r="F75" s="142"/>
      <c r="G75" s="142"/>
      <c r="H75" s="142"/>
      <c r="I75" s="142"/>
      <c r="J75" s="142"/>
      <c r="K75" s="142"/>
      <c r="L75" s="142"/>
      <c r="M75" s="539"/>
      <c r="N75" s="539"/>
      <c r="O75" s="539"/>
      <c r="P75" s="539"/>
      <c r="Q75" s="539"/>
      <c r="R75" s="539"/>
      <c r="S75" s="539"/>
      <c r="T75" s="53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9" t="str">
        <f t="shared" ca="1" si="4"/>
        <v/>
      </c>
      <c r="AV75" s="141"/>
      <c r="AW75" s="141"/>
      <c r="AX75" s="487"/>
      <c r="AY75" s="141"/>
      <c r="AZ75" s="141"/>
    </row>
    <row r="76" spans="1:52" s="138" customFormat="1" hidden="1" x14ac:dyDescent="0.3">
      <c r="A76" s="219"/>
      <c r="B76" s="224"/>
      <c r="C76" s="219"/>
      <c r="D76" s="142" t="s">
        <v>114</v>
      </c>
      <c r="E76" s="142" t="s">
        <v>114</v>
      </c>
      <c r="F76" s="142"/>
      <c r="G76" s="142"/>
      <c r="H76" s="142"/>
      <c r="I76" s="142"/>
      <c r="J76" s="142"/>
      <c r="K76" s="142"/>
      <c r="L76" s="142"/>
      <c r="M76" s="539"/>
      <c r="N76" s="522"/>
      <c r="O76" s="522"/>
      <c r="P76" s="522"/>
      <c r="Q76" s="522"/>
      <c r="R76" s="522"/>
      <c r="S76" s="522"/>
      <c r="T76" s="522"/>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9" t="str">
        <f t="shared" ca="1" si="4"/>
        <v/>
      </c>
      <c r="AV76" s="141"/>
      <c r="AW76" s="141"/>
      <c r="AX76" s="487"/>
      <c r="AY76" s="141"/>
      <c r="AZ76" s="141"/>
    </row>
    <row r="77" spans="1:52" s="138" customFormat="1" hidden="1" x14ac:dyDescent="0.3">
      <c r="A77" s="219"/>
      <c r="B77" s="224"/>
      <c r="C77" s="219"/>
      <c r="D77" s="142">
        <v>1</v>
      </c>
      <c r="E77" s="142"/>
      <c r="F77" s="142"/>
      <c r="G77" s="142"/>
      <c r="H77" s="142"/>
      <c r="I77" s="142"/>
      <c r="J77" s="142"/>
      <c r="K77" s="142"/>
      <c r="L77" s="142"/>
      <c r="M77" s="539"/>
      <c r="N77" s="522"/>
      <c r="O77" s="541" t="s">
        <v>222</v>
      </c>
      <c r="P77" s="522"/>
      <c r="Q77" s="522"/>
      <c r="R77" s="522"/>
      <c r="S77" s="522"/>
      <c r="T77" s="522"/>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9" t="str">
        <f t="shared" ca="1" si="4"/>
        <v/>
      </c>
      <c r="AV77" s="141"/>
      <c r="AW77" s="141"/>
      <c r="AX77" s="487"/>
      <c r="AY77" s="141"/>
      <c r="AZ77" s="141"/>
    </row>
    <row r="78" spans="1:52" s="138" customFormat="1" ht="25.5" hidden="1" customHeight="1" x14ac:dyDescent="0.3">
      <c r="A78" s="219"/>
      <c r="B78" s="224"/>
      <c r="C78" s="219"/>
      <c r="D78" s="142" t="s">
        <v>78</v>
      </c>
      <c r="E78" s="142" t="s">
        <v>78</v>
      </c>
      <c r="F78" s="142"/>
      <c r="G78" s="142"/>
      <c r="H78" s="142"/>
      <c r="I78" s="142"/>
      <c r="J78" s="142"/>
      <c r="K78" s="142"/>
      <c r="L78" s="142"/>
      <c r="M78" s="539"/>
      <c r="N78" s="522"/>
      <c r="O78" s="522" t="s">
        <v>223</v>
      </c>
      <c r="P78" s="522"/>
      <c r="Q78" s="522"/>
      <c r="R78" s="522">
        <f ca="1">IF(AND(Y15&gt;10,Y15&lt;15),Rates!K59,IF(AND(Y15&gt;=15,Y15&lt;20),Rates!K60,IF(Y15&lt;11,0,Working!I20)))</f>
        <v>0</v>
      </c>
      <c r="S78" s="522"/>
      <c r="T78" s="522"/>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9" t="str">
        <f t="shared" ca="1" si="4"/>
        <v/>
      </c>
      <c r="AV78" s="141"/>
      <c r="AW78" s="141"/>
      <c r="AX78" s="487"/>
      <c r="AY78" s="141"/>
      <c r="AZ78" s="141"/>
    </row>
    <row r="79" spans="1:52" s="138" customFormat="1" hidden="1" x14ac:dyDescent="0.3">
      <c r="A79" s="219"/>
      <c r="B79" s="224"/>
      <c r="C79" s="219"/>
      <c r="D79" s="142" t="s">
        <v>114</v>
      </c>
      <c r="E79" s="142" t="s">
        <v>114</v>
      </c>
      <c r="F79" s="142"/>
      <c r="G79" s="142"/>
      <c r="H79" s="142"/>
      <c r="I79" s="142"/>
      <c r="J79" s="142"/>
      <c r="K79" s="142"/>
      <c r="L79" s="142"/>
      <c r="M79" s="539"/>
      <c r="N79" s="522"/>
      <c r="O79" s="522" t="s">
        <v>41</v>
      </c>
      <c r="P79" s="522"/>
      <c r="Q79" s="522"/>
      <c r="R79" s="522">
        <f>IF(OR(H9=Administration!C21,Working!H9=Administration!C22),Rates!K61,0)</f>
        <v>0</v>
      </c>
      <c r="S79" s="522"/>
      <c r="T79" s="522"/>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9" t="str">
        <f t="shared" ca="1" si="4"/>
        <v/>
      </c>
      <c r="AV79" s="141"/>
      <c r="AW79" s="141"/>
      <c r="AX79" s="487"/>
      <c r="AY79" s="141"/>
      <c r="AZ79" s="141"/>
    </row>
    <row r="80" spans="1:52" s="138" customFormat="1" hidden="1" x14ac:dyDescent="0.3">
      <c r="A80" s="219"/>
      <c r="B80" s="224"/>
      <c r="C80" s="219"/>
      <c r="D80" s="142"/>
      <c r="E80" s="142"/>
      <c r="F80" s="142"/>
      <c r="G80" s="142"/>
      <c r="H80" s="142"/>
      <c r="I80" s="142"/>
      <c r="J80" s="142"/>
      <c r="K80" s="142"/>
      <c r="L80" s="142"/>
      <c r="M80" s="539"/>
      <c r="N80" s="522"/>
      <c r="O80" s="522" t="s">
        <v>42</v>
      </c>
      <c r="P80" s="522"/>
      <c r="Q80" s="522"/>
      <c r="R80" s="522">
        <f>IF(H9="Rent A vehicle",Rates!K62,0)</f>
        <v>0</v>
      </c>
      <c r="S80" s="522"/>
      <c r="T80" s="522"/>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9" t="str">
        <f t="shared" ca="1" si="4"/>
        <v/>
      </c>
      <c r="AV80" s="141"/>
      <c r="AW80" s="141"/>
      <c r="AX80" s="487"/>
      <c r="AY80" s="141"/>
      <c r="AZ80" s="141"/>
    </row>
    <row r="81" spans="1:52" s="138" customFormat="1" hidden="1" x14ac:dyDescent="0.3">
      <c r="A81" s="219"/>
      <c r="B81" s="224"/>
      <c r="C81" s="219"/>
      <c r="D81" s="142" t="s">
        <v>78</v>
      </c>
      <c r="E81" s="142" t="s">
        <v>78</v>
      </c>
      <c r="F81" s="142"/>
      <c r="G81" s="142"/>
      <c r="H81" s="142"/>
      <c r="I81" s="142"/>
      <c r="J81" s="142"/>
      <c r="K81" s="142"/>
      <c r="L81" s="142"/>
      <c r="M81" s="539"/>
      <c r="N81" s="522"/>
      <c r="O81" s="521" t="s">
        <v>276</v>
      </c>
      <c r="P81" s="522"/>
      <c r="Q81" s="522"/>
      <c r="R81" s="542">
        <f ca="1">SUM(R78:R80)</f>
        <v>0</v>
      </c>
      <c r="S81" s="522"/>
      <c r="T81" s="522"/>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9" t="str">
        <f t="shared" ca="1" si="4"/>
        <v/>
      </c>
      <c r="AV81" s="141"/>
      <c r="AW81" s="141"/>
      <c r="AX81" s="487"/>
      <c r="AY81" s="141"/>
      <c r="AZ81" s="141"/>
    </row>
    <row r="82" spans="1:52" s="138" customFormat="1" hidden="1" x14ac:dyDescent="0.3">
      <c r="A82" s="219"/>
      <c r="B82" s="224"/>
      <c r="C82" s="219"/>
      <c r="D82" s="142" t="s">
        <v>114</v>
      </c>
      <c r="E82" s="142" t="s">
        <v>114</v>
      </c>
      <c r="F82" s="142"/>
      <c r="G82" s="142"/>
      <c r="H82" s="142"/>
      <c r="I82" s="142"/>
      <c r="J82" s="142"/>
      <c r="K82" s="142"/>
      <c r="L82" s="142"/>
      <c r="M82" s="539"/>
      <c r="N82" s="522"/>
      <c r="O82" s="522"/>
      <c r="P82" s="522"/>
      <c r="Q82" s="522"/>
      <c r="R82" s="522"/>
      <c r="S82" s="522"/>
      <c r="T82" s="522"/>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9" t="str">
        <f t="shared" ca="1" si="4"/>
        <v/>
      </c>
      <c r="AV82" s="141"/>
      <c r="AW82" s="141"/>
      <c r="AX82" s="487"/>
      <c r="AY82" s="141"/>
      <c r="AZ82" s="141"/>
    </row>
    <row r="83" spans="1:52" s="138" customFormat="1" hidden="1" x14ac:dyDescent="0.3">
      <c r="A83" s="219"/>
      <c r="B83" s="224"/>
      <c r="C83" s="219"/>
      <c r="D83" s="142"/>
      <c r="E83" s="142"/>
      <c r="F83" s="142"/>
      <c r="G83" s="142"/>
      <c r="H83" s="142"/>
      <c r="I83" s="142"/>
      <c r="J83" s="142"/>
      <c r="K83" s="142"/>
      <c r="L83" s="142"/>
      <c r="M83" s="539"/>
      <c r="N83" s="522"/>
      <c r="O83" s="522" t="s">
        <v>60</v>
      </c>
      <c r="P83" s="522"/>
      <c r="Q83" s="522"/>
      <c r="R83" s="522">
        <f>IF(M8=Administration!C13,Rates!K66,IF(Working!M8=Administration!C14,Rates!K67,0))</f>
        <v>2500</v>
      </c>
      <c r="S83" s="522"/>
      <c r="T83" s="522"/>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9" t="str">
        <f t="shared" ca="1" si="4"/>
        <v/>
      </c>
      <c r="AV83" s="141"/>
      <c r="AW83" s="141"/>
      <c r="AX83" s="487"/>
      <c r="AY83" s="141"/>
      <c r="AZ83" s="141"/>
    </row>
    <row r="84" spans="1:52" s="138" customFormat="1" hidden="1" x14ac:dyDescent="0.3">
      <c r="A84" s="219"/>
      <c r="B84" s="224"/>
      <c r="C84" s="219"/>
      <c r="D84" s="142"/>
      <c r="E84" s="142"/>
      <c r="F84" s="142"/>
      <c r="G84" s="142"/>
      <c r="H84" s="142"/>
      <c r="I84" s="142"/>
      <c r="J84" s="142"/>
      <c r="K84" s="142"/>
      <c r="L84" s="142"/>
      <c r="M84" s="539"/>
      <c r="N84" s="522"/>
      <c r="O84" s="522" t="s">
        <v>209</v>
      </c>
      <c r="P84" s="522"/>
      <c r="Q84" s="522"/>
      <c r="R84" s="522">
        <f>IF(M8=Administration!C9,Rates!K69,0)</f>
        <v>0</v>
      </c>
      <c r="S84" s="522"/>
      <c r="T84" s="522"/>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9" t="str">
        <f t="shared" ca="1" si="4"/>
        <v/>
      </c>
      <c r="AV84" s="141"/>
      <c r="AW84" s="141"/>
      <c r="AX84" s="487"/>
      <c r="AY84" s="141"/>
      <c r="AZ84" s="141"/>
    </row>
    <row r="85" spans="1:52" s="138" customFormat="1" hidden="1" x14ac:dyDescent="0.3">
      <c r="A85" s="219"/>
      <c r="B85" s="224"/>
      <c r="C85" s="219"/>
      <c r="D85" s="142"/>
      <c r="E85" s="142"/>
      <c r="F85" s="142"/>
      <c r="G85" s="142"/>
      <c r="H85" s="142"/>
      <c r="I85" s="142"/>
      <c r="J85" s="142"/>
      <c r="K85" s="142"/>
      <c r="L85" s="142"/>
      <c r="M85" s="539"/>
      <c r="N85" s="522"/>
      <c r="O85" s="522" t="s">
        <v>271</v>
      </c>
      <c r="P85" s="522"/>
      <c r="Q85" s="522"/>
      <c r="R85" s="522">
        <f>IF(M8=Administration!C7,Rates!K70,0)</f>
        <v>0</v>
      </c>
      <c r="S85" s="522"/>
      <c r="T85" s="522"/>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9" t="str">
        <f t="shared" ca="1" si="4"/>
        <v/>
      </c>
      <c r="AV85" s="141"/>
      <c r="AW85" s="141"/>
      <c r="AX85" s="487"/>
      <c r="AY85" s="141"/>
      <c r="AZ85" s="141"/>
    </row>
    <row r="86" spans="1:52" s="138" customFormat="1" hidden="1" x14ac:dyDescent="0.3">
      <c r="A86" s="219"/>
      <c r="B86" s="224"/>
      <c r="C86" s="219"/>
      <c r="D86" s="142"/>
      <c r="E86" s="142"/>
      <c r="F86" s="142"/>
      <c r="G86" s="142"/>
      <c r="H86" s="142"/>
      <c r="I86" s="142"/>
      <c r="J86" s="142"/>
      <c r="K86" s="142"/>
      <c r="L86" s="142"/>
      <c r="M86" s="539"/>
      <c r="N86" s="522"/>
      <c r="O86" s="522" t="s">
        <v>272</v>
      </c>
      <c r="P86" s="522"/>
      <c r="Q86" s="522"/>
      <c r="R86" s="522">
        <f>IF(M8=Administration!C8,Rates!K71,0)</f>
        <v>0</v>
      </c>
      <c r="S86" s="522"/>
      <c r="T86" s="522"/>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9" t="e">
        <f t="shared" ref="AU86:AU106" ca="1" si="5">AU85+1</f>
        <v>#VALUE!</v>
      </c>
      <c r="AV86" s="141"/>
      <c r="AW86" s="141"/>
      <c r="AX86" s="487"/>
      <c r="AY86" s="141"/>
      <c r="AZ86" s="141"/>
    </row>
    <row r="87" spans="1:52" s="138" customFormat="1" hidden="1" x14ac:dyDescent="0.3">
      <c r="A87" s="219"/>
      <c r="B87" s="224"/>
      <c r="C87" s="219"/>
      <c r="D87" s="142"/>
      <c r="E87" s="142"/>
      <c r="F87" s="142"/>
      <c r="G87" s="142"/>
      <c r="H87" s="142"/>
      <c r="I87" s="142"/>
      <c r="J87" s="142"/>
      <c r="K87" s="142"/>
      <c r="L87" s="142"/>
      <c r="M87" s="539"/>
      <c r="N87" s="522"/>
      <c r="O87" s="522" t="s">
        <v>273</v>
      </c>
      <c r="P87" s="522"/>
      <c r="Q87" s="522"/>
      <c r="R87" s="522">
        <f>IF(M8=Administration!C16,Rates!K72,0)</f>
        <v>0</v>
      </c>
      <c r="S87" s="522"/>
      <c r="T87" s="522"/>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9" t="e">
        <f t="shared" ca="1" si="5"/>
        <v>#VALUE!</v>
      </c>
      <c r="AV87" s="141"/>
      <c r="AW87" s="141"/>
      <c r="AX87" s="487"/>
      <c r="AY87" s="141"/>
      <c r="AZ87" s="141"/>
    </row>
    <row r="88" spans="1:52" s="138" customFormat="1" hidden="1" x14ac:dyDescent="0.3">
      <c r="A88" s="219"/>
      <c r="B88" s="224"/>
      <c r="C88" s="219"/>
      <c r="D88" s="142"/>
      <c r="E88" s="142"/>
      <c r="F88" s="142"/>
      <c r="G88" s="142"/>
      <c r="H88" s="142"/>
      <c r="I88" s="142"/>
      <c r="J88" s="142"/>
      <c r="K88" s="142"/>
      <c r="L88" s="142"/>
      <c r="M88" s="539"/>
      <c r="N88" s="522"/>
      <c r="O88" s="522" t="s">
        <v>359</v>
      </c>
      <c r="P88" s="522"/>
      <c r="Q88" s="522"/>
      <c r="R88" s="522">
        <f>IF(M8=Administration!C11,Rates!K73,0)</f>
        <v>0</v>
      </c>
      <c r="S88" s="522"/>
      <c r="T88" s="522"/>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9" t="e">
        <f t="shared" ca="1" si="5"/>
        <v>#VALUE!</v>
      </c>
      <c r="AV88" s="141"/>
      <c r="AW88" s="141"/>
      <c r="AX88" s="487"/>
      <c r="AY88" s="141"/>
      <c r="AZ88" s="141"/>
    </row>
    <row r="89" spans="1:52" s="138" customFormat="1" hidden="1" x14ac:dyDescent="0.3">
      <c r="A89" s="219"/>
      <c r="B89" s="224"/>
      <c r="C89" s="219"/>
      <c r="D89" s="142"/>
      <c r="E89" s="142"/>
      <c r="F89" s="142"/>
      <c r="G89" s="142"/>
      <c r="H89" s="142"/>
      <c r="I89" s="142"/>
      <c r="J89" s="142"/>
      <c r="K89" s="142"/>
      <c r="L89" s="142"/>
      <c r="M89" s="539"/>
      <c r="N89" s="522"/>
      <c r="O89" s="522" t="s">
        <v>210</v>
      </c>
      <c r="P89" s="522"/>
      <c r="Q89" s="522"/>
      <c r="R89" s="522">
        <f>IF(M8=Administration!C10,Rates!K74,0)</f>
        <v>0</v>
      </c>
      <c r="S89" s="522"/>
      <c r="T89" s="522"/>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9" t="e">
        <f t="shared" ca="1" si="5"/>
        <v>#VALUE!</v>
      </c>
      <c r="AV89" s="141"/>
      <c r="AW89" s="141"/>
      <c r="AX89" s="487"/>
      <c r="AY89" s="141"/>
      <c r="AZ89" s="141"/>
    </row>
    <row r="90" spans="1:52" s="138" customFormat="1" hidden="1" x14ac:dyDescent="0.3">
      <c r="A90" s="219"/>
      <c r="B90" s="224"/>
      <c r="C90" s="219"/>
      <c r="D90" s="142"/>
      <c r="E90" s="142"/>
      <c r="F90" s="142"/>
      <c r="G90" s="142"/>
      <c r="H90" s="142"/>
      <c r="I90" s="142"/>
      <c r="J90" s="142"/>
      <c r="K90" s="142"/>
      <c r="L90" s="142"/>
      <c r="M90" s="539"/>
      <c r="N90" s="522"/>
      <c r="O90" s="522" t="s">
        <v>214</v>
      </c>
      <c r="P90" s="522"/>
      <c r="Q90" s="522"/>
      <c r="R90" s="522">
        <f>IF(M8=Administration!C15,Rates!K75,0)</f>
        <v>0</v>
      </c>
      <c r="S90" s="522"/>
      <c r="T90" s="522"/>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9" t="e">
        <f t="shared" ca="1" si="5"/>
        <v>#VALUE!</v>
      </c>
      <c r="AV90" s="141"/>
      <c r="AW90" s="141"/>
      <c r="AX90" s="487"/>
      <c r="AY90" s="141"/>
      <c r="AZ90" s="141"/>
    </row>
    <row r="91" spans="1:52" s="138" customFormat="1" hidden="1" x14ac:dyDescent="0.3">
      <c r="A91" s="142"/>
      <c r="B91" s="4"/>
      <c r="C91" s="219"/>
      <c r="D91" s="142"/>
      <c r="E91" s="142"/>
      <c r="F91" s="142"/>
      <c r="G91" s="142"/>
      <c r="H91" s="142"/>
      <c r="I91" s="142"/>
      <c r="J91" s="142"/>
      <c r="K91" s="142"/>
      <c r="L91" s="142"/>
      <c r="M91" s="539"/>
      <c r="N91" s="522"/>
      <c r="O91" s="522" t="s">
        <v>211</v>
      </c>
      <c r="P91" s="522"/>
      <c r="Q91" s="522"/>
      <c r="R91" s="522">
        <f>IF(M8=Administration!C12,Rates!K76,0)</f>
        <v>0</v>
      </c>
      <c r="S91" s="522"/>
      <c r="T91" s="522"/>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9" t="e">
        <f t="shared" ca="1" si="5"/>
        <v>#VALUE!</v>
      </c>
      <c r="AV91" s="141"/>
      <c r="AW91" s="141"/>
      <c r="AX91" s="487"/>
      <c r="AY91" s="141"/>
      <c r="AZ91" s="141"/>
    </row>
    <row r="92" spans="1:52" s="138" customFormat="1" hidden="1" x14ac:dyDescent="0.3">
      <c r="A92" s="142"/>
      <c r="B92" s="4"/>
      <c r="C92" s="219"/>
      <c r="D92" s="142"/>
      <c r="E92" s="142"/>
      <c r="F92" s="142"/>
      <c r="G92" s="142"/>
      <c r="H92" s="142"/>
      <c r="I92" s="142"/>
      <c r="J92" s="142"/>
      <c r="K92" s="142"/>
      <c r="L92" s="142"/>
      <c r="M92" s="539"/>
      <c r="N92" s="522"/>
      <c r="O92" s="521" t="s">
        <v>267</v>
      </c>
      <c r="P92" s="522"/>
      <c r="Q92" s="522"/>
      <c r="R92" s="543">
        <f ca="1">R81+SUM(R83:R91)+R96</f>
        <v>2500</v>
      </c>
      <c r="S92" s="522"/>
      <c r="T92" s="522"/>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539" t="e">
        <f t="shared" ca="1" si="5"/>
        <v>#VALUE!</v>
      </c>
      <c r="AV92" s="141"/>
      <c r="AW92" s="141"/>
      <c r="AX92" s="487"/>
      <c r="AY92" s="141"/>
      <c r="AZ92" s="141"/>
    </row>
    <row r="93" spans="1:52" s="138" customFormat="1" hidden="1" x14ac:dyDescent="0.3">
      <c r="A93" s="142"/>
      <c r="B93" s="4"/>
      <c r="C93" s="219"/>
      <c r="D93" s="142"/>
      <c r="E93" s="142"/>
      <c r="F93" s="142"/>
      <c r="G93" s="142"/>
      <c r="H93" s="142"/>
      <c r="I93" s="142"/>
      <c r="J93" s="142"/>
      <c r="K93" s="142"/>
      <c r="L93" s="142"/>
      <c r="M93" s="539"/>
      <c r="N93" s="522"/>
      <c r="O93" s="522"/>
      <c r="P93" s="522"/>
      <c r="Q93" s="522"/>
      <c r="R93" s="522">
        <f ca="1">IF(AND(I18&gt;R92,I18&lt;H15/2),I18,R92)</f>
        <v>2500</v>
      </c>
      <c r="S93" s="522"/>
      <c r="T93" s="522"/>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7"/>
      <c r="AY93" s="141"/>
      <c r="AZ93" s="141"/>
    </row>
    <row r="94" spans="1:52" s="138" customFormat="1" hidden="1" x14ac:dyDescent="0.3">
      <c r="A94" s="142"/>
      <c r="B94" s="4"/>
      <c r="D94" s="142"/>
      <c r="E94" s="142"/>
      <c r="F94" s="673" t="s">
        <v>394</v>
      </c>
      <c r="G94" s="142"/>
      <c r="H94" s="142"/>
      <c r="I94" s="142"/>
      <c r="J94" s="142"/>
      <c r="K94" s="142"/>
      <c r="L94" s="142"/>
      <c r="M94" s="539"/>
      <c r="N94" s="522"/>
      <c r="O94" s="522"/>
      <c r="P94" s="522"/>
      <c r="Q94" s="522"/>
      <c r="R94" s="522"/>
      <c r="S94" s="522"/>
      <c r="T94" s="522"/>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7"/>
      <c r="AY94" s="141"/>
      <c r="AZ94" s="141"/>
    </row>
    <row r="95" spans="1:52" s="138" customFormat="1" ht="20.149999999999999" hidden="1" customHeight="1" x14ac:dyDescent="0.3">
      <c r="A95" s="142"/>
      <c r="B95" s="4"/>
      <c r="D95" s="142"/>
      <c r="E95" s="142"/>
      <c r="F95" s="693" t="str">
        <f>Administration!J6</f>
        <v>Abans Finance PLC</v>
      </c>
      <c r="G95" s="142"/>
      <c r="H95" s="142"/>
      <c r="I95" s="142"/>
      <c r="J95" s="142"/>
      <c r="K95" s="142"/>
      <c r="L95" s="219"/>
      <c r="M95" s="540" t="s">
        <v>233</v>
      </c>
      <c r="N95" s="522" t="s">
        <v>268</v>
      </c>
      <c r="O95" s="522"/>
      <c r="P95" s="522"/>
      <c r="Q95" s="522"/>
      <c r="R95" s="910" t="str">
        <f>IF(X43&gt;0,MAX(H30*Rates!K68%,Rates!L68),"")</f>
        <v/>
      </c>
      <c r="S95" s="910"/>
      <c r="T95" s="910"/>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7"/>
      <c r="AY95" s="141"/>
      <c r="AZ95" s="141"/>
    </row>
    <row r="96" spans="1:52" s="138" customFormat="1" ht="20.149999999999999" hidden="1" customHeight="1" x14ac:dyDescent="0.3">
      <c r="A96" s="142"/>
      <c r="B96" s="4"/>
      <c r="D96" s="142"/>
      <c r="E96" s="142"/>
      <c r="F96" s="693" t="str">
        <f>Administration!J7</f>
        <v>Alliance Finance Co. PLC</v>
      </c>
      <c r="G96" s="142"/>
      <c r="H96" s="142"/>
      <c r="I96" s="142"/>
      <c r="J96" s="142"/>
      <c r="K96" s="142"/>
      <c r="L96" s="219"/>
      <c r="M96" s="539"/>
      <c r="N96" s="522"/>
      <c r="O96" s="522" t="s">
        <v>226</v>
      </c>
      <c r="P96" s="522"/>
      <c r="Q96" s="522"/>
      <c r="R96" s="544">
        <f>I22</f>
        <v>0</v>
      </c>
      <c r="S96" s="522"/>
      <c r="T96" s="52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7"/>
      <c r="AY96" s="141"/>
      <c r="AZ96" s="141"/>
    </row>
    <row r="97" spans="1:52" s="138" customFormat="1" ht="20.149999999999999" hidden="1" customHeight="1" x14ac:dyDescent="0.3">
      <c r="A97" s="142"/>
      <c r="B97" s="4"/>
      <c r="D97" s="142"/>
      <c r="E97" s="142"/>
      <c r="F97" s="693" t="str">
        <f>Administration!J8</f>
        <v>Asia Asset Finance Ltd</v>
      </c>
      <c r="G97" s="142"/>
      <c r="H97" s="142"/>
      <c r="I97" s="142"/>
      <c r="J97" s="142"/>
      <c r="K97" s="142"/>
      <c r="L97" s="142"/>
      <c r="M97" s="142"/>
      <c r="N97" s="142"/>
      <c r="O97" s="142" t="s">
        <v>224</v>
      </c>
      <c r="P97" s="219"/>
      <c r="Q97" s="142"/>
      <c r="R97" s="142">
        <f ca="1">IF(OR(C39=1,M39&gt;0),Rates!K63,0)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7"/>
      <c r="AY97" s="141"/>
      <c r="AZ97" s="141"/>
    </row>
    <row r="98" spans="1:52" s="138" customFormat="1" ht="20.149999999999999" hidden="1" customHeight="1" x14ac:dyDescent="0.3">
      <c r="A98" s="142"/>
      <c r="B98" s="4"/>
      <c r="D98" s="142"/>
      <c r="E98" s="142"/>
      <c r="F98" s="693" t="str">
        <f>Administration!J9</f>
        <v>Assetline Leasing Co Ltd</v>
      </c>
      <c r="G98" s="142"/>
      <c r="H98" s="142"/>
      <c r="I98" s="142"/>
      <c r="J98" s="142"/>
      <c r="K98" s="142"/>
      <c r="L98" s="142"/>
      <c r="M98" s="142"/>
      <c r="N98" s="142"/>
      <c r="O98" s="142" t="s">
        <v>225</v>
      </c>
      <c r="P98" s="219"/>
      <c r="Q98" s="142"/>
      <c r="R98" s="142">
        <f>IF(OR(H54&gt;0,M54&gt;0),Rates!K64,0)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7"/>
      <c r="AY98" s="141"/>
      <c r="AZ98" s="141"/>
    </row>
    <row r="99" spans="1:52" s="138" customFormat="1" ht="20.149999999999999" hidden="1" customHeight="1" x14ac:dyDescent="0.3">
      <c r="A99" s="142"/>
      <c r="B99" s="4"/>
      <c r="D99" s="142"/>
      <c r="E99" s="142"/>
      <c r="F99" s="693" t="str">
        <f>Administration!J10</f>
        <v>Arpico Finance PLC</v>
      </c>
      <c r="G99" s="142"/>
      <c r="H99" s="142"/>
      <c r="I99" s="142"/>
      <c r="J99" s="142"/>
      <c r="K99" s="142"/>
      <c r="L99" s="142"/>
      <c r="M99" s="142"/>
      <c r="N99" s="142"/>
      <c r="O99" s="142" t="s">
        <v>227</v>
      </c>
      <c r="P99" s="219"/>
      <c r="Q99" s="142"/>
      <c r="R99" s="142">
        <f ca="1">IF(OR(U57=1,M46&gt;0),Rates!K65,0)</f>
        <v>0</v>
      </c>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7"/>
      <c r="AY99" s="141"/>
      <c r="AZ99" s="141"/>
    </row>
    <row r="100" spans="1:52" s="138" customFormat="1" ht="20.149999999999999" hidden="1" customHeight="1" x14ac:dyDescent="0.3">
      <c r="A100" s="142"/>
      <c r="B100" s="4"/>
      <c r="D100" s="142"/>
      <c r="E100" s="142"/>
      <c r="F100" s="693" t="str">
        <f>Administration!J11</f>
        <v>Bank of Ceylon</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7"/>
      <c r="AY100" s="141"/>
      <c r="AZ100" s="141"/>
    </row>
    <row r="101" spans="1:52" s="138" customFormat="1" ht="20.149999999999999" hidden="1" customHeight="1" x14ac:dyDescent="0.3">
      <c r="A101" s="142"/>
      <c r="B101" s="4"/>
      <c r="D101" s="142"/>
      <c r="E101" s="142"/>
      <c r="F101" s="693" t="str">
        <f>Administration!J12</f>
        <v>Citizens Development Business Finance PLC</v>
      </c>
      <c r="G101" s="142"/>
      <c r="H101" s="142"/>
      <c r="I101" s="142"/>
      <c r="J101" s="142"/>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7"/>
      <c r="AY101" s="141"/>
      <c r="AZ101" s="141"/>
    </row>
    <row r="102" spans="1:52" s="138" customFormat="1" ht="20.149999999999999" hidden="1" customHeight="1" x14ac:dyDescent="0.3">
      <c r="A102" s="142"/>
      <c r="B102" s="4"/>
      <c r="D102" s="139"/>
      <c r="E102" s="139"/>
      <c r="F102" s="693" t="str">
        <f>Administration!J13</f>
        <v>Commercial Credit PLC</v>
      </c>
      <c r="G102" s="139"/>
      <c r="H102" s="139"/>
      <c r="I102" s="139"/>
      <c r="J102" s="139"/>
      <c r="K102" s="142"/>
      <c r="L102" s="142"/>
      <c r="M102" s="142"/>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7"/>
      <c r="AY102" s="141"/>
      <c r="AZ102" s="141"/>
    </row>
    <row r="103" spans="1:52" s="138" customFormat="1" ht="20.149999999999999" hidden="1" customHeight="1" x14ac:dyDescent="0.3">
      <c r="A103" s="142"/>
      <c r="B103" s="4"/>
      <c r="D103" s="139"/>
      <c r="E103" s="139"/>
      <c r="F103" s="693" t="str">
        <f>Administration!J14</f>
        <v>Commercial Trust Investment (Pvt) Ltd.</v>
      </c>
      <c r="G103" s="139"/>
      <c r="H103" s="139"/>
      <c r="I103" s="139"/>
      <c r="J103" s="139"/>
      <c r="K103" s="139"/>
      <c r="L103" s="139"/>
      <c r="M103" s="219"/>
      <c r="N103" s="142"/>
      <c r="O103" s="142"/>
      <c r="P103" s="219"/>
      <c r="Q103" s="142"/>
      <c r="R103" s="142"/>
      <c r="S103" s="142"/>
      <c r="T103" s="142"/>
      <c r="U103" s="142"/>
      <c r="V103" s="142"/>
      <c r="W103" s="142"/>
      <c r="X103" s="142"/>
      <c r="Y103" s="142"/>
      <c r="Z103" s="142"/>
      <c r="AA103" s="142"/>
      <c r="AB103" s="142"/>
      <c r="AC103" s="142"/>
      <c r="AD103" s="141"/>
      <c r="AE103" s="141"/>
      <c r="AF103" s="141"/>
      <c r="AG103" s="141"/>
      <c r="AH103" s="141"/>
      <c r="AI103" s="141"/>
      <c r="AJ103" s="142"/>
      <c r="AK103" s="141"/>
      <c r="AL103" s="141"/>
      <c r="AM103" s="219"/>
      <c r="AN103" s="141"/>
      <c r="AO103" s="141"/>
      <c r="AP103" s="141"/>
      <c r="AQ103" s="141"/>
      <c r="AR103" s="141"/>
      <c r="AS103" s="141"/>
      <c r="AT103" s="141"/>
      <c r="AU103" s="142" t="e">
        <f t="shared" ca="1" si="5"/>
        <v>#VALUE!</v>
      </c>
      <c r="AV103" s="141"/>
      <c r="AW103" s="141"/>
      <c r="AX103" s="487"/>
      <c r="AY103" s="141"/>
      <c r="AZ103" s="141"/>
    </row>
    <row r="104" spans="1:52" s="138" customFormat="1" ht="20.149999999999999" hidden="1" customHeight="1" x14ac:dyDescent="0.3">
      <c r="A104" s="142"/>
      <c r="B104" s="4"/>
      <c r="D104" s="139"/>
      <c r="E104" s="139"/>
      <c r="F104" s="693" t="str">
        <f>Administration!J15</f>
        <v>David Pieris Leasing</v>
      </c>
      <c r="G104" s="139"/>
      <c r="H104" s="139"/>
      <c r="I104" s="139"/>
      <c r="J104" s="139"/>
      <c r="K104" s="139"/>
      <c r="L104" s="139"/>
      <c r="M104" s="219"/>
      <c r="N104" s="219"/>
      <c r="O104" s="263"/>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90"/>
    </row>
    <row r="105" spans="1:52" s="138" customFormat="1" ht="20.149999999999999" hidden="1" customHeight="1" x14ac:dyDescent="0.3">
      <c r="A105" s="142"/>
      <c r="B105" s="4"/>
      <c r="D105" s="139"/>
      <c r="E105" s="139"/>
      <c r="F105" s="693" t="str">
        <f>Administration!J16</f>
        <v>Dharmasiri Investments (Pvt)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90"/>
    </row>
    <row r="106" spans="1:52" s="138" customFormat="1" ht="20.149999999999999" hidden="1" customHeight="1" x14ac:dyDescent="0.3">
      <c r="A106" s="142"/>
      <c r="B106" s="4"/>
      <c r="D106" s="139"/>
      <c r="E106" s="139"/>
      <c r="F106" s="693" t="str">
        <f>Administration!J17</f>
        <v>Indra Finance Ltd.</v>
      </c>
      <c r="G106" s="139"/>
      <c r="H106" s="139"/>
      <c r="I106" s="139"/>
      <c r="J106" s="139"/>
      <c r="K106" s="139"/>
      <c r="L106" s="139"/>
      <c r="M106" s="219"/>
      <c r="N106" s="219"/>
      <c r="O106" s="219"/>
      <c r="P106" s="21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t="e">
        <f t="shared" ca="1" si="5"/>
        <v>#VALUE!</v>
      </c>
      <c r="AX106" s="490"/>
    </row>
    <row r="107" spans="1:52" s="138" customFormat="1" ht="20.149999999999999" hidden="1" customHeight="1" x14ac:dyDescent="0.3">
      <c r="A107" s="142"/>
      <c r="B107" s="4"/>
      <c r="D107" s="139"/>
      <c r="E107" s="139"/>
      <c r="F107" s="693" t="str">
        <f>Administration!J18</f>
        <v>L B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c r="AX107" s="490"/>
    </row>
    <row r="108" spans="1:52" s="138" customFormat="1" ht="20.149999999999999" hidden="1" customHeight="1" x14ac:dyDescent="0.3">
      <c r="A108" s="142"/>
      <c r="B108" s="4"/>
      <c r="D108" s="139"/>
      <c r="E108" s="139"/>
      <c r="F108" s="693" t="str">
        <f>Administration!J19</f>
        <v>Lanka ORIX Finance PLC</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ca="1">AU106+1</f>
        <v>#VALUE!</v>
      </c>
      <c r="AX108" s="490"/>
    </row>
    <row r="109" spans="1:52" s="138" customFormat="1" ht="28" hidden="1" x14ac:dyDescent="0.3">
      <c r="A109" s="142"/>
      <c r="B109" s="4"/>
      <c r="D109" s="139"/>
      <c r="E109" s="139"/>
      <c r="F109" s="693" t="str">
        <f>Administration!J20</f>
        <v>Matara District Capital Co-op Society Ltd</v>
      </c>
      <c r="G109" s="139"/>
      <c r="H109" s="139"/>
      <c r="I109" s="139"/>
      <c r="J109" s="139"/>
      <c r="K109" s="139"/>
      <c r="L109" s="139"/>
      <c r="M109" s="139"/>
      <c r="N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ref="AU109:AU153" ca="1" si="6">AU108+1</f>
        <v>#VALUE!</v>
      </c>
      <c r="AX109" s="490"/>
    </row>
    <row r="110" spans="1:52" s="138" customFormat="1" ht="28" hidden="1" x14ac:dyDescent="0.3">
      <c r="A110" s="142"/>
      <c r="B110" s="4"/>
      <c r="D110" s="139"/>
      <c r="E110" s="139"/>
      <c r="F110" s="693" t="str">
        <f>Administration!J21</f>
        <v>Mercantile Investments &amp; Finance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90"/>
    </row>
    <row r="111" spans="1:52" s="138" customFormat="1" hidden="1" x14ac:dyDescent="0.3">
      <c r="A111" s="142"/>
      <c r="B111" s="4"/>
      <c r="D111" s="139"/>
      <c r="E111" s="139"/>
      <c r="F111" s="693" t="str">
        <f>Administration!J22</f>
        <v>Merchant Bank of Sri Lanka PLC</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90"/>
    </row>
    <row r="112" spans="1:52" s="138" customFormat="1" hidden="1" x14ac:dyDescent="0.3">
      <c r="A112" s="142"/>
      <c r="B112" s="4"/>
      <c r="D112" s="139"/>
      <c r="E112" s="139"/>
      <c r="F112" s="693" t="str">
        <f>Administration!J23</f>
        <v>Merchant Credit of Sri Lanka Ltd</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90"/>
    </row>
    <row r="113" spans="1:50" s="138" customFormat="1" hidden="1" x14ac:dyDescent="0.3">
      <c r="A113" s="142"/>
      <c r="B113" s="4"/>
      <c r="D113" s="139"/>
      <c r="E113" s="139"/>
      <c r="F113" s="693" t="str">
        <f>Administration!J24</f>
        <v>Nations Lanka Finance PLC</v>
      </c>
      <c r="G113" s="139"/>
      <c r="H113" s="139"/>
      <c r="I113" s="139"/>
      <c r="J113" s="139"/>
      <c r="K113" s="139"/>
      <c r="L113" s="139"/>
      <c r="M113" s="139"/>
      <c r="O113" s="139"/>
      <c r="Q113" s="142"/>
      <c r="R113" s="142"/>
      <c r="S113" s="142"/>
      <c r="T113" s="142"/>
      <c r="U113" s="142"/>
      <c r="V113" s="142"/>
      <c r="W113" s="142"/>
      <c r="X113" s="142"/>
      <c r="Y113" s="142"/>
      <c r="Z113" s="142"/>
      <c r="AA113" s="142"/>
      <c r="AB113" s="142"/>
      <c r="AC113" s="142"/>
      <c r="AD113" s="142"/>
      <c r="AE113" s="142"/>
      <c r="AF113" s="142"/>
      <c r="AG113" s="142"/>
      <c r="AH113" s="142"/>
      <c r="AI113" s="142"/>
      <c r="AJ113" s="142"/>
      <c r="AM113" s="219"/>
      <c r="AU113" s="142" t="e">
        <f t="shared" ca="1" si="6"/>
        <v>#VALUE!</v>
      </c>
      <c r="AX113" s="490"/>
    </row>
    <row r="114" spans="1:50" s="138" customFormat="1" hidden="1" x14ac:dyDescent="0.3">
      <c r="A114" s="142"/>
      <c r="B114" s="4"/>
      <c r="D114" s="139"/>
      <c r="E114" s="139"/>
      <c r="F114" s="693" t="str">
        <f>Administration!J25</f>
        <v>Omek Investments</v>
      </c>
      <c r="G114" s="139"/>
      <c r="H114" s="139"/>
      <c r="I114" s="139"/>
      <c r="J114" s="139"/>
      <c r="K114" s="139"/>
      <c r="L114" s="139"/>
      <c r="M114" s="139"/>
      <c r="O114" s="139"/>
      <c r="Q114" s="219"/>
      <c r="AJ114" s="142"/>
      <c r="AM114" s="219"/>
      <c r="AU114" s="142" t="e">
        <f t="shared" ca="1" si="6"/>
        <v>#VALUE!</v>
      </c>
      <c r="AX114" s="490"/>
    </row>
    <row r="115" spans="1:50" s="138" customFormat="1" hidden="1" x14ac:dyDescent="0.3">
      <c r="A115" s="142"/>
      <c r="B115" s="4"/>
      <c r="D115" s="139"/>
      <c r="E115" s="139"/>
      <c r="F115" s="693" t="str">
        <f>Administration!J26</f>
        <v>People's Leasing Company PLC</v>
      </c>
      <c r="G115" s="139"/>
      <c r="H115" s="139"/>
      <c r="I115" s="139"/>
      <c r="J115" s="139"/>
      <c r="K115" s="139"/>
      <c r="L115" s="139"/>
      <c r="M115" s="139"/>
      <c r="O115" s="139"/>
      <c r="Q115" s="219"/>
      <c r="AJ115" s="142"/>
      <c r="AM115" s="219"/>
      <c r="AU115" s="142" t="e">
        <f t="shared" ca="1" si="6"/>
        <v>#VALUE!</v>
      </c>
      <c r="AX115" s="490"/>
    </row>
    <row r="116" spans="1:50" s="138" customFormat="1" hidden="1" x14ac:dyDescent="0.3">
      <c r="A116" s="142"/>
      <c r="B116" s="4"/>
      <c r="D116" s="139"/>
      <c r="E116" s="139"/>
      <c r="F116" s="693" t="str">
        <f>Administration!J27</f>
        <v>Singer Finance (Lanka) PLC</v>
      </c>
      <c r="G116" s="139"/>
      <c r="H116" s="139"/>
      <c r="I116" s="139"/>
      <c r="J116" s="139"/>
      <c r="K116" s="139"/>
      <c r="L116" s="139"/>
      <c r="M116" s="139"/>
      <c r="O116" s="139"/>
      <c r="Q116" s="219"/>
      <c r="AJ116" s="142"/>
      <c r="AM116" s="219"/>
      <c r="AU116" s="142" t="e">
        <f t="shared" ca="1" si="6"/>
        <v>#VALUE!</v>
      </c>
      <c r="AX116" s="490"/>
    </row>
    <row r="117" spans="1:50" s="138" customFormat="1" hidden="1" x14ac:dyDescent="0.3">
      <c r="A117" s="142"/>
      <c r="B117" s="4"/>
      <c r="D117" s="139"/>
      <c r="E117" s="139"/>
      <c r="F117" s="693" t="str">
        <f>Administration!J28</f>
        <v>SN Finance</v>
      </c>
      <c r="G117" s="139"/>
      <c r="H117" s="139"/>
      <c r="I117" s="139"/>
      <c r="J117" s="139"/>
      <c r="K117" s="139"/>
      <c r="L117" s="139"/>
      <c r="M117" s="139"/>
      <c r="O117" s="139"/>
      <c r="Q117" s="219"/>
      <c r="AJ117" s="142"/>
      <c r="AM117" s="219"/>
      <c r="AU117" s="142" t="e">
        <f t="shared" ca="1" si="6"/>
        <v>#VALUE!</v>
      </c>
      <c r="AX117" s="490"/>
    </row>
    <row r="118" spans="1:50" s="138" customFormat="1" hidden="1" x14ac:dyDescent="0.3">
      <c r="A118" s="142"/>
      <c r="B118" s="4"/>
      <c r="F118" s="693" t="str">
        <f>Administration!J29</f>
        <v>Softlogic Finance PLC</v>
      </c>
      <c r="O118" s="139"/>
      <c r="Q118" s="219"/>
      <c r="AJ118" s="142"/>
      <c r="AM118" s="219"/>
      <c r="AU118" s="142" t="e">
        <f t="shared" ca="1" si="6"/>
        <v>#VALUE!</v>
      </c>
      <c r="AX118" s="490"/>
    </row>
    <row r="119" spans="1:50" s="138" customFormat="1" hidden="1" x14ac:dyDescent="0.3">
      <c r="A119" s="142"/>
      <c r="B119" s="4"/>
      <c r="F119" s="693" t="str">
        <f>Administration!J30</f>
        <v>Thamalu Enterprises</v>
      </c>
      <c r="O119" s="139"/>
      <c r="Q119" s="219"/>
      <c r="AJ119" s="142"/>
      <c r="AM119" s="219"/>
      <c r="AU119" s="142" t="e">
        <f t="shared" ca="1" si="6"/>
        <v>#VALUE!</v>
      </c>
      <c r="AX119" s="490"/>
    </row>
    <row r="120" spans="1:50" s="138" customFormat="1" hidden="1" x14ac:dyDescent="0.3">
      <c r="A120" s="142"/>
      <c r="B120" s="4"/>
      <c r="F120" s="693" t="str">
        <f>Administration!J31</f>
        <v>Trade Finance</v>
      </c>
      <c r="O120" s="139"/>
      <c r="Q120" s="219"/>
      <c r="AJ120" s="142"/>
      <c r="AM120" s="219"/>
      <c r="AU120" s="142" t="e">
        <f t="shared" ca="1" si="6"/>
        <v>#VALUE!</v>
      </c>
      <c r="AX120" s="490"/>
    </row>
    <row r="121" spans="1:50" s="138" customFormat="1" hidden="1" x14ac:dyDescent="0.3">
      <c r="A121" s="142"/>
      <c r="B121" s="4"/>
      <c r="F121" s="693" t="str">
        <f>Administration!J32</f>
        <v>UB Finance</v>
      </c>
      <c r="O121" s="139"/>
      <c r="Q121" s="219"/>
      <c r="AJ121" s="142"/>
      <c r="AM121" s="219"/>
      <c r="AU121" s="142" t="e">
        <f t="shared" ca="1" si="6"/>
        <v>#VALUE!</v>
      </c>
      <c r="AX121" s="490"/>
    </row>
    <row r="122" spans="1:50" s="138" customFormat="1" hidden="1" x14ac:dyDescent="0.3">
      <c r="A122" s="142"/>
      <c r="B122" s="4"/>
      <c r="F122" s="693" t="str">
        <f>Administration!J33</f>
        <v>Vallibel Finance PLC</v>
      </c>
      <c r="O122" s="139"/>
      <c r="Q122" s="219"/>
      <c r="AJ122" s="142"/>
      <c r="AM122" s="219"/>
      <c r="AU122" s="142" t="e">
        <f t="shared" ca="1" si="6"/>
        <v>#VALUE!</v>
      </c>
      <c r="AX122" s="490"/>
    </row>
    <row r="123" spans="1:50" s="138" customFormat="1" hidden="1" x14ac:dyDescent="0.3">
      <c r="A123" s="142"/>
      <c r="B123" s="4"/>
      <c r="F123" s="693">
        <f>Administration!J34</f>
        <v>0</v>
      </c>
      <c r="O123" s="139"/>
      <c r="Q123" s="219"/>
      <c r="AJ123" s="142"/>
      <c r="AM123" s="219"/>
      <c r="AU123" s="142" t="e">
        <f t="shared" ca="1" si="6"/>
        <v>#VALUE!</v>
      </c>
      <c r="AX123" s="490"/>
    </row>
    <row r="124" spans="1:50" s="138" customFormat="1" hidden="1" x14ac:dyDescent="0.3">
      <c r="A124" s="142"/>
      <c r="B124" s="4"/>
      <c r="F124" s="693">
        <f>Administration!J35</f>
        <v>0</v>
      </c>
      <c r="O124" s="139"/>
      <c r="Q124" s="219"/>
      <c r="AJ124" s="142"/>
      <c r="AM124" s="219"/>
      <c r="AU124" s="142" t="e">
        <f t="shared" ca="1" si="6"/>
        <v>#VALUE!</v>
      </c>
      <c r="AX124" s="490"/>
    </row>
    <row r="125" spans="1:50" s="138" customFormat="1" hidden="1" x14ac:dyDescent="0.3">
      <c r="A125" s="142"/>
      <c r="B125" s="4"/>
      <c r="F125" s="693">
        <f>Administration!J36</f>
        <v>0</v>
      </c>
      <c r="O125" s="139"/>
      <c r="Q125" s="219"/>
      <c r="AJ125" s="142"/>
      <c r="AM125" s="219"/>
      <c r="AU125" s="142" t="e">
        <f t="shared" ca="1" si="6"/>
        <v>#VALUE!</v>
      </c>
      <c r="AX125" s="490"/>
    </row>
    <row r="126" spans="1:50" s="138" customFormat="1" hidden="1" x14ac:dyDescent="0.3">
      <c r="A126" s="142"/>
      <c r="B126" s="4"/>
      <c r="F126" s="693">
        <f>Administration!J37</f>
        <v>0</v>
      </c>
      <c r="O126" s="139"/>
      <c r="Q126" s="219"/>
      <c r="AJ126" s="142"/>
      <c r="AM126" s="219"/>
      <c r="AU126" s="142" t="e">
        <f t="shared" ca="1" si="6"/>
        <v>#VALUE!</v>
      </c>
      <c r="AX126" s="490"/>
    </row>
    <row r="127" spans="1:50" s="138" customFormat="1" hidden="1" x14ac:dyDescent="0.3">
      <c r="A127" s="142"/>
      <c r="B127" s="4"/>
      <c r="F127" s="693">
        <f>Administration!J38</f>
        <v>0</v>
      </c>
      <c r="O127" s="139"/>
      <c r="Q127" s="219"/>
      <c r="AJ127" s="142"/>
      <c r="AM127" s="219"/>
      <c r="AU127" s="142" t="e">
        <f t="shared" ca="1" si="6"/>
        <v>#VALUE!</v>
      </c>
      <c r="AX127" s="490"/>
    </row>
    <row r="128" spans="1:50" s="138" customFormat="1" hidden="1" x14ac:dyDescent="0.3">
      <c r="A128" s="142"/>
      <c r="B128" s="4"/>
      <c r="F128" s="693">
        <f>Administration!J39</f>
        <v>0</v>
      </c>
      <c r="O128" s="139"/>
      <c r="Q128" s="219"/>
      <c r="AJ128" s="142"/>
      <c r="AM128" s="219"/>
      <c r="AU128" s="142" t="e">
        <f t="shared" ca="1" si="6"/>
        <v>#VALUE!</v>
      </c>
      <c r="AX128" s="490"/>
    </row>
    <row r="129" spans="1:50" s="138" customFormat="1" hidden="1" x14ac:dyDescent="0.3">
      <c r="A129" s="142"/>
      <c r="B129" s="4"/>
      <c r="F129" s="693">
        <f>Administration!J40</f>
        <v>0</v>
      </c>
      <c r="O129" s="139"/>
      <c r="Q129" s="219"/>
      <c r="AJ129" s="142"/>
      <c r="AM129" s="219"/>
      <c r="AU129" s="142" t="e">
        <f t="shared" ca="1" si="6"/>
        <v>#VALUE!</v>
      </c>
      <c r="AX129" s="490"/>
    </row>
    <row r="130" spans="1:50" s="138" customFormat="1" hidden="1" x14ac:dyDescent="0.3">
      <c r="A130" s="142"/>
      <c r="B130" s="4"/>
      <c r="F130" s="693">
        <f>Administration!J41</f>
        <v>0</v>
      </c>
      <c r="O130" s="139"/>
      <c r="Q130" s="219"/>
      <c r="AJ130" s="142"/>
      <c r="AM130" s="219"/>
      <c r="AU130" s="142" t="e">
        <f t="shared" ca="1" si="6"/>
        <v>#VALUE!</v>
      </c>
      <c r="AX130" s="490"/>
    </row>
    <row r="131" spans="1:50" s="138" customFormat="1" hidden="1" x14ac:dyDescent="0.3">
      <c r="A131" s="142"/>
      <c r="B131" s="4"/>
      <c r="F131" s="693">
        <f>Administration!J42</f>
        <v>0</v>
      </c>
      <c r="O131" s="139"/>
      <c r="Q131" s="219"/>
      <c r="AJ131" s="142"/>
      <c r="AM131" s="219"/>
      <c r="AU131" s="142" t="e">
        <f t="shared" ca="1" si="6"/>
        <v>#VALUE!</v>
      </c>
      <c r="AX131" s="490"/>
    </row>
    <row r="132" spans="1:50" s="138" customFormat="1" hidden="1" x14ac:dyDescent="0.3">
      <c r="A132" s="142"/>
      <c r="B132" s="4"/>
      <c r="F132" s="693">
        <f>Administration!J43</f>
        <v>0</v>
      </c>
      <c r="O132" s="139"/>
      <c r="Q132" s="219"/>
      <c r="AJ132" s="142"/>
      <c r="AM132" s="219"/>
      <c r="AU132" s="142" t="e">
        <f t="shared" ca="1" si="6"/>
        <v>#VALUE!</v>
      </c>
      <c r="AX132" s="490"/>
    </row>
    <row r="133" spans="1:50" s="138" customFormat="1" hidden="1" x14ac:dyDescent="0.3">
      <c r="A133" s="142"/>
      <c r="B133" s="4"/>
      <c r="F133" s="693">
        <f>Administration!J44</f>
        <v>0</v>
      </c>
      <c r="O133" s="139"/>
      <c r="Q133" s="219"/>
      <c r="AJ133" s="142"/>
      <c r="AM133" s="219"/>
      <c r="AU133" s="142" t="e">
        <f t="shared" ca="1" si="6"/>
        <v>#VALUE!</v>
      </c>
      <c r="AX133" s="490"/>
    </row>
    <row r="134" spans="1:50" s="138" customFormat="1" hidden="1" x14ac:dyDescent="0.3">
      <c r="A134" s="142"/>
      <c r="B134" s="4"/>
      <c r="F134" s="693">
        <f>Administration!J45</f>
        <v>0</v>
      </c>
      <c r="O134" s="139"/>
      <c r="Q134" s="219"/>
      <c r="AJ134" s="142"/>
      <c r="AM134" s="219"/>
      <c r="AU134" s="142" t="e">
        <f t="shared" ca="1" si="6"/>
        <v>#VALUE!</v>
      </c>
      <c r="AX134" s="490"/>
    </row>
    <row r="135" spans="1:50" s="138" customFormat="1" hidden="1" x14ac:dyDescent="0.3">
      <c r="A135" s="142"/>
      <c r="B135" s="4"/>
      <c r="F135" s="693">
        <f>Administration!J46</f>
        <v>0</v>
      </c>
      <c r="O135" s="139"/>
      <c r="Q135" s="219"/>
      <c r="AJ135" s="142"/>
      <c r="AM135" s="219"/>
      <c r="AU135" s="142" t="e">
        <f t="shared" ca="1" si="6"/>
        <v>#VALUE!</v>
      </c>
      <c r="AX135" s="490"/>
    </row>
    <row r="136" spans="1:50" s="138" customFormat="1" hidden="1" x14ac:dyDescent="0.3">
      <c r="A136" s="142"/>
      <c r="B136" s="4"/>
      <c r="F136" s="693">
        <f>Administration!J47</f>
        <v>0</v>
      </c>
      <c r="O136" s="139"/>
      <c r="Q136" s="219"/>
      <c r="AJ136" s="142"/>
      <c r="AM136" s="219"/>
      <c r="AU136" s="142" t="e">
        <f t="shared" ca="1" si="6"/>
        <v>#VALUE!</v>
      </c>
      <c r="AX136" s="490"/>
    </row>
    <row r="137" spans="1:50" s="138" customFormat="1" hidden="1" x14ac:dyDescent="0.3">
      <c r="A137" s="142"/>
      <c r="B137" s="4"/>
      <c r="F137" s="693">
        <f>Administration!J48</f>
        <v>0</v>
      </c>
      <c r="O137" s="139"/>
      <c r="Q137" s="219"/>
      <c r="AJ137" s="142"/>
      <c r="AM137" s="219"/>
      <c r="AU137" s="142" t="e">
        <f t="shared" ca="1" si="6"/>
        <v>#VALUE!</v>
      </c>
      <c r="AX137" s="490"/>
    </row>
    <row r="138" spans="1:50" s="138" customFormat="1" hidden="1" x14ac:dyDescent="0.3">
      <c r="A138" s="142"/>
      <c r="B138" s="4"/>
      <c r="F138" s="693">
        <f>Administration!J49</f>
        <v>0</v>
      </c>
      <c r="O138" s="139"/>
      <c r="Q138" s="219"/>
      <c r="AJ138" s="142"/>
      <c r="AM138" s="219"/>
      <c r="AU138" s="142" t="e">
        <f t="shared" ca="1" si="6"/>
        <v>#VALUE!</v>
      </c>
      <c r="AX138" s="490"/>
    </row>
    <row r="139" spans="1:50" s="138" customFormat="1" hidden="1" x14ac:dyDescent="0.3">
      <c r="A139" s="142"/>
      <c r="B139" s="4"/>
      <c r="F139" s="693">
        <f>Administration!J50</f>
        <v>0</v>
      </c>
      <c r="O139" s="139"/>
      <c r="Q139" s="219"/>
      <c r="AJ139" s="142"/>
      <c r="AM139" s="219"/>
      <c r="AU139" s="142" t="e">
        <f t="shared" ca="1" si="6"/>
        <v>#VALUE!</v>
      </c>
      <c r="AX139" s="490"/>
    </row>
    <row r="140" spans="1:50" s="138" customFormat="1" hidden="1" x14ac:dyDescent="0.3">
      <c r="A140" s="142"/>
      <c r="B140" s="4"/>
      <c r="F140" s="693">
        <f>Administration!J51</f>
        <v>0</v>
      </c>
      <c r="O140" s="139"/>
      <c r="Q140" s="219"/>
      <c r="AJ140" s="142"/>
      <c r="AM140" s="219"/>
      <c r="AU140" s="142" t="e">
        <f t="shared" ca="1" si="6"/>
        <v>#VALUE!</v>
      </c>
      <c r="AX140" s="490"/>
    </row>
    <row r="141" spans="1:50" s="138" customFormat="1" hidden="1" x14ac:dyDescent="0.3">
      <c r="A141" s="142"/>
      <c r="B141" s="4"/>
      <c r="F141" s="693">
        <f>Administration!J52</f>
        <v>0</v>
      </c>
      <c r="O141" s="139"/>
      <c r="Q141" s="219"/>
      <c r="AJ141" s="142"/>
      <c r="AM141" s="219"/>
      <c r="AU141" s="142" t="e">
        <f t="shared" ca="1" si="6"/>
        <v>#VALUE!</v>
      </c>
      <c r="AX141" s="490"/>
    </row>
    <row r="142" spans="1:50" s="138" customFormat="1" hidden="1" x14ac:dyDescent="0.3">
      <c r="A142" s="142"/>
      <c r="B142" s="4"/>
      <c r="F142" s="693">
        <f>Administration!J53</f>
        <v>0</v>
      </c>
      <c r="O142" s="139"/>
      <c r="Q142" s="219"/>
      <c r="AJ142" s="142"/>
      <c r="AM142" s="219"/>
      <c r="AU142" s="142" t="e">
        <f t="shared" ca="1" si="6"/>
        <v>#VALUE!</v>
      </c>
      <c r="AX142" s="490"/>
    </row>
    <row r="143" spans="1:50" s="138" customFormat="1" hidden="1" x14ac:dyDescent="0.3">
      <c r="A143" s="142"/>
      <c r="B143" s="4"/>
      <c r="F143" s="693">
        <f>Administration!J54</f>
        <v>0</v>
      </c>
      <c r="O143" s="139"/>
      <c r="Q143" s="219"/>
      <c r="AJ143" s="142"/>
      <c r="AM143" s="219"/>
      <c r="AU143" s="142" t="e">
        <f t="shared" ca="1" si="6"/>
        <v>#VALUE!</v>
      </c>
      <c r="AX143" s="490"/>
    </row>
    <row r="144" spans="1:50" s="138" customFormat="1" hidden="1" x14ac:dyDescent="0.3">
      <c r="A144" s="142"/>
      <c r="B144" s="4"/>
      <c r="F144" s="693">
        <f>Administration!J55</f>
        <v>0</v>
      </c>
      <c r="O144" s="139"/>
      <c r="Q144" s="219"/>
      <c r="AJ144" s="142"/>
      <c r="AM144" s="219"/>
      <c r="AU144" s="142" t="e">
        <f t="shared" ca="1" si="6"/>
        <v>#VALUE!</v>
      </c>
      <c r="AX144" s="490"/>
    </row>
    <row r="145" spans="1:50" s="138" customFormat="1" hidden="1" x14ac:dyDescent="0.3">
      <c r="A145" s="142"/>
      <c r="B145" s="4"/>
      <c r="F145" s="693">
        <f>Administration!J56</f>
        <v>0</v>
      </c>
      <c r="O145" s="139"/>
      <c r="Q145" s="219"/>
      <c r="AJ145" s="142"/>
      <c r="AM145" s="219"/>
      <c r="AU145" s="142" t="e">
        <f t="shared" ca="1" si="6"/>
        <v>#VALUE!</v>
      </c>
      <c r="AX145" s="490"/>
    </row>
    <row r="146" spans="1:50" s="138" customFormat="1" hidden="1" x14ac:dyDescent="0.3">
      <c r="A146" s="142"/>
      <c r="B146" s="4"/>
      <c r="F146" s="693">
        <f>Administration!J57</f>
        <v>0</v>
      </c>
      <c r="O146" s="139"/>
      <c r="Q146" s="219"/>
      <c r="AJ146" s="142"/>
      <c r="AM146" s="219"/>
      <c r="AU146" s="142" t="e">
        <f t="shared" ca="1" si="6"/>
        <v>#VALUE!</v>
      </c>
      <c r="AX146" s="490"/>
    </row>
    <row r="147" spans="1:50" s="138" customFormat="1" hidden="1" x14ac:dyDescent="0.3">
      <c r="A147" s="142"/>
      <c r="B147" s="4"/>
      <c r="F147" s="693">
        <f>Administration!J58</f>
        <v>0</v>
      </c>
      <c r="O147" s="139"/>
      <c r="Q147" s="219"/>
      <c r="AJ147" s="142"/>
      <c r="AM147" s="219"/>
      <c r="AU147" s="142" t="e">
        <f t="shared" ca="1" si="6"/>
        <v>#VALUE!</v>
      </c>
      <c r="AX147" s="490"/>
    </row>
    <row r="148" spans="1:50" s="138" customFormat="1" hidden="1" x14ac:dyDescent="0.3">
      <c r="A148" s="142"/>
      <c r="B148" s="4"/>
      <c r="F148" s="693">
        <f>Administration!J59</f>
        <v>0</v>
      </c>
      <c r="O148" s="139"/>
      <c r="Q148" s="219"/>
      <c r="AJ148" s="142"/>
      <c r="AM148" s="219"/>
      <c r="AU148" s="142" t="e">
        <f t="shared" ca="1" si="6"/>
        <v>#VALUE!</v>
      </c>
      <c r="AX148" s="490"/>
    </row>
    <row r="149" spans="1:50" s="138" customFormat="1" hidden="1" x14ac:dyDescent="0.3">
      <c r="A149" s="142"/>
      <c r="B149" s="4"/>
      <c r="F149" s="693">
        <f>Administration!J60</f>
        <v>0</v>
      </c>
      <c r="O149" s="139"/>
      <c r="Q149" s="219"/>
      <c r="AJ149" s="142"/>
      <c r="AM149" s="219"/>
      <c r="AU149" s="142" t="e">
        <f t="shared" ca="1" si="6"/>
        <v>#VALUE!</v>
      </c>
      <c r="AX149" s="490"/>
    </row>
    <row r="150" spans="1:50" s="138" customFormat="1" hidden="1" x14ac:dyDescent="0.3">
      <c r="A150" s="142"/>
      <c r="B150" s="4"/>
      <c r="F150" s="693">
        <f>Administration!J61</f>
        <v>0</v>
      </c>
      <c r="O150" s="139"/>
      <c r="Q150" s="219"/>
      <c r="AJ150" s="142"/>
      <c r="AM150" s="219"/>
      <c r="AU150" s="142" t="e">
        <f t="shared" ca="1" si="6"/>
        <v>#VALUE!</v>
      </c>
      <c r="AX150" s="490"/>
    </row>
    <row r="151" spans="1:50" s="138" customFormat="1" hidden="1" x14ac:dyDescent="0.3">
      <c r="A151" s="142"/>
      <c r="B151" s="4"/>
      <c r="F151" s="693">
        <f>Administration!J62</f>
        <v>0</v>
      </c>
      <c r="O151" s="139"/>
      <c r="Q151" s="219"/>
      <c r="AJ151" s="142"/>
      <c r="AM151" s="219"/>
      <c r="AU151" s="142" t="e">
        <f t="shared" ca="1" si="6"/>
        <v>#VALUE!</v>
      </c>
      <c r="AX151" s="490"/>
    </row>
    <row r="152" spans="1:50" s="138" customFormat="1" hidden="1" x14ac:dyDescent="0.3">
      <c r="A152" s="142"/>
      <c r="B152" s="4"/>
      <c r="F152" s="693">
        <f>Administration!J63</f>
        <v>0</v>
      </c>
      <c r="O152" s="139"/>
      <c r="Q152" s="219"/>
      <c r="AJ152" s="142"/>
      <c r="AM152" s="219"/>
      <c r="AU152" s="142" t="e">
        <f t="shared" ca="1" si="6"/>
        <v>#VALUE!</v>
      </c>
      <c r="AX152" s="490"/>
    </row>
    <row r="153" spans="1:50" s="138" customFormat="1" hidden="1" x14ac:dyDescent="0.3">
      <c r="A153" s="142"/>
      <c r="B153" s="4"/>
      <c r="O153" s="139"/>
      <c r="Q153" s="219"/>
      <c r="AJ153" s="142"/>
      <c r="AM153" s="219"/>
      <c r="AU153" s="142" t="e">
        <f t="shared" ca="1" si="6"/>
        <v>#VALUE!</v>
      </c>
      <c r="AX153" s="490"/>
    </row>
  </sheetData>
  <sheetProtection password="F6CE" sheet="1" objects="1" scenarios="1"/>
  <dataConsolidate/>
  <mergeCells count="45">
    <mergeCell ref="I30:J30"/>
    <mergeCell ref="I37:K37"/>
    <mergeCell ref="I36:K36"/>
    <mergeCell ref="I25:K25"/>
    <mergeCell ref="E61:F67"/>
    <mergeCell ref="R95:T95"/>
    <mergeCell ref="O40:V41"/>
    <mergeCell ref="H46:K46"/>
    <mergeCell ref="M70:M71"/>
    <mergeCell ref="I49:K49"/>
    <mergeCell ref="I52:K52"/>
    <mergeCell ref="N67:O67"/>
    <mergeCell ref="F71:H72"/>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110" priority="13" stopIfTrue="1">
      <formula>H50&gt;0</formula>
    </cfRule>
  </conditionalFormatting>
  <conditionalFormatting sqref="E56 E45">
    <cfRule type="expression" dxfId="109" priority="14" stopIfTrue="1">
      <formula>O45=1</formula>
    </cfRule>
  </conditionalFormatting>
  <conditionalFormatting sqref="E55">
    <cfRule type="expression" dxfId="108" priority="16" stopIfTrue="1">
      <formula>Q55=1</formula>
    </cfRule>
  </conditionalFormatting>
  <conditionalFormatting sqref="F56:G56">
    <cfRule type="expression" dxfId="107" priority="17" stopIfTrue="1">
      <formula>O56=1</formula>
    </cfRule>
  </conditionalFormatting>
  <conditionalFormatting sqref="F55:G55 G40">
    <cfRule type="expression" dxfId="106" priority="18" stopIfTrue="1">
      <formula>Q40=1</formula>
    </cfRule>
  </conditionalFormatting>
  <conditionalFormatting sqref="E44">
    <cfRule type="expression" dxfId="105" priority="19" stopIfTrue="1">
      <formula>M44&gt;1</formula>
    </cfRule>
  </conditionalFormatting>
  <conditionalFormatting sqref="E46">
    <cfRule type="expression" dxfId="104" priority="20" stopIfTrue="1">
      <formula>OR(T46=1,Q48=0)</formula>
    </cfRule>
  </conditionalFormatting>
  <conditionalFormatting sqref="F46:G46">
    <cfRule type="expression" dxfId="103" priority="21" stopIfTrue="1">
      <formula>OR(T46=1,Q48=0)</formula>
    </cfRule>
  </conditionalFormatting>
  <conditionalFormatting sqref="F39:G39">
    <cfRule type="expression" dxfId="102" priority="24" stopIfTrue="1">
      <formula>B39="Yes"</formula>
    </cfRule>
  </conditionalFormatting>
  <conditionalFormatting sqref="E39">
    <cfRule type="expression" dxfId="101" priority="25" stopIfTrue="1">
      <formula>B39="Yes"</formula>
    </cfRule>
  </conditionalFormatting>
  <conditionalFormatting sqref="F23">
    <cfRule type="expression" dxfId="100" priority="26" stopIfTrue="1">
      <formula>M23&lt;0</formula>
    </cfRule>
  </conditionalFormatting>
  <conditionalFormatting sqref="E23">
    <cfRule type="expression" dxfId="99" priority="27" stopIfTrue="1">
      <formula>M23&lt;0</formula>
    </cfRule>
  </conditionalFormatting>
  <conditionalFormatting sqref="F48:G48">
    <cfRule type="expression" dxfId="98" priority="28" stopIfTrue="1">
      <formula>T48=1</formula>
    </cfRule>
  </conditionalFormatting>
  <conditionalFormatting sqref="E48">
    <cfRule type="expression" dxfId="97" priority="29" stopIfTrue="1">
      <formula>T48=1</formula>
    </cfRule>
  </conditionalFormatting>
  <conditionalFormatting sqref="F44:G44">
    <cfRule type="expression" dxfId="96" priority="31" stopIfTrue="1">
      <formula>AND(O45=1,R45=1)</formula>
    </cfRule>
  </conditionalFormatting>
  <conditionalFormatting sqref="F45:G45">
    <cfRule type="expression" dxfId="95" priority="32" stopIfTrue="1">
      <formula>AND(O45=1,R45=1)</formula>
    </cfRule>
  </conditionalFormatting>
  <conditionalFormatting sqref="E20">
    <cfRule type="expression" dxfId="94" priority="33" stopIfTrue="1">
      <formula>H20&gt;0</formula>
    </cfRule>
  </conditionalFormatting>
  <conditionalFormatting sqref="F20:G20">
    <cfRule type="expression" dxfId="93" priority="34" stopIfTrue="1">
      <formula>H20&gt;0</formula>
    </cfRule>
  </conditionalFormatting>
  <conditionalFormatting sqref="F36:F37">
    <cfRule type="expression" dxfId="92" priority="35" stopIfTrue="1">
      <formula>AND(H36&gt;0%,M36&lt;0)</formula>
    </cfRule>
  </conditionalFormatting>
  <conditionalFormatting sqref="E36:E37">
    <cfRule type="expression" dxfId="91" priority="36" stopIfTrue="1">
      <formula>AND(H36&gt;0%,M36&lt;0)</formula>
    </cfRule>
  </conditionalFormatting>
  <conditionalFormatting sqref="E47">
    <cfRule type="expression" dxfId="90" priority="37" stopIfTrue="1">
      <formula>R64=1</formula>
    </cfRule>
  </conditionalFormatting>
  <conditionalFormatting sqref="F51:G51">
    <cfRule type="expression" dxfId="89" priority="39" stopIfTrue="1">
      <formula>AND($H$51&gt;0,Z49=1,Y49=1)</formula>
    </cfRule>
  </conditionalFormatting>
  <conditionalFormatting sqref="E51">
    <cfRule type="expression" dxfId="88" priority="40" stopIfTrue="1">
      <formula>AND($H$51&gt;0,Z49=1,Y49=1)</formula>
    </cfRule>
  </conditionalFormatting>
  <conditionalFormatting sqref="E60">
    <cfRule type="expression" dxfId="87" priority="41" stopIfTrue="1">
      <formula>C60=1</formula>
    </cfRule>
  </conditionalFormatting>
  <conditionalFormatting sqref="M19:M20 M22 M30 M36:M37 M39:M57">
    <cfRule type="expression" dxfId="86" priority="42" stopIfTrue="1">
      <formula>L19=1</formula>
    </cfRule>
  </conditionalFormatting>
  <conditionalFormatting sqref="M29 M23 M25">
    <cfRule type="expression" dxfId="85" priority="43" stopIfTrue="1">
      <formula>O23=1</formula>
    </cfRule>
  </conditionalFormatting>
  <conditionalFormatting sqref="E58:E59">
    <cfRule type="expression" dxfId="84" priority="45" stopIfTrue="1">
      <formula>O58=1</formula>
    </cfRule>
  </conditionalFormatting>
  <conditionalFormatting sqref="E21">
    <cfRule type="expression" dxfId="83" priority="48" stopIfTrue="1">
      <formula>OR(B21="Free",Q21=1)</formula>
    </cfRule>
  </conditionalFormatting>
  <conditionalFormatting sqref="E25">
    <cfRule type="expression" dxfId="82" priority="50" stopIfTrue="1">
      <formula>OR($R$25&gt;1,AA25=1)</formula>
    </cfRule>
  </conditionalFormatting>
  <conditionalFormatting sqref="I36">
    <cfRule type="expression" dxfId="81" priority="51" stopIfTrue="1">
      <formula>OR(H36&gt;R36,I36="NCB Not Allowed")</formula>
    </cfRule>
  </conditionalFormatting>
  <conditionalFormatting sqref="E57">
    <cfRule type="expression" dxfId="80" priority="54" stopIfTrue="1">
      <formula>M57&gt;1</formula>
    </cfRule>
  </conditionalFormatting>
  <conditionalFormatting sqref="H53">
    <cfRule type="expression" dxfId="79" priority="55" stopIfTrue="1">
      <formula>T48=0</formula>
    </cfRule>
  </conditionalFormatting>
  <conditionalFormatting sqref="F25">
    <cfRule type="expression" dxfId="78" priority="56" stopIfTrue="1">
      <formula>OR($R$25&gt;1,AA25=1)</formula>
    </cfRule>
  </conditionalFormatting>
  <conditionalFormatting sqref="F26">
    <cfRule type="expression" dxfId="77" priority="57" stopIfTrue="1">
      <formula>H25&gt;0</formula>
    </cfRule>
  </conditionalFormatting>
  <conditionalFormatting sqref="H26">
    <cfRule type="expression" dxfId="76" priority="58" stopIfTrue="1">
      <formula>H25&gt;0</formula>
    </cfRule>
  </conditionalFormatting>
  <conditionalFormatting sqref="K26">
    <cfRule type="expression" dxfId="75" priority="59" stopIfTrue="1">
      <formula>H25&gt;0</formula>
    </cfRule>
  </conditionalFormatting>
  <conditionalFormatting sqref="I29:J29">
    <cfRule type="expression" dxfId="74" priority="60" stopIfTrue="1">
      <formula>M29=0</formula>
    </cfRule>
  </conditionalFormatting>
  <conditionalFormatting sqref="I27">
    <cfRule type="expression" dxfId="73" priority="62" stopIfTrue="1">
      <formula>OR($R$25&gt;1,AA25=1)</formula>
    </cfRule>
  </conditionalFormatting>
  <conditionalFormatting sqref="L25">
    <cfRule type="expression" dxfId="72" priority="63" stopIfTrue="1">
      <formula>OR($R$25&gt;1,AA25=1)</formula>
    </cfRule>
  </conditionalFormatting>
  <conditionalFormatting sqref="G42">
    <cfRule type="expression" dxfId="71" priority="64" stopIfTrue="1">
      <formula>AND(R41=1,R40=1)</formula>
    </cfRule>
  </conditionalFormatting>
  <conditionalFormatting sqref="E40">
    <cfRule type="expression" dxfId="70" priority="65" stopIfTrue="1">
      <formula>Q38=1</formula>
    </cfRule>
  </conditionalFormatting>
  <conditionalFormatting sqref="F40">
    <cfRule type="expression" dxfId="69" priority="66" stopIfTrue="1">
      <formula>Q38=1</formula>
    </cfRule>
  </conditionalFormatting>
  <conditionalFormatting sqref="E42">
    <cfRule type="expression" dxfId="68" priority="67" stopIfTrue="1">
      <formula>AND(Q39=1,Q38=1)</formula>
    </cfRule>
  </conditionalFormatting>
  <conditionalFormatting sqref="F42">
    <cfRule type="expression" dxfId="67" priority="68" stopIfTrue="1">
      <formula>AND(Q39=1,Q38=1)</formula>
    </cfRule>
  </conditionalFormatting>
  <conditionalFormatting sqref="E53">
    <cfRule type="expression" dxfId="66" priority="79" stopIfTrue="1">
      <formula>AND(H53&gt;1000,T48=1,Z50=1,O53=1)</formula>
    </cfRule>
  </conditionalFormatting>
  <conditionalFormatting sqref="G4">
    <cfRule type="expression" dxfId="65" priority="86" stopIfTrue="1">
      <formula>D3=1</formula>
    </cfRule>
  </conditionalFormatting>
  <conditionalFormatting sqref="H4">
    <cfRule type="expression" dxfId="64" priority="87" stopIfTrue="1">
      <formula>D3=1</formula>
    </cfRule>
  </conditionalFormatting>
  <conditionalFormatting sqref="I4:J4">
    <cfRule type="expression" dxfId="63" priority="88" stopIfTrue="1">
      <formula>D3=1</formula>
    </cfRule>
  </conditionalFormatting>
  <conditionalFormatting sqref="G5">
    <cfRule type="expression" dxfId="62" priority="89" stopIfTrue="1">
      <formula>D3=1</formula>
    </cfRule>
  </conditionalFormatting>
  <conditionalFormatting sqref="I5:J5">
    <cfRule type="expression" dxfId="61" priority="90" stopIfTrue="1">
      <formula>D3=1</formula>
    </cfRule>
  </conditionalFormatting>
  <conditionalFormatting sqref="H5">
    <cfRule type="expression" dxfId="60" priority="91" stopIfTrue="1">
      <formula>D3=1</formula>
    </cfRule>
  </conditionalFormatting>
  <conditionalFormatting sqref="M5">
    <cfRule type="expression" dxfId="59" priority="92" stopIfTrue="1">
      <formula>D3=1</formula>
    </cfRule>
  </conditionalFormatting>
  <conditionalFormatting sqref="I3:J3">
    <cfRule type="expression" dxfId="58" priority="93" stopIfTrue="1">
      <formula>D3=1</formula>
    </cfRule>
  </conditionalFormatting>
  <conditionalFormatting sqref="E22">
    <cfRule type="expression" dxfId="57" priority="94" stopIfTrue="1">
      <formula>I22&gt;1000</formula>
    </cfRule>
  </conditionalFormatting>
  <conditionalFormatting sqref="F22">
    <cfRule type="expression" dxfId="56" priority="96" stopIfTrue="1">
      <formula>I22&gt;1</formula>
    </cfRule>
  </conditionalFormatting>
  <conditionalFormatting sqref="K8">
    <cfRule type="expression" dxfId="55" priority="85" stopIfTrue="1">
      <formula>M8=L8</formula>
    </cfRule>
  </conditionalFormatting>
  <conditionalFormatting sqref="I24:J24">
    <cfRule type="expression" dxfId="54" priority="178" stopIfTrue="1">
      <formula>AND(C24=1,U23=0)</formula>
    </cfRule>
  </conditionalFormatting>
  <conditionalFormatting sqref="F49:G49">
    <cfRule type="expression" dxfId="53" priority="22" stopIfTrue="1">
      <formula>OR(Q49&gt;0,H49&gt;0)</formula>
    </cfRule>
  </conditionalFormatting>
  <conditionalFormatting sqref="F47:G47">
    <cfRule type="expression" dxfId="52" priority="38" stopIfTrue="1">
      <formula>AND(H47&gt;1,T47=1,Z49=1)</formula>
    </cfRule>
  </conditionalFormatting>
  <conditionalFormatting sqref="F21:G21">
    <cfRule type="expression" dxfId="51" priority="49" stopIfTrue="1">
      <formula>OR(B21="Free",Q21=1)</formula>
    </cfRule>
  </conditionalFormatting>
  <conditionalFormatting sqref="E29">
    <cfRule type="expression" dxfId="50" priority="52" stopIfTrue="1">
      <formula>AND(R29&gt;1,Z49=1,Y49=1)</formula>
    </cfRule>
  </conditionalFormatting>
  <conditionalFormatting sqref="F29:G29">
    <cfRule type="expression" dxfId="49" priority="53" stopIfTrue="1">
      <formula>AND(R29&gt;1,Z49=1,Y49=1)</formula>
    </cfRule>
  </conditionalFormatting>
  <conditionalFormatting sqref="E41">
    <cfRule type="expression" dxfId="48" priority="184" stopIfTrue="1">
      <formula>AND($C$40=1,D41=1)</formula>
    </cfRule>
  </conditionalFormatting>
  <conditionalFormatting sqref="G41">
    <cfRule type="expression" dxfId="47" priority="185" stopIfTrue="1">
      <formula>AND($C$40=1,M30&gt;0)</formula>
    </cfRule>
  </conditionalFormatting>
  <conditionalFormatting sqref="F41">
    <cfRule type="expression" dxfId="46" priority="186" stopIfTrue="1">
      <formula>E41=1</formula>
    </cfRule>
  </conditionalFormatting>
  <conditionalFormatting sqref="K41">
    <cfRule type="expression" dxfId="45" priority="187" stopIfTrue="1">
      <formula>AND(Z42&gt;0,J41=1)</formula>
    </cfRule>
  </conditionalFormatting>
  <conditionalFormatting sqref="J41">
    <cfRule type="expression" dxfId="44" priority="188" stopIfTrue="1">
      <formula>AND($C$40=1,OR(H50&gt;0,H51&gt;0))</formula>
    </cfRule>
  </conditionalFormatting>
  <conditionalFormatting sqref="F43 K43">
    <cfRule type="expression" dxfId="43" priority="189" stopIfTrue="1">
      <formula>AND(E43=1,E41=1)</formula>
    </cfRule>
  </conditionalFormatting>
  <conditionalFormatting sqref="G43">
    <cfRule type="expression" dxfId="42" priority="190" stopIfTrue="1">
      <formula>AND($C$40=1,$C$42=1,M30&gt;0)</formula>
    </cfRule>
  </conditionalFormatting>
  <conditionalFormatting sqref="E43">
    <cfRule type="expression" dxfId="41" priority="191" stopIfTrue="1">
      <formula>AND($C$40=1,$C$42=1,D41=1)</formula>
    </cfRule>
  </conditionalFormatting>
  <conditionalFormatting sqref="J43">
    <cfRule type="expression" dxfId="40" priority="192" stopIfTrue="1">
      <formula>AND($C$40=1,$C$42=1,OR(H50&gt;0,H51&gt;0))</formula>
    </cfRule>
  </conditionalFormatting>
  <conditionalFormatting sqref="H58:H59">
    <cfRule type="expression" dxfId="39" priority="195" stopIfTrue="1">
      <formula>AND(C58=1,F58="")</formula>
    </cfRule>
  </conditionalFormatting>
  <conditionalFormatting sqref="H24">
    <cfRule type="expression" dxfId="38" priority="196" stopIfTrue="1">
      <formula>U23=0</formula>
    </cfRule>
  </conditionalFormatting>
  <conditionalFormatting sqref="I16:M17">
    <cfRule type="expression" dxfId="37" priority="200" stopIfTrue="1">
      <formula>R15=0</formula>
    </cfRule>
  </conditionalFormatting>
  <conditionalFormatting sqref="H41">
    <cfRule type="expression" dxfId="36" priority="209" stopIfTrue="1">
      <formula>AND($C$40=1,M30&gt;0,G41=1)</formula>
    </cfRule>
  </conditionalFormatting>
  <conditionalFormatting sqref="H43">
    <cfRule type="expression" dxfId="35" priority="210" stopIfTrue="1">
      <formula>AND($C$40=1,M30&gt;0,G43=1,G41=1)</formula>
    </cfRule>
  </conditionalFormatting>
  <conditionalFormatting sqref="O25 L22 L36:L37 L30 O23 L19:L20 O29 L39:L59">
    <cfRule type="expression" dxfId="34" priority="101" stopIfTrue="1">
      <formula>$C$2="Yes"</formula>
    </cfRule>
  </conditionalFormatting>
  <conditionalFormatting sqref="I41">
    <cfRule type="expression" dxfId="33" priority="82" stopIfTrue="1">
      <formula>AND(B40="Yes",T42="Yes",H25&gt;0,L27&gt;0)</formula>
    </cfRule>
  </conditionalFormatting>
  <conditionalFormatting sqref="I43">
    <cfRule type="expression" dxfId="32" priority="83" stopIfTrue="1">
      <formula>AND(B40="Yes",T42="Yes",H25&gt;0,L27&gt;0,B41="Yes",T43="Yes")</formula>
    </cfRule>
  </conditionalFormatting>
  <conditionalFormatting sqref="E30">
    <cfRule type="expression" dxfId="31" priority="98" stopIfTrue="1">
      <formula>AND(H30&gt;1,C30="Yes",AA2=1,Z49=1,Y49=1)</formula>
    </cfRule>
  </conditionalFormatting>
  <conditionalFormatting sqref="H42 I49:J49 H44 K42 K44">
    <cfRule type="cellIs" dxfId="30" priority="105" stopIfTrue="1" operator="equal">
      <formula>0</formula>
    </cfRule>
  </conditionalFormatting>
  <conditionalFormatting sqref="K47">
    <cfRule type="cellIs" dxfId="29" priority="100" stopIfTrue="1" operator="equal">
      <formula>0</formula>
    </cfRule>
  </conditionalFormatting>
  <conditionalFormatting sqref="F54:G54">
    <cfRule type="expression" dxfId="28" priority="103" stopIfTrue="1">
      <formula>$H$54&gt;0</formula>
    </cfRule>
  </conditionalFormatting>
  <conditionalFormatting sqref="F50:G50">
    <cfRule type="expression" dxfId="27" priority="104" stopIfTrue="1">
      <formula>$H$50&gt;0</formula>
    </cfRule>
  </conditionalFormatting>
  <conditionalFormatting sqref="F57:G60">
    <cfRule type="cellIs" dxfId="26" priority="106" stopIfTrue="1" operator="equal">
      <formula>"."</formula>
    </cfRule>
  </conditionalFormatting>
  <conditionalFormatting sqref="K48">
    <cfRule type="cellIs" dxfId="25" priority="107" stopIfTrue="1" operator="equal">
      <formula>0</formula>
    </cfRule>
  </conditionalFormatting>
  <conditionalFormatting sqref="I52:K53">
    <cfRule type="cellIs" dxfId="24" priority="116" stopIfTrue="1" operator="equal">
      <formula>"Enter Number of Air Bags"</formula>
    </cfRule>
  </conditionalFormatting>
  <conditionalFormatting sqref="K15">
    <cfRule type="cellIs" dxfId="23" priority="222" stopIfTrue="1" operator="equal">
      <formula>"Chinese Vehicles Covered"</formula>
    </cfRule>
  </conditionalFormatting>
  <conditionalFormatting sqref="K9:M9">
    <cfRule type="expression" dxfId="22" priority="114" stopIfTrue="1">
      <formula>OR($T$2=3,$W$2=0)</formula>
    </cfRule>
  </conditionalFormatting>
  <conditionalFormatting sqref="G22:G23">
    <cfRule type="expression" dxfId="21" priority="95" stopIfTrue="1">
      <formula>#REF!&gt;1</formula>
    </cfRule>
  </conditionalFormatting>
  <conditionalFormatting sqref="N25 N19:N20 N22:N23 N29:N30 N36:N37 N39:N57">
    <cfRule type="expression" dxfId="20" priority="102" stopIfTrue="1">
      <formula>$C$2="Yes"</formula>
    </cfRule>
  </conditionalFormatting>
  <conditionalFormatting sqref="H19">
    <cfRule type="cellIs" dxfId="19" priority="108" stopIfTrue="1" operator="equal">
      <formula>"This Quotation system is not valid anymore"</formula>
    </cfRule>
  </conditionalFormatting>
  <conditionalFormatting sqref="E26 G26 L26">
    <cfRule type="expression" dxfId="18" priority="109" stopIfTrue="1">
      <formula>$H$25&gt;0</formula>
    </cfRule>
  </conditionalFormatting>
  <conditionalFormatting sqref="I31:I34">
    <cfRule type="expression" dxfId="17" priority="112" stopIfTrue="1">
      <formula>$H$30=0</formula>
    </cfRule>
  </conditionalFormatting>
  <conditionalFormatting sqref="E32:E34">
    <cfRule type="expression" dxfId="16" priority="113" stopIfTrue="1">
      <formula>AND($H$30&gt;0,$O$31=1)</formula>
    </cfRule>
  </conditionalFormatting>
  <conditionalFormatting sqref="K22">
    <cfRule type="expression" dxfId="15" priority="117" stopIfTrue="1">
      <formula>$C$2="Yes"</formula>
    </cfRule>
  </conditionalFormatting>
  <conditionalFormatting sqref="K14:M14">
    <cfRule type="expression" dxfId="14" priority="233" stopIfTrue="1">
      <formula>$H$14="Yes"</formula>
    </cfRule>
  </conditionalFormatting>
  <conditionalFormatting sqref="K30">
    <cfRule type="expression" dxfId="13" priority="234" stopIfTrue="1">
      <formula>AND($H$30&gt;0,$O$31&gt;0)</formula>
    </cfRule>
  </conditionalFormatting>
  <conditionalFormatting sqref="F30">
    <cfRule type="expression" dxfId="12" priority="235" stopIfTrue="1">
      <formula>AND(H30&gt;1,C30="Yes",AA2=1,Z49=1,Y49=1)</formula>
    </cfRule>
  </conditionalFormatting>
  <conditionalFormatting sqref="I30:J30">
    <cfRule type="expression" dxfId="11" priority="236" stopIfTrue="1">
      <formula>AND($H$30&gt;0,$O$31&gt;0)</formula>
    </cfRule>
  </conditionalFormatting>
  <conditionalFormatting sqref="I25:K25">
    <cfRule type="expression" dxfId="10" priority="12" stopIfTrue="1">
      <formula>$H$25=0</formula>
    </cfRule>
  </conditionalFormatting>
  <conditionalFormatting sqref="E16:H17">
    <cfRule type="notContainsBlanks" dxfId="9" priority="238" stopIfTrue="1">
      <formula>LEN(TRIM(E16))&gt;0</formula>
    </cfRule>
  </conditionalFormatting>
  <conditionalFormatting sqref="E15:F15">
    <cfRule type="cellIs" dxfId="8" priority="10" stopIfTrue="1" operator="equal">
      <formula>"SUM COVERED - Above Retention"</formula>
    </cfRule>
  </conditionalFormatting>
  <conditionalFormatting sqref="M13">
    <cfRule type="expression" dxfId="7" priority="239" stopIfTrue="1">
      <formula>OR(L13="",L13=0)</formula>
    </cfRule>
  </conditionalFormatting>
  <conditionalFormatting sqref="AA1">
    <cfRule type="expression" dxfId="6" priority="7"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250" stopIfTrue="1">
      <formula>T47=0</formula>
    </cfRule>
  </conditionalFormatting>
  <conditionalFormatting sqref="F52:F53">
    <cfRule type="expression" dxfId="1" priority="251" stopIfTrue="1">
      <formula>AND($K$50&gt;0,T47=1,Z49=1,O52=1)</formula>
    </cfRule>
  </conditionalFormatting>
  <conditionalFormatting sqref="E52">
    <cfRule type="expression" dxfId="0"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400-000000000000}">
      <formula1>Q49</formula1>
    </dataValidation>
    <dataValidation type="whole" operator="lessThanOrEqual" allowBlank="1" showInputMessage="1" showErrorMessage="1" error="Limit Exceeded._x000a_M/R Not Allowed" sqref="H20" xr:uid="{00000000-0002-0000-0400-000001000000}">
      <formula1>T20</formula1>
    </dataValidation>
    <dataValidation type="whole" showInputMessage="1" showErrorMessage="1" sqref="H30" xr:uid="{00000000-0002-0000-0400-000002000000}">
      <formula1>0</formula1>
      <formula2>U30</formula2>
    </dataValidation>
    <dataValidation type="decimal" operator="lessThanOrEqual" showErrorMessage="1" promptTitle="MAXIMUM NCB ALLOWED" prompt="for Private Cars  - 75%_x000a_for Commercial    - 65%_x000a_for Motor Cycles - 35%" sqref="H36" xr:uid="{00000000-0002-0000-0400-000003000000}">
      <formula1>R36</formula1>
    </dataValidation>
    <dataValidation type="whole" operator="lessThan" showInputMessage="1" showErrorMessage="1" sqref="H18" xr:uid="{00000000-0002-0000-0400-000004000000}">
      <formula1>O16+1</formula1>
    </dataValidation>
    <dataValidation type="decimal" allowBlank="1" showInputMessage="1" showErrorMessage="1" error="MAXIMUM  60%" sqref="I24:J24" xr:uid="{00000000-0002-0000-0400-000005000000}">
      <formula1>0</formula1>
      <formula2>Q23</formula2>
    </dataValidation>
    <dataValidation type="whole" operator="lessThan" showInputMessage="1" showErrorMessage="1" sqref="I18:J18" xr:uid="{00000000-0002-0000-0400-000006000000}">
      <formula1>H15/2</formula1>
    </dataValidation>
    <dataValidation type="whole" operator="lessThan" showInputMessage="1" showErrorMessage="1" sqref="H15" xr:uid="{00000000-0002-0000-0400-000007000000}">
      <formula1>O15+1</formula1>
    </dataValidation>
    <dataValidation type="whole" allowBlank="1" showInputMessage="1" showErrorMessage="1" sqref="K50" xr:uid="{00000000-0002-0000-0400-000008000000}">
      <formula1>-1</formula1>
      <formula2>H15/4</formula2>
    </dataValidation>
    <dataValidation type="whole" errorStyle="warning" allowBlank="1" showInputMessage="1" showErrorMessage="1" error="Enter Value between Rs.2000/- and 50% of vehicle value" sqref="K22" xr:uid="{00000000-0002-0000-0400-000009000000}">
      <formula1>10000</formula1>
      <formula2>H15/2</formula2>
    </dataValidation>
    <dataValidation type="list" operator="lessThan" showInputMessage="1" showErrorMessage="1" sqref="H13" xr:uid="{00000000-0002-0000-0400-00000A000000}">
      <formula1>AU45:AU54</formula1>
    </dataValidation>
    <dataValidation type="decimal" showErrorMessage="1" promptTitle="MAXIMUM NCB ALLOWED" prompt="for Private Cars  - 75%_x000a_for Commercial    - 65%_x000a_for Motor Cycles - 35%" sqref="H37" xr:uid="{00000000-0002-0000-0400-00000B000000}">
      <formula1>0</formula1>
      <formula2>R36</formula2>
    </dataValidation>
    <dataValidation type="whole" allowBlank="1" showInputMessage="1" showErrorMessage="1" sqref="H53" xr:uid="{00000000-0002-0000-0400-00000C000000}">
      <formula1>-1</formula1>
      <formula2>H15/4</formula2>
    </dataValidation>
    <dataValidation type="whole" operator="lessThanOrEqual" allowBlank="1" showInputMessage="1" showErrorMessage="1" error="Should Net Exceed Number of Persons PAB cover required._x000a_" sqref="I27" xr:uid="{00000000-0002-0000-0400-00000D000000}">
      <formula1>L25</formula1>
    </dataValidation>
    <dataValidation type="list" showInputMessage="1" showErrorMessage="1" sqref="H29" xr:uid="{00000000-0002-0000-0400-00000E000000}">
      <formula1>"0,2000,10000,20000,50000,100000,200000,500000"</formula1>
    </dataValidation>
    <dataValidation type="list" showInputMessage="1" showErrorMessage="1" sqref="L13" xr:uid="{00000000-0002-0000-0400-00000F000000}">
      <formula1>"1,2,3,4,5"</formula1>
    </dataValidation>
    <dataValidation type="list" allowBlank="1" showInputMessage="1" showErrorMessage="1" sqref="AA1" xr:uid="{00000000-0002-0000-0400-000010000000}">
      <formula1>"Born Hybrid,non-born Hybrid"</formula1>
    </dataValidation>
    <dataValidation type="list" allowBlank="1" showInputMessage="1" showErrorMessage="1" sqref="O25 C58:C60 C55:C56 G43 E43 J43 E41 C39:C40 G41 L30 L22 O23 L36:L37 O29 E32:E34 L19:L20 L39:L59 J41 C45:C46 C42" xr:uid="{00000000-0002-0000-0400-000011000000}">
      <formula1>"0,1"</formula1>
    </dataValidation>
    <dataValidation type="whole" showInputMessage="1" showErrorMessage="1" error="Should Not Exceed Number of Seats" sqref="G53" xr:uid="{00000000-0002-0000-0400-000012000000}">
      <formula1>0</formula1>
      <formula2>25</formula2>
    </dataValidation>
    <dataValidation type="whole" showInputMessage="1" showErrorMessage="1" error="Should Not Exceed Number of Seats" sqref="G52" xr:uid="{00000000-0002-0000-0400-000013000000}">
      <formula1>0</formula1>
      <formula2>2</formula2>
    </dataValidation>
    <dataValidation type="list" allowBlank="1" showInputMessage="1" showErrorMessage="1" sqref="J11" xr:uid="{00000000-0002-0000-0400-000014000000}">
      <formula1>"BRAND NEW,RECONDITIONED,REGISTERED"</formula1>
    </dataValidation>
    <dataValidation type="whole" allowBlank="1" showInputMessage="1" showErrorMessage="1" sqref="E42 E44:E60 I43 E20:E23 E25 E39:E40 I41 E29:E30 E36:E37 T28:V28 G31:G34" xr:uid="{00000000-0002-0000-0400-000015000000}">
      <formula1>0</formula1>
      <formula2>1</formula2>
    </dataValidation>
    <dataValidation type="list" allowBlank="1" showInputMessage="1" showErrorMessage="1" sqref="B55:B56 Q42:Q43 B46 T42:T43 W42:W43 M5 C30 B39:B41 C2:C5 H14" xr:uid="{00000000-0002-0000-0400-000016000000}">
      <formula1>"Yes,No"</formula1>
    </dataValidation>
    <dataValidation type="decimal" allowBlank="1" showInputMessage="1" showErrorMessage="1" sqref="N58:N60" xr:uid="{00000000-0002-0000-0400-000017000000}">
      <formula1>-100000</formula1>
      <formula2>100000</formula2>
    </dataValidation>
    <dataValidation type="decimal" operator="greaterThanOrEqual" allowBlank="1" showInputMessage="1" showErrorMessage="1" sqref="M49" xr:uid="{00000000-0002-0000-0400-000018000000}">
      <formula1>0</formula1>
    </dataValidation>
    <dataValidation type="whole" showInputMessage="1" showErrorMessage="1" sqref="H54" xr:uid="{00000000-0002-0000-0400-000019000000}">
      <formula1>-1</formula1>
      <formula2>10</formula2>
    </dataValidation>
    <dataValidation type="whole" operator="greaterThan" allowBlank="1" showInputMessage="1" showErrorMessage="1" sqref="H47 H51" xr:uid="{00000000-0002-0000-0400-00001A000000}">
      <formula1>-1</formula1>
    </dataValidation>
    <dataValidation type="list" operator="notBetween" allowBlank="1" showInputMessage="1" showErrorMessage="1" sqref="H48" xr:uid="{00000000-0002-0000-0400-00001B000000}">
      <formula1>"15000,100000,300000,500000,1000000"</formula1>
    </dataValidation>
    <dataValidation type="whole" allowBlank="1" showInputMessage="1" showErrorMessage="1" sqref="H50" xr:uid="{00000000-0002-0000-0400-00001C000000}">
      <formula1>-1</formula1>
      <formula2>10</formula2>
    </dataValidation>
    <dataValidation type="textLength" allowBlank="1" showInputMessage="1" showErrorMessage="1" sqref="F59:G59" xr:uid="{00000000-0002-0000-0400-00001D000000}">
      <formula1>0</formula1>
      <formula2>21</formula2>
    </dataValidation>
    <dataValidation type="textLength" allowBlank="1" showInputMessage="1" showErrorMessage="1" error="Should Enter Between _x000a_2 to 14 Digits only_x000a__x000a_" sqref="L10:M10" xr:uid="{00000000-0002-0000-0400-00001E000000}">
      <formula1>2</formula1>
      <formula2>14</formula2>
    </dataValidation>
    <dataValidation type="textLength" showInputMessage="1" showErrorMessage="1" sqref="L6 E12" xr:uid="{00000000-0002-0000-0400-00001F000000}">
      <formula1>0</formula1>
      <formula2>25</formula2>
    </dataValidation>
    <dataValidation type="list" allowBlank="1" showInputMessage="1" showErrorMessage="1" sqref="H6" xr:uid="{00000000-0002-0000-0400-000020000000}">
      <formula1>"Mr.,Mrs.,Miss,Madam,Sir,Sir/Madam"</formula1>
    </dataValidation>
    <dataValidation type="list" allowBlank="1" showInputMessage="1" showErrorMessage="1" sqref="K8" xr:uid="{00000000-0002-0000-0400-000021000000}">
      <formula1>"1.25%,2%"</formula1>
    </dataValidation>
    <dataValidation type="list" showInputMessage="1" showErrorMessage="1" sqref="H9:I9" xr:uid="{00000000-0002-0000-0400-000022000000}">
      <formula1>$AP$6:$AP$7</formula1>
    </dataValidation>
    <dataValidation type="list" showInputMessage="1" showErrorMessage="1" sqref="H12" xr:uid="{00000000-0002-0000-0400-000023000000}">
      <formula1>"PETROL (non hybrid),DIESEL (non hybrid),HYBRID,ELECTRIC"</formula1>
    </dataValidation>
    <dataValidation type="list" operator="equal" showInputMessage="1" showErrorMessage="1" sqref="H22" xr:uid="{00000000-0002-0000-0400-000024000000}">
      <formula1>"0,2000,5000,10000"</formula1>
    </dataValidation>
    <dataValidation type="list" allowBlank="1" showInputMessage="1" showErrorMessage="1" sqref="I38:J38" xr:uid="{00000000-0002-0000-0400-000025000000}">
      <formula1>"Conceal,Reveal"</formula1>
    </dataValidation>
    <dataValidation type="decimal" allowBlank="1" showInputMessage="1" showErrorMessage="1" sqref="N25 N46:N57 N39:N43 N19:N20 N29:N30" xr:uid="{00000000-0002-0000-0400-000026000000}">
      <formula1>0</formula1>
      <formula2>1000000</formula2>
    </dataValidation>
    <dataValidation allowBlank="1" showInputMessage="1" showErrorMessage="1" error="Should not exceed number of seats _x000a_(excluding driver's seat)_x000a_" sqref="I29:J29" xr:uid="{00000000-0002-0000-0400-000027000000}"/>
    <dataValidation type="list" allowBlank="1" showInputMessage="1" showErrorMessage="1" sqref="B31:C31" xr:uid="{00000000-0002-0000-0400-000028000000}">
      <formula1>"1"</formula1>
    </dataValidation>
    <dataValidation type="list" showInputMessage="1" showErrorMessage="1" sqref="H25" xr:uid="{00000000-0002-0000-0400-000029000000}">
      <formula1>PAB</formula1>
    </dataValidation>
    <dataValidation type="list" allowBlank="1" showInputMessage="1" showErrorMessage="1" sqref="B21" xr:uid="{00000000-0002-0000-0400-00002A000000}">
      <formula1>"Yes,No,Free"</formula1>
    </dataValidation>
    <dataValidation type="list" allowBlank="1" showInputMessage="1" showErrorMessage="1" sqref="C21" xr:uid="{00000000-0002-0000-0400-00002B000000}">
      <formula1>"0,1,2"</formula1>
    </dataValidation>
    <dataValidation type="decimal" allowBlank="1" showInputMessage="1" showErrorMessage="1" sqref="N22:N23 N36:N37" xr:uid="{00000000-0002-0000-0400-00002C000000}">
      <formula1>-10000000</formula1>
      <formula2>0</formula2>
    </dataValidation>
    <dataValidation type="list" allowBlank="1" showInputMessage="1" showErrorMessage="1" sqref="E26 L26 G26" xr:uid="{00000000-0002-0000-0400-00002D000000}">
      <formula1>"1,0"</formula1>
    </dataValidation>
    <dataValidation type="list" allowBlank="1" showInputMessage="1" showErrorMessage="1" sqref="H38" xr:uid="{00000000-0002-0000-0400-00002E000000}">
      <formula1>"Earned NCB,Upfront NCB"</formula1>
    </dataValidation>
    <dataValidation type="list" allowBlank="1" showInputMessage="1" showErrorMessage="1" sqref="I4:I5" xr:uid="{00000000-0002-0000-0400-00002F000000}">
      <formula1>"2010,2011,2012,2013,2014,2015"</formula1>
    </dataValidation>
    <dataValidation type="list" allowBlank="1" showInputMessage="1" showErrorMessage="1" sqref="H4:H5" xr:uid="{00000000-0002-0000-0400-000030000000}">
      <formula1>"January,February,March,April,May,June,July,August,September,October,November,December"</formula1>
    </dataValidation>
    <dataValidation type="list" allowBlank="1" showInputMessage="1" showErrorMessage="1" sqref="G4:G5" xr:uid="{00000000-0002-0000-0400-000031000000}">
      <formula1>"1,2,3,4,5,6,7,8,9,10,11,12,13,14,15,16,17,18,19,20,21,22,23,24,25,26,27,28,29,30,31"</formula1>
    </dataValidation>
    <dataValidation type="list" allowBlank="1" showInputMessage="1" showErrorMessage="1" sqref="H3" xr:uid="{00000000-0002-0000-0400-000032000000}">
      <formula1>"One Year,Pro Rata, Short Period"</formula1>
    </dataValidation>
    <dataValidation type="textLength" allowBlank="1" showInputMessage="1" showErrorMessage="1" error="Enter Above 5 letters_x000a_" sqref="F58:G58" xr:uid="{00000000-0002-0000-0400-000033000000}">
      <formula1>5</formula1>
      <formula2>21</formula2>
    </dataValidation>
    <dataValidation type="list" allowBlank="1" showInputMessage="1" showErrorMessage="1" sqref="H11:I11" xr:uid="{00000000-0002-0000-0400-000034000000}">
      <formula1>"NON chinese/korean,CHINESE,KOREAN,JAPAN,INDIA,MALAYSIAN,GERMAN,SRI LANKAN"</formula1>
    </dataValidation>
    <dataValidation type="decimal" allowBlank="1" showInputMessage="1" showErrorMessage="1" sqref="N44:N45" xr:uid="{00000000-0002-0000-0400-000035000000}">
      <formula1>0</formula1>
      <formula2>100</formula2>
    </dataValidation>
    <dataValidation type="list" showInputMessage="1" showErrorMessage="1" sqref="I25" xr:uid="{00000000-0002-0000-0400-000036000000}">
      <formula1>"Full Seating Capacity,Participant Only,Driver Only,Participant &amp; Driver Only"</formula1>
    </dataValidation>
    <dataValidation type="list" showInputMessage="1" showErrorMessage="1" sqref="I30" xr:uid="{00000000-0002-0000-0400-000037000000}">
      <formula1>"Non-Hazardous,Hazardous,Extra Hazardous"</formula1>
    </dataValidation>
    <dataValidation type="list" allowBlank="1" showInputMessage="1" showErrorMessage="1" sqref="K30" xr:uid="{00000000-0002-0000-0400-000038000000}">
      <formula1>"With Fire,Without Fire"</formula1>
    </dataValidation>
    <dataValidation type="list" allowBlank="1" showInputMessage="1" showErrorMessage="1" sqref="H8:I8" xr:uid="{00000000-0002-0000-0400-000039000000}">
      <formula1>"Motor Cycle,Three Wheeler"</formula1>
    </dataValidation>
    <dataValidation type="list" allowBlank="1" showInputMessage="1" showErrorMessage="1" sqref="M12" xr:uid="{00000000-0002-0000-0400-00003A000000}">
      <formula1>"Above 250cc,Below 250cc"</formula1>
    </dataValidation>
    <dataValidation type="list" allowBlank="1" showInputMessage="1" showErrorMessage="1" sqref="K14:M14" xr:uid="{00000000-0002-0000-0400-00003B000000}">
      <formula1>$F$95:$F$122</formula1>
    </dataValidation>
  </dataValidations>
  <hyperlinks>
    <hyperlink ref="AZ79" r:id="rId1" display="mailto:info@amanabank.lk" xr:uid="{00000000-0004-0000-0400-000000000000}"/>
    <hyperlink ref="AZ82" r:id="rId2" display="mailto:boc@boc.lk" xr:uid="{00000000-0004-0000-0400-000001000000}"/>
    <hyperlink ref="AZ85" r:id="rId3" display="mailto:email@combank.net" xr:uid="{00000000-0004-0000-0400-000002000000}"/>
    <hyperlink ref="AZ89" r:id="rId4" display="mailto:info@dfccvardhanabank.com" xr:uid="{00000000-0004-0000-0400-000003000000}"/>
    <hyperlink ref="AZ90" r:id="rId5" display="http://www.dfccvardhanabank.com/" xr:uid="{00000000-0004-0000-0400-000004000000}"/>
    <hyperlink ref="AZ92" r:id="rId6" display="mailto:moreinfo@hnb.net" xr:uid="{00000000-0004-0000-0400-000005000000}"/>
    <hyperlink ref="AZ93" r:id="rId7" display="http://www.hnb.net/" xr:uid="{00000000-0004-0000-0400-000006000000}"/>
    <hyperlink ref="AZ95" r:id="rId8" display="mailto:azfar.nomani@mcb.com.lk" xr:uid="{00000000-0004-0000-0400-000007000000}"/>
    <hyperlink ref="AZ98" r:id="rId9" display="mailto:contact@ndbbank.com" xr:uid="{00000000-0004-0000-0400-000008000000}"/>
    <hyperlink ref="AZ99" r:id="rId10" display="http://www.ndbbank.com/" xr:uid="{00000000-0004-0000-0400-000009000000}"/>
    <hyperlink ref="AZ101" r:id="rId11" display="mailto:info@nationstrust.com" xr:uid="{00000000-0004-0000-0400-00000A000000}"/>
    <hyperlink ref="AZ104" r:id="rId12" display="mailto:pabc@pabcbank.com" xr:uid="{00000000-0004-0000-0400-00000B000000}"/>
    <hyperlink ref="AZ105" r:id="rId13" display="http://www.pabcbank.com/" xr:uid="{00000000-0004-0000-0400-00000C000000}"/>
    <hyperlink ref="AZ107" r:id="rId14" display="mailto:info@peoplesbank.lk" xr:uid="{00000000-0004-0000-0400-00000D000000}"/>
    <hyperlink ref="AZ110" r:id="rId15" display="mailto:oper.mgr@sampath.lk" xr:uid="{00000000-0004-0000-0400-00000E000000}"/>
    <hyperlink ref="AZ113" r:id="rId16" display="mailto:info@seylan.lk" xr:uid="{00000000-0004-0000-0400-00000F000000}"/>
    <hyperlink ref="AZ114" r:id="rId17" display="http://www.eseylan.com/" xr:uid="{00000000-0004-0000-0400-000010000000}"/>
    <hyperlink ref="AZ116" r:id="rId18" display="mailto:ubc@unionb.com" xr:uid="{00000000-0004-0000-0400-000011000000}"/>
    <hyperlink ref="AZ119" r:id="rId19" display="mailto:info@dfccbank.com" xr:uid="{00000000-0004-0000-0400-000012000000}"/>
    <hyperlink ref="AZ122" r:id="rId20" display="mailto:info@lankaputhra.lk" xr:uid="{00000000-0004-0000-0400-000013000000}"/>
    <hyperlink ref="AZ123" r:id="rId21" display="http://www.lankaputhra.lk/" xr:uid="{00000000-0004-0000-0400-000014000000}"/>
    <hyperlink ref="AZ125" r:id="rId22" display="mailto:savingsbank@mbslsavingsbank.com" xr:uid="{00000000-0004-0000-0400-000015000000}"/>
    <hyperlink ref="AZ126" r:id="rId23" display="http://www.mbslsavingsbank.com/" xr:uid="{00000000-0004-0000-0400-000016000000}"/>
    <hyperlink ref="AZ128" r:id="rId24" display="mailto:siriwardener@rdb.lk" xr:uid="{00000000-0004-0000-0400-000017000000}"/>
    <hyperlink ref="AZ129" r:id="rId25" display="http://www.rdb.lk/" xr:uid="{00000000-0004-0000-0400-000018000000}"/>
    <hyperlink ref="AZ131" r:id="rId26" display="mailto:info@sdb.lk" xr:uid="{00000000-0004-0000-0400-000019000000}"/>
    <hyperlink ref="AZ132" r:id="rId27" display="http://www.sdb.lk/" xr:uid="{00000000-0004-0000-0400-00001A000000}"/>
    <hyperlink ref="AZ134" r:id="rId28" display="mailto:slsbl@sltnet.lk" xr:uid="{00000000-0004-0000-0400-00001B000000}"/>
    <hyperlink ref="AZ135" r:id="rId29" display="http://www.sdb.lk/" xr:uid="{00000000-0004-0000-0400-00001C000000}"/>
    <hyperlink ref="AZ137" r:id="rId30" display="mailto:aban@abansgroup.com" xr:uid="{00000000-0004-0000-0400-00001D000000}"/>
    <hyperlink ref="AZ138" r:id="rId31" display="http://www.abansgroup.com/" xr:uid="{00000000-0004-0000-0400-00001E000000}"/>
    <hyperlink ref="AZ140" r:id="rId32" display="mailto:info@alliancefinance.lk" xr:uid="{00000000-0004-0000-0400-00001F000000}"/>
    <hyperlink ref="AZ141" r:id="rId33" display="http://www.alliancefinance.lk/" xr:uid="{00000000-0004-0000-0400-000020000000}"/>
    <hyperlink ref="AZ144" r:id="rId34" display="http://www.amwltd.lk/" xr:uid="{00000000-0004-0000-0400-000021000000}"/>
    <hyperlink ref="AZ146" r:id="rId35" display="mailto:bedej@arpicofinance.com" xr:uid="{00000000-0004-0000-0400-000022000000}"/>
    <hyperlink ref="AZ147" r:id="rId36" display="http://www.arpicofinance.lk/" xr:uid="{00000000-0004-0000-0400-000023000000}"/>
    <hyperlink ref="AZ149" r:id="rId37" display="mailto:info@asiaassetfinance.lk" xr:uid="{00000000-0004-0000-0400-000024000000}"/>
    <hyperlink ref="AZ152" r:id="rId38" display="mailto:afl@asianfinance.lk" xr:uid="{00000000-0004-0000-0400-000025000000}"/>
    <hyperlink ref="AZ155" r:id="rId39" display="mailto:amfcoltd@sltnet.lk" xr:uid="{00000000-0004-0000-0400-000026000000}"/>
    <hyperlink ref="AZ158" r:id="rId40" display="mailto:bartfsl@bartleet.com" xr:uid="{00000000-0004-0000-0400-000027000000}"/>
    <hyperlink ref="AZ159" r:id="rId41" display="http://www.batrleetgroup.com/" xr:uid="{00000000-0004-0000-0400-000028000000}"/>
    <hyperlink ref="AZ161" r:id="rId42" display="mailto:bimputhlanka@daya-group.com" xr:uid="{00000000-0004-0000-0400-000029000000}"/>
    <hyperlink ref="AZ162" r:id="rId43" display="http://www.dayagroupofcompanies.com/" xr:uid="{00000000-0004-0000-0400-00002A000000}"/>
    <hyperlink ref="AZ164" r:id="rId44" display="mailto:silvereenkandy@sltnet.lk" xr:uid="{00000000-0004-0000-0400-00002B000000}"/>
    <hyperlink ref="AZ165" r:id="rId45" display="http://www.cbsl.gov.lk/htm/english/05_fss/popup/" xr:uid="{00000000-0004-0000-0400-00002C000000}"/>
    <hyperlink ref="AZ167" r:id="rId46" display="mailto:cenfin@cf.lk" xr:uid="{00000000-0004-0000-0400-00002D000000}"/>
    <hyperlink ref="AZ168" r:id="rId47" display="http://www.cf.lk/" xr:uid="{00000000-0004-0000-0400-00002E000000}"/>
    <hyperlink ref="AZ170" r:id="rId48" display="mailto:cifl@cifl.lk" xr:uid="{00000000-0004-0000-0400-00002F000000}"/>
    <hyperlink ref="AZ171" r:id="rId49" display="http://www.cifl.lk/" xr:uid="{00000000-0004-0000-0400-000030000000}"/>
    <hyperlink ref="AZ173" r:id="rId50" display="mailto:chifinco@gmail.com" xr:uid="{00000000-0004-0000-0400-000031000000}"/>
    <hyperlink ref="AZ176" r:id="rId51" display="mailto:cdb@cdb.lk" xr:uid="{00000000-0004-0000-0400-000032000000}"/>
    <hyperlink ref="AZ177" r:id="rId52" display="http://www.cdb.lk/" xr:uid="{00000000-0004-0000-0400-000033000000}"/>
    <hyperlink ref="AZ179" r:id="rId53" display="mailto:infoifl@infinltd.lk" xr:uid="{00000000-0004-0000-0400-000034000000}"/>
    <hyperlink ref="AZ180" r:id="rId54" display="http://www.ifl.lk/" xr:uid="{00000000-0004-0000-0400-000035000000}"/>
    <hyperlink ref="AZ182" r:id="rId55" display="mailto:ccl@cclk.lk" xr:uid="{00000000-0004-0000-0400-000036000000}"/>
    <hyperlink ref="AZ183" r:id="rId56" display="http://www.cclk.lk/" xr:uid="{00000000-0004-0000-0400-000037000000}"/>
    <hyperlink ref="AZ185" r:id="rId57" display="mailto:clc@.lk" xr:uid="{00000000-0004-0000-0400-000038000000}"/>
    <hyperlink ref="AZ186" r:id="rId58" display="http://www.clc.lk/" xr:uid="{00000000-0004-0000-0400-000039000000}"/>
    <hyperlink ref="AZ188" r:id="rId59" display="mailto:info@divasafinance.lk" xr:uid="{00000000-0004-0000-0400-00003A000000}"/>
    <hyperlink ref="AZ189" r:id="rId60" display="http://www.divasafinance.lk/" xr:uid="{00000000-0004-0000-0400-00003B000000}"/>
    <hyperlink ref="AZ191" r:id="rId61" display="mailto:info@eti.lk" xr:uid="{00000000-0004-0000-0400-00003C000000}"/>
    <hyperlink ref="AZ192" r:id="rId62" display="http://www.eti.lk/" xr:uid="{00000000-0004-0000-0400-00003D000000}"/>
    <hyperlink ref="AZ194" r:id="rId63" display="mailto:chandrin@kanrich.lk" xr:uid="{00000000-0004-0000-0400-00003E000000}"/>
    <hyperlink ref="AZ195" r:id="rId64" display="http://www.kanrich.lk/" xr:uid="{00000000-0004-0000-0400-00003F000000}"/>
    <hyperlink ref="AZ197" r:id="rId65" display="mailto:mail@lbfinance.lk" xr:uid="{00000000-0004-0000-0400-000040000000}"/>
    <hyperlink ref="AZ198" r:id="rId66" display="http://www.lbfinance.com/" xr:uid="{00000000-0004-0000-0400-000041000000}"/>
    <hyperlink ref="AZ200" r:id="rId67" display="mailto:lofin@lankaorix.com" xr:uid="{00000000-0004-0000-0400-000042000000}"/>
    <hyperlink ref="AZ201" r:id="rId68" display="http://www.lankaorix.com/" xr:uid="{00000000-0004-0000-0400-000043000000}"/>
    <hyperlink ref="AZ203" r:id="rId69" display="mailto:mercantile@mi.com.lk" xr:uid="{00000000-0004-0000-0400-000044000000}"/>
    <hyperlink ref="AZ204" r:id="rId70" display="http://www.mi.com.lk/" xr:uid="{00000000-0004-0000-0400-000045000000}"/>
    <hyperlink ref="AZ206" r:id="rId71" display="mailto:mcsl@mbslbank.com" xr:uid="{00000000-0004-0000-0400-000046000000}"/>
    <hyperlink ref="AZ207" r:id="rId72" display="http://www.mcsl.lk/" xr:uid="{00000000-0004-0000-0400-000047000000}"/>
    <hyperlink ref="AZ209" r:id="rId73" display="mailto:info@themultifinance.com" xr:uid="{00000000-0004-0000-0400-000048000000}"/>
    <hyperlink ref="AZ210" r:id="rId74" display="http://www.mcsl.lk/" xr:uid="{00000000-0004-0000-0400-000049000000}"/>
    <hyperlink ref="AZ212" r:id="rId75" display="mailto:info@nifl.lk" xr:uid="{00000000-0004-0000-0400-00004A000000}"/>
    <hyperlink ref="AZ215" r:id="rId76" display="mailto:bede@nflplc.com" xr:uid="{00000000-0004-0000-0400-00004B000000}"/>
    <hyperlink ref="AZ216" r:id="rId77" display="http://www.cbsl.gov.lk/htm/english/05_fss/popup/www.nflplc.lk/" xr:uid="{00000000-0004-0000-0400-00004C000000}"/>
    <hyperlink ref="AZ218" r:id="rId78" display="mailto:dinindus@plc.lk" xr:uid="{00000000-0004-0000-0400-00004D000000}"/>
    <hyperlink ref="AZ221" r:id="rId79" display="mailto:senk@senfin.com" xr:uid="{00000000-0004-0000-0400-00004E000000}"/>
    <hyperlink ref="AZ222" r:id="rId80" display="http://www.senfin.com/" xr:uid="{00000000-0004-0000-0400-00004F000000}"/>
    <hyperlink ref="AZ224" r:id="rId81" display="mailto:financecompany@singersl.com" xr:uid="{00000000-0004-0000-0400-000050000000}"/>
    <hyperlink ref="AZ225" r:id="rId82" display="http://www.singersl.com/" xr:uid="{00000000-0004-0000-0400-000051000000}"/>
    <hyperlink ref="AZ227" r:id="rId83" display="mailto:info@sinhaputhra.lk" xr:uid="{00000000-0004-0000-0400-000052000000}"/>
    <hyperlink ref="AZ228" r:id="rId84" display="http://www.sinhaputhra.lk/" xr:uid="{00000000-0004-0000-0400-000053000000}"/>
    <hyperlink ref="AZ230" r:id="rId85" display="mailto:info@softlogicfinance.lk" xr:uid="{00000000-0004-0000-0400-000054000000}"/>
    <hyperlink ref="AZ231" r:id="rId86" display="http://www.softlogicfinance.lk/" xr:uid="{00000000-0004-0000-0400-000055000000}"/>
    <hyperlink ref="AZ233" r:id="rId87" display="mailto:info@sfs.lk" xr:uid="{00000000-0004-0000-0400-000056000000}"/>
    <hyperlink ref="AZ234" r:id="rId88" display="http://www.sfs.lk/" xr:uid="{00000000-0004-0000-0400-000057000000}"/>
    <hyperlink ref="AZ236" r:id="rId89" display="mailto:info@fglk.com" xr:uid="{00000000-0004-0000-0400-000058000000}"/>
    <hyperlink ref="AZ237" r:id="rId90" display="http://www.fglk.com/" xr:uid="{00000000-0004-0000-0400-000059000000}"/>
    <hyperlink ref="AZ239" r:id="rId91" display="mailto:smi@thefinance.lk" xr:uid="{00000000-0004-0000-0400-00005A000000}"/>
    <hyperlink ref="AZ240" r:id="rId92" display="http://www.thefinance.lk/" xr:uid="{00000000-0004-0000-0400-00005B000000}"/>
    <hyperlink ref="AZ243" r:id="rId93" display="mailto:infomail@cir.lk" xr:uid="{00000000-0004-0000-0400-00005C000000}"/>
    <hyperlink ref="AZ246" r:id="rId94" display="mailto:tradefi@lankabiz.net" xr:uid="{00000000-0004-0000-0400-00005D000000}"/>
    <hyperlink ref="AZ249" r:id="rId95" display="mailto:info@vallibelfinance.com" xr:uid="{00000000-0004-0000-0400-00005E000000}"/>
    <hyperlink ref="AZ252" r:id="rId96" display="mailto:kushantha@dpmco.com" xr:uid="{00000000-0004-0000-0400-00005F000000}"/>
    <hyperlink ref="AZ253" r:id="rId97" display="http://www.assetline.lk/" xr:uid="{00000000-0004-0000-0400-000060000000}"/>
    <hyperlink ref="AZ255" r:id="rId98" display="mailto:%20ceylease@ceylease.lk" xr:uid="{00000000-0004-0000-0400-000061000000}"/>
    <hyperlink ref="AZ258" r:id="rId99" display="mailto:info@cooplease.com" xr:uid="{00000000-0004-0000-0400-000062000000}"/>
    <hyperlink ref="AZ259" r:id="rId100" display="http://www.cooplease.com./" xr:uid="{00000000-0004-0000-0400-000063000000}"/>
    <hyperlink ref="AZ261" r:id="rId101" display="mailto:indrafinance@sltnet.lk" xr:uid="{00000000-0004-0000-0400-000064000000}"/>
    <hyperlink ref="AZ264" r:id="rId102" display="mailto:lmewijesuriya@gmail.lk" xr:uid="{00000000-0004-0000-0400-000065000000}"/>
    <hyperlink ref="AZ267" r:id="rId103" display="mailto:koshilea@sltnet.lk" xr:uid="{00000000-0004-0000-0400-000066000000}"/>
    <hyperlink ref="AZ270" r:id="rId104" display="mailto:lisvin@lisvin.com" xr:uid="{00000000-0004-0000-0400-000067000000}"/>
    <hyperlink ref="AZ273" r:id="rId105" display="mailto:chrishathi@lankaorix.com" xr:uid="{00000000-0004-0000-0400-000068000000}"/>
    <hyperlink ref="AZ276" r:id="rId106" display="mailto:mbslbank@mbslbank.com" xr:uid="{00000000-0004-0000-0400-000069000000}"/>
    <hyperlink ref="AZ279" r:id="rId107" display="mailto:orientleasing@sltnet.lk" xr:uid="{00000000-0004-0000-0400-00006A000000}"/>
    <hyperlink ref="AZ282" r:id="rId108" display="mailto:dpkumarage@plc.lk" xr:uid="{00000000-0004-0000-0400-00006B000000}"/>
    <hyperlink ref="AZ285" r:id="rId109" display="mailto:info@pmb.lk" xr:uid="{00000000-0004-0000-0400-00006C000000}"/>
    <hyperlink ref="AZ286" r:id="rId110" display="http://www.peoplesmerchantbank.lk/" xr:uid="{00000000-0004-0000-0400-00006D000000}"/>
    <hyperlink ref="AZ288" r:id="rId111" display="mailto:roshan@sampath-slfl.lk" xr:uid="{00000000-0004-0000-0400-00006E000000}"/>
    <hyperlink ref="AZ291" r:id="rId112" display="mailto:smbhed@sltnet.lk" xr:uid="{00000000-0004-0000-0400-00006F000000}"/>
    <hyperlink ref="AZ292" r:id="rId113" display="http://www.smblk.com/" xr:uid="{00000000-0004-0000-0400-000070000000}"/>
    <hyperlink ref="AZ294" r:id="rId114" display="mailto:credit@softlogicfinance.lk" xr:uid="{00000000-0004-0000-04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Administration</vt:lpstr>
      <vt:lpstr>Rates</vt:lpstr>
      <vt:lpstr>Calculation</vt:lpstr>
      <vt:lpstr>SRC Quote</vt:lpstr>
      <vt:lpstr>Working</vt:lpstr>
      <vt:lpstr>Branch</vt:lpstr>
      <vt:lpstr>BRANCHES</vt:lpstr>
      <vt:lpstr>Date</vt:lpstr>
      <vt:lpstr>Month</vt:lpstr>
      <vt:lpstr>PAB</vt:lpstr>
      <vt:lpstr>Administration!Print_Area</vt:lpstr>
      <vt:lpstr>Calculation!Print_Area</vt:lpstr>
      <vt:lpstr>Rates!Print_Area</vt:lpstr>
      <vt:lpstr>'SRC Quote'!Print_Area</vt:lpstr>
      <vt:lpstr>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2021-03-08T07:49:55Z</cp:lastPrinted>
  <dcterms:created xsi:type="dcterms:W3CDTF">2002-11-28T09:30:00Z</dcterms:created>
  <dcterms:modified xsi:type="dcterms:W3CDTF">2024-02-24T17:29:52Z</dcterms:modified>
</cp:coreProperties>
</file>