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Vallible\"/>
    </mc:Choice>
  </mc:AlternateContent>
  <xr:revisionPtr revIDLastSave="0" documentId="13_ncr:1_{54B041C1-E41B-4E8D-9406-4594A7CCA37C}" xr6:coauthVersionLast="36" xr6:coauthVersionMax="36" xr10:uidLastSave="{00000000-0000-0000-0000-000000000000}"/>
  <workbookProtection workbookPassword="F6CE" lockStructure="1"/>
  <bookViews>
    <workbookView xWindow="0" yWindow="0" windowWidth="19200" windowHeight="6930" firstSheet="3" activeTab="3" xr2:uid="{00000000-000D-0000-FFFF-FFFF00000000}"/>
  </bookViews>
  <sheets>
    <sheet name="Administration" sheetId="14" state="hidden" r:id="rId1"/>
    <sheet name="Rates" sheetId="10" state="hidden" r:id="rId2"/>
    <sheet name="Calculation" sheetId="16" state="hidden" r:id="rId3"/>
    <sheet name="Quote" sheetId="13" r:id="rId4"/>
    <sheet name="XXWorking" sheetId="4" state="hidden" r:id="rId5"/>
    <sheet name="Pre-Working" sheetId="17" r:id="rId6"/>
  </sheets>
  <externalReferences>
    <externalReference r:id="rId7"/>
  </externalReferences>
  <definedNames>
    <definedName name="_xlnm._FilterDatabase" localSheetId="0" hidden="1">Administration!$I$7:$I$18</definedName>
    <definedName name="_xlnm._FilterDatabase" localSheetId="3" hidden="1">Quote!$C$12:$Y$58</definedName>
    <definedName name="_xlnm._FilterDatabase" localSheetId="4" hidden="1">XXWorking!$M$69:$M$69</definedName>
    <definedName name="Birthyear">'[1]Data Entry'!$AI$5:$AI$84</definedName>
    <definedName name="Branch">Administration!$O$4:$O$31</definedName>
    <definedName name="BRANCHES">XXWorking!$AK$42:$AK$43</definedName>
    <definedName name="Date">Administration!$Q$4:$Q$34</definedName>
    <definedName name="Month">Administration!$Q$4:$Q$34</definedName>
    <definedName name="Month1">'[1]Data Entry'!$AK$4:$AK$34</definedName>
    <definedName name="PAB">XXWorking!$AJ$24:$AJ$45</definedName>
    <definedName name="_xlnm.Print_Area" localSheetId="0">Administration!$N$3:$O$31</definedName>
    <definedName name="_xlnm.Print_Area" localSheetId="2">Calculation!$A$1:$M$43</definedName>
    <definedName name="_xlnm.Print_Area" localSheetId="3">Quote!$A$1:$S$60</definedName>
    <definedName name="_xlnm.Print_Area" localSheetId="1">Rates!$A$1:$P$55</definedName>
    <definedName name="_xlnm.Print_Area" localSheetId="4">XXWorking!$D$1:$M$71</definedName>
    <definedName name="usage">Administration!$G$20:$G$24</definedName>
    <definedName name="usages">XXWorking!$AP$6:$AP$10</definedName>
    <definedName name="VEHICLE">XXWorking!$AM$6:$AM$13</definedName>
    <definedName name="vehicles">Administration!$G$7:$G$19</definedName>
    <definedName name="YOM">XXWorking!$AU$8:$AU$84</definedName>
  </definedNames>
  <calcPr calcId="191029"/>
</workbook>
</file>

<file path=xl/calcChain.xml><?xml version="1.0" encoding="utf-8"?>
<calcChain xmlns="http://schemas.openxmlformats.org/spreadsheetml/2006/main">
  <c r="F5" i="17" l="1"/>
  <c r="H5" i="17" s="1"/>
  <c r="A16" i="17"/>
  <c r="I46" i="13"/>
  <c r="I45" i="13"/>
  <c r="H12" i="17"/>
  <c r="IR8" i="14"/>
  <c r="C4" i="17"/>
  <c r="T21" i="13"/>
  <c r="T22" i="13"/>
  <c r="H15" i="17"/>
  <c r="L45" i="13"/>
  <c r="H25" i="4"/>
  <c r="M25" i="4"/>
  <c r="H6" i="17" s="1"/>
  <c r="H29" i="4"/>
  <c r="H48" i="4"/>
  <c r="O48" i="4"/>
  <c r="M12" i="4"/>
  <c r="D4" i="10" s="1"/>
  <c r="I36" i="13"/>
  <c r="I37" i="13"/>
  <c r="T13" i="13"/>
  <c r="B13" i="13"/>
  <c r="M15" i="4" s="1"/>
  <c r="I100" i="13"/>
  <c r="H49" i="4"/>
  <c r="O49" i="4" s="1"/>
  <c r="L6" i="4"/>
  <c r="H7" i="4"/>
  <c r="L10" i="4"/>
  <c r="H10" i="4"/>
  <c r="H13" i="4"/>
  <c r="V2" i="4" s="1"/>
  <c r="H11" i="4"/>
  <c r="O16" i="4" s="1"/>
  <c r="K14" i="4"/>
  <c r="H14" i="4"/>
  <c r="H36" i="4"/>
  <c r="C42" i="4"/>
  <c r="H43" i="4" s="1"/>
  <c r="H15" i="4"/>
  <c r="J12" i="4"/>
  <c r="E34" i="4"/>
  <c r="O45" i="4"/>
  <c r="Y42" i="13" s="1"/>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D87" i="10" s="1"/>
  <c r="F111" i="4"/>
  <c r="F110" i="4"/>
  <c r="F109" i="4"/>
  <c r="F108" i="4"/>
  <c r="F107" i="4"/>
  <c r="F106" i="4"/>
  <c r="F105" i="4"/>
  <c r="F104" i="4"/>
  <c r="F103" i="4"/>
  <c r="F102" i="4"/>
  <c r="F101" i="4"/>
  <c r="F100" i="4"/>
  <c r="F99" i="4"/>
  <c r="F98" i="4"/>
  <c r="F97" i="4"/>
  <c r="F96" i="4"/>
  <c r="F95" i="4"/>
  <c r="F94" i="4"/>
  <c r="F92" i="10"/>
  <c r="D92" i="10"/>
  <c r="P6" i="4"/>
  <c r="N5" i="4"/>
  <c r="AB4" i="13"/>
  <c r="P4" i="13"/>
  <c r="AA4" i="13"/>
  <c r="V12" i="13"/>
  <c r="I16" i="13"/>
  <c r="C17" i="13"/>
  <c r="L22" i="13"/>
  <c r="L23" i="13"/>
  <c r="B45" i="13"/>
  <c r="V55" i="13"/>
  <c r="N2" i="4"/>
  <c r="R2" i="4"/>
  <c r="X2" i="4"/>
  <c r="AA2" i="4"/>
  <c r="D3" i="4"/>
  <c r="O3" i="4"/>
  <c r="N4" i="4"/>
  <c r="T7" i="4"/>
  <c r="U7" i="4"/>
  <c r="W7" i="4"/>
  <c r="L8" i="4"/>
  <c r="O8" i="4"/>
  <c r="AU9" i="4"/>
  <c r="AU10" i="4"/>
  <c r="AU11" i="4"/>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I13" i="4" s="1"/>
  <c r="AM17" i="4"/>
  <c r="I22" i="4"/>
  <c r="C24" i="4"/>
  <c r="Y25" i="4"/>
  <c r="E26" i="4"/>
  <c r="G26" i="4"/>
  <c r="L26" i="4"/>
  <c r="L27" i="4" s="1"/>
  <c r="O30" i="4"/>
  <c r="T30" i="4"/>
  <c r="O31" i="4"/>
  <c r="H33" i="4" s="1"/>
  <c r="Q31" i="4"/>
  <c r="E32" i="4"/>
  <c r="W32" i="4"/>
  <c r="E33" i="4"/>
  <c r="C36" i="4"/>
  <c r="B39" i="4"/>
  <c r="U33" i="13" s="1"/>
  <c r="B40" i="4"/>
  <c r="O39" i="4"/>
  <c r="K41" i="4"/>
  <c r="Q42" i="4"/>
  <c r="T42" i="4"/>
  <c r="W42" i="4"/>
  <c r="Q43" i="4"/>
  <c r="T43" i="4"/>
  <c r="W43" i="4"/>
  <c r="R44" i="4"/>
  <c r="R45" i="4"/>
  <c r="O47" i="4"/>
  <c r="O50" i="4"/>
  <c r="U38" i="13"/>
  <c r="O51" i="4"/>
  <c r="U39" i="13" s="1"/>
  <c r="Q51" i="4"/>
  <c r="B52" i="4"/>
  <c r="P52" i="4"/>
  <c r="Q52" i="4"/>
  <c r="O53" i="4"/>
  <c r="P53" i="4"/>
  <c r="O54" i="4"/>
  <c r="U41" i="13" s="1"/>
  <c r="B55" i="4"/>
  <c r="Q55" i="4" s="1"/>
  <c r="B56" i="4"/>
  <c r="I56" i="4" s="1"/>
  <c r="H58" i="4"/>
  <c r="M58" i="4"/>
  <c r="O58" i="4"/>
  <c r="T40" i="13" s="1"/>
  <c r="D40" i="13" s="1"/>
  <c r="H59" i="4"/>
  <c r="M59" i="4"/>
  <c r="O59" i="4"/>
  <c r="U40" i="13" s="1"/>
  <c r="M40" i="13" s="1"/>
  <c r="Q61" i="4"/>
  <c r="K62" i="4"/>
  <c r="K65" i="4"/>
  <c r="F69" i="4"/>
  <c r="X15" i="4" s="1"/>
  <c r="Y15" i="4" s="1"/>
  <c r="R77" i="4" s="1"/>
  <c r="R78" i="4"/>
  <c r="R79" i="4"/>
  <c r="S2" i="16"/>
  <c r="S6" i="16" s="1"/>
  <c r="K5" i="4" s="1"/>
  <c r="U2" i="16"/>
  <c r="K3" i="16"/>
  <c r="T2" i="16" s="1"/>
  <c r="V2" i="16"/>
  <c r="J3" i="16" s="1"/>
  <c r="Q4" i="16" s="1"/>
  <c r="W2" i="16"/>
  <c r="I3" i="16" s="1"/>
  <c r="P3" i="16"/>
  <c r="O3" i="16" s="1"/>
  <c r="U16" i="16" s="1"/>
  <c r="Q3" i="16"/>
  <c r="U4" i="16"/>
  <c r="V4" i="16"/>
  <c r="W4" i="16" s="1"/>
  <c r="I5" i="16"/>
  <c r="U5" i="16"/>
  <c r="V5" i="16"/>
  <c r="Q6" i="16"/>
  <c r="P6" i="16"/>
  <c r="O6" i="16" s="1"/>
  <c r="P8" i="16" s="1"/>
  <c r="X11" i="16"/>
  <c r="L19" i="16"/>
  <c r="B1" i="10"/>
  <c r="A1" i="10" s="1"/>
  <c r="A4" i="10"/>
  <c r="A5" i="10" s="1"/>
  <c r="A6" i="10" s="1"/>
  <c r="A7" i="10" s="1"/>
  <c r="A8" i="10"/>
  <c r="A9" i="10" s="1"/>
  <c r="A10" i="10" s="1"/>
  <c r="A11" i="10" s="1"/>
  <c r="A12" i="10" s="1"/>
  <c r="A13" i="10" s="1"/>
  <c r="A14" i="10" s="1"/>
  <c r="A15" i="10" s="1"/>
  <c r="A16" i="10" s="1"/>
  <c r="I5" i="10"/>
  <c r="I7" i="10" s="1"/>
  <c r="D10" i="10"/>
  <c r="I12" i="10"/>
  <c r="I13" i="10" s="1"/>
  <c r="I14" i="10" s="1"/>
  <c r="I15" i="10" s="1"/>
  <c r="I16" i="10"/>
  <c r="G20" i="10"/>
  <c r="K64" i="4" s="1"/>
  <c r="I21" i="10"/>
  <c r="I22" i="10" s="1"/>
  <c r="Q23" i="4"/>
  <c r="E29" i="10"/>
  <c r="B52" i="10"/>
  <c r="H3" i="14"/>
  <c r="G3" i="14"/>
  <c r="Q34" i="14" s="1"/>
  <c r="K5" i="14"/>
  <c r="J5" i="14"/>
  <c r="I5" i="14" s="1"/>
  <c r="H5" i="14" s="1"/>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c r="H7" i="14"/>
  <c r="I7" i="14" s="1"/>
  <c r="G8" i="14"/>
  <c r="AM7" i="4" s="1"/>
  <c r="H8" i="14"/>
  <c r="G9" i="14"/>
  <c r="AM8" i="4" s="1"/>
  <c r="H9" i="14"/>
  <c r="G10" i="14"/>
  <c r="AM9" i="4" s="1"/>
  <c r="H10" i="14"/>
  <c r="G11" i="14"/>
  <c r="AM10" i="4"/>
  <c r="H11" i="14"/>
  <c r="G12" i="14"/>
  <c r="AM11" i="4" s="1"/>
  <c r="H12" i="14"/>
  <c r="G13" i="14"/>
  <c r="AM14" i="4" s="1"/>
  <c r="H13" i="14"/>
  <c r="G14" i="14"/>
  <c r="AM12" i="4" s="1"/>
  <c r="H14" i="14"/>
  <c r="G15" i="14"/>
  <c r="AM13" i="4"/>
  <c r="H15" i="14"/>
  <c r="G16" i="14"/>
  <c r="AM15" i="4" s="1"/>
  <c r="H16" i="14"/>
  <c r="G17" i="14"/>
  <c r="AM16" i="4" s="1"/>
  <c r="H17" i="14"/>
  <c r="G20" i="14"/>
  <c r="I20" i="14" s="1"/>
  <c r="AP6" i="4" s="1"/>
  <c r="G21" i="14"/>
  <c r="I21" i="14" s="1"/>
  <c r="G22" i="14"/>
  <c r="G23" i="14"/>
  <c r="G24" i="14"/>
  <c r="A32" i="14"/>
  <c r="F16" i="13"/>
  <c r="N3" i="4"/>
  <c r="H41" i="4"/>
  <c r="D30" i="13"/>
  <c r="O44" i="4"/>
  <c r="P38" i="4" s="1"/>
  <c r="M2" i="13"/>
  <c r="H35" i="4"/>
  <c r="AB56" i="4" s="1"/>
  <c r="AA56" i="4" s="1"/>
  <c r="M60" i="4"/>
  <c r="R95" i="4"/>
  <c r="Y43" i="13"/>
  <c r="W5" i="16"/>
  <c r="H31" i="4"/>
  <c r="E31" i="4"/>
  <c r="F34" i="4"/>
  <c r="H32" i="4"/>
  <c r="Q56" i="4"/>
  <c r="R61" i="4"/>
  <c r="K26" i="4"/>
  <c r="Q38" i="4"/>
  <c r="U34" i="13"/>
  <c r="S2" i="4"/>
  <c r="G37" i="4"/>
  <c r="I37" i="4" s="1"/>
  <c r="U30" i="4"/>
  <c r="D76" i="10"/>
  <c r="C21" i="4"/>
  <c r="B21" i="4" s="1"/>
  <c r="AC56" i="4"/>
  <c r="H11" i="17"/>
  <c r="F26" i="4"/>
  <c r="P25" i="4"/>
  <c r="H26" i="4"/>
  <c r="H10" i="17"/>
  <c r="R12" i="17"/>
  <c r="W43" i="13"/>
  <c r="L3" i="4"/>
  <c r="F4" i="4"/>
  <c r="F5" i="4"/>
  <c r="C9" i="13"/>
  <c r="I14" i="4"/>
  <c r="N8" i="4"/>
  <c r="S3" i="16"/>
  <c r="K4" i="4" s="1"/>
  <c r="B41" i="4"/>
  <c r="Q39" i="4" s="1"/>
  <c r="K43" i="4"/>
  <c r="Y43" i="4"/>
  <c r="U37" i="13" s="1"/>
  <c r="E15" i="4"/>
  <c r="U15" i="16"/>
  <c r="U13" i="16"/>
  <c r="I34" i="4"/>
  <c r="Q33" i="4"/>
  <c r="Q32" i="4"/>
  <c r="R31" i="4" s="1"/>
  <c r="T31" i="4"/>
  <c r="I31" i="4" s="1"/>
  <c r="P39" i="4"/>
  <c r="T56" i="4"/>
  <c r="R56" i="4" s="1"/>
  <c r="G36" i="4"/>
  <c r="U1" i="4" s="1"/>
  <c r="U31" i="4"/>
  <c r="O14" i="16" l="1"/>
  <c r="H9" i="16"/>
  <c r="AP7" i="4"/>
  <c r="I22" i="14"/>
  <c r="AP8" i="4" s="1"/>
  <c r="Q25" i="4"/>
  <c r="R25" i="4" s="1"/>
  <c r="I32" i="4"/>
  <c r="U36" i="13"/>
  <c r="Q13" i="16"/>
  <c r="Q50" i="4"/>
  <c r="D88" i="10"/>
  <c r="M8" i="4"/>
  <c r="Z56" i="4"/>
  <c r="Y56" i="4" s="1"/>
  <c r="X56" i="4" s="1"/>
  <c r="W56" i="4" s="1"/>
  <c r="U56" i="4" s="1"/>
  <c r="U42" i="13"/>
  <c r="M39" i="13" s="1"/>
  <c r="P4" i="16"/>
  <c r="Q33" i="14"/>
  <c r="F30" i="4"/>
  <c r="H34" i="4"/>
  <c r="U32" i="4"/>
  <c r="T32" i="4" s="1"/>
  <c r="I3" i="14"/>
  <c r="K3" i="14" s="1"/>
  <c r="L3" i="14" s="1"/>
  <c r="M3" i="14" s="1"/>
  <c r="U32" i="13"/>
  <c r="Y4" i="13"/>
  <c r="Q21" i="4"/>
  <c r="H21" i="4"/>
  <c r="V13" i="13"/>
  <c r="H32" i="13"/>
  <c r="O22" i="4"/>
  <c r="W39" i="13" s="1"/>
  <c r="M22" i="4"/>
  <c r="U14" i="16"/>
  <c r="U12" i="16"/>
  <c r="W11" i="16"/>
  <c r="U11" i="16"/>
  <c r="U10" i="16"/>
  <c r="S1" i="16"/>
  <c r="T1" i="16" s="1"/>
  <c r="H8" i="16" s="1"/>
  <c r="O5" i="4"/>
  <c r="L7" i="4"/>
  <c r="F87" i="10"/>
  <c r="F88" i="10"/>
  <c r="K29" i="4"/>
  <c r="P29" i="4" s="1"/>
  <c r="I18" i="4"/>
  <c r="H2" i="17"/>
  <c r="H13" i="17" s="1"/>
  <c r="Q13" i="17"/>
  <c r="J14" i="17"/>
  <c r="H18" i="17" s="1"/>
  <c r="R13" i="17"/>
  <c r="S13" i="17" s="1"/>
  <c r="I23" i="14"/>
  <c r="AP9" i="4" s="1"/>
  <c r="H46" i="13"/>
  <c r="C46" i="13"/>
  <c r="I33" i="4"/>
  <c r="U43" i="13"/>
  <c r="D3" i="10"/>
  <c r="R80" i="4"/>
  <c r="Q44" i="4"/>
  <c r="O70" i="4" s="1"/>
  <c r="F70" i="4" s="1"/>
  <c r="R83" i="4"/>
  <c r="R88" i="4"/>
  <c r="AD42" i="4"/>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IR7" i="14" l="1"/>
  <c r="IR9" i="14" s="1"/>
  <c r="L24" i="13" s="1"/>
  <c r="O2" i="4"/>
  <c r="R90" i="4"/>
  <c r="Q12" i="4"/>
  <c r="X7" i="4"/>
  <c r="AB43" i="13"/>
  <c r="W2" i="4"/>
  <c r="R82" i="4"/>
  <c r="V29" i="4"/>
  <c r="S52" i="4"/>
  <c r="R52" i="4" s="1"/>
  <c r="R89" i="4"/>
  <c r="T47" i="4"/>
  <c r="R87" i="4"/>
  <c r="R86" i="4"/>
  <c r="W5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Z2" i="4"/>
  <c r="O57" i="4"/>
  <c r="S4" i="16"/>
  <c r="O4" i="16"/>
  <c r="C66" i="4"/>
  <c r="C69" i="4" s="1"/>
  <c r="E16" i="4" s="1"/>
  <c r="Y2" i="4"/>
  <c r="AI6" i="4"/>
  <c r="AH6" i="4" s="1"/>
  <c r="AG6" i="4" s="1"/>
  <c r="AF6" i="4" s="1"/>
  <c r="AE6" i="4" s="1"/>
  <c r="AD6" i="4" s="1"/>
  <c r="AC6" i="4" s="1"/>
  <c r="AB6" i="4" s="1"/>
  <c r="AA6" i="4" s="1"/>
  <c r="Z6" i="4" s="1"/>
  <c r="Q57" i="4"/>
  <c r="Q54" i="4" s="1"/>
  <c r="AA48" i="4"/>
  <c r="Z48" i="4" s="1"/>
  <c r="Q65" i="4"/>
  <c r="R85" i="4"/>
  <c r="T57" i="4"/>
  <c r="U49" i="13"/>
  <c r="R84" i="4"/>
  <c r="R12" i="4"/>
  <c r="Y6" i="4"/>
  <c r="X6" i="4" s="1"/>
  <c r="W6" i="4" s="1"/>
  <c r="U6" i="4" s="1"/>
  <c r="T6" i="4" s="1"/>
  <c r="R6" i="4" s="1"/>
  <c r="Q6" i="4" s="1"/>
  <c r="Q2" i="4"/>
  <c r="T2" i="4" s="1"/>
  <c r="H8" i="17"/>
  <c r="H7" i="17" s="1"/>
  <c r="H4" i="17" s="1"/>
  <c r="H3" i="17" s="1"/>
  <c r="F3" i="17" s="1"/>
  <c r="U62" i="4"/>
  <c r="Q48" i="4"/>
  <c r="X48" i="4"/>
  <c r="Y48" i="4" s="1"/>
  <c r="I24" i="14"/>
  <c r="AP10" i="4" s="1"/>
  <c r="R91" i="4"/>
  <c r="R92" i="4" s="1"/>
  <c r="I6" i="16"/>
  <c r="O12" i="16" s="1"/>
  <c r="J3" i="14"/>
  <c r="Q32" i="14"/>
  <c r="R19" i="13" l="1"/>
  <c r="C6" i="17"/>
  <c r="C7" i="17" s="1"/>
  <c r="R20" i="13"/>
  <c r="K9" i="4"/>
  <c r="R50" i="4"/>
  <c r="O8" i="16"/>
  <c r="O9" i="16" s="1"/>
  <c r="I3" i="4"/>
  <c r="N11" i="16"/>
  <c r="J9" i="16" s="1"/>
  <c r="U18" i="16"/>
  <c r="O15" i="4"/>
  <c r="Q15" i="4" s="1"/>
  <c r="K15" i="4" s="1"/>
  <c r="AB37" i="13"/>
  <c r="R23" i="4"/>
  <c r="T23" i="4" s="1"/>
  <c r="U23" i="4" s="1"/>
  <c r="G24" i="4" s="1"/>
  <c r="K47" i="4"/>
  <c r="AA35" i="13"/>
  <c r="I52" i="4"/>
  <c r="Q49" i="4"/>
  <c r="I53" i="4"/>
  <c r="I29" i="4"/>
  <c r="T12" i="4"/>
  <c r="R13" i="13" s="1"/>
  <c r="M13" i="4"/>
  <c r="AE25" i="4"/>
  <c r="AC25" i="4"/>
  <c r="R57" i="4"/>
  <c r="O56" i="4" s="1"/>
  <c r="W49" i="13" s="1"/>
  <c r="U57" i="4"/>
  <c r="O6" i="4"/>
  <c r="N16" i="4"/>
  <c r="I16" i="4" s="1"/>
  <c r="F7" i="17"/>
  <c r="U46" i="4"/>
  <c r="Q46" i="4" s="1"/>
  <c r="R46" i="4" s="1"/>
  <c r="T46" i="4" s="1"/>
  <c r="R48" i="4"/>
  <c r="T48" i="4"/>
  <c r="W34" i="13" s="1"/>
  <c r="K48" i="4"/>
  <c r="AA43" i="13"/>
  <c r="AA25" i="4"/>
  <c r="W25" i="4"/>
  <c r="N33" i="4"/>
  <c r="N66" i="4"/>
  <c r="AC42" i="4"/>
  <c r="Y49" i="4"/>
  <c r="AB42" i="4"/>
  <c r="N17" i="4"/>
  <c r="Z49" i="4"/>
  <c r="R36" i="4"/>
  <c r="U25" i="4"/>
  <c r="H46" i="4"/>
  <c r="D8" i="17" l="1"/>
  <c r="C8" i="17" s="1"/>
  <c r="R18" i="13"/>
  <c r="Q29" i="4"/>
  <c r="R29" i="4" s="1"/>
  <c r="W33" i="13" s="1"/>
  <c r="T29" i="4"/>
  <c r="AA37" i="13"/>
  <c r="R49" i="4"/>
  <c r="I49" i="4"/>
  <c r="U2" i="4"/>
  <c r="X43" i="4"/>
  <c r="X42" i="4"/>
  <c r="I36" i="4"/>
  <c r="R37" i="4"/>
  <c r="AD25" i="4"/>
  <c r="L25" i="4" s="1"/>
  <c r="X25" i="4" s="1"/>
  <c r="Z32" i="13"/>
  <c r="Z25" i="4"/>
  <c r="I26" i="4" s="1"/>
  <c r="AB25" i="4"/>
  <c r="D41" i="4"/>
  <c r="F27" i="4"/>
  <c r="W32" i="13"/>
  <c r="O11" i="4"/>
  <c r="A8" i="17"/>
  <c r="C60" i="13"/>
  <c r="C9" i="17"/>
  <c r="C10" i="17" s="1"/>
  <c r="M40" i="4" l="1"/>
  <c r="P7" i="13"/>
  <c r="P12" i="13"/>
  <c r="M42" i="4"/>
  <c r="Q7" i="4"/>
  <c r="W8" i="4"/>
  <c r="R15" i="4"/>
  <c r="Y35" i="13"/>
  <c r="H42" i="4"/>
  <c r="H44" i="4"/>
  <c r="Y37" i="13"/>
  <c r="R94" i="4"/>
  <c r="F43" i="4"/>
  <c r="I28" i="4"/>
  <c r="Z28" i="4"/>
  <c r="AH42" i="4" s="1"/>
  <c r="O26" i="4"/>
  <c r="R22" i="13"/>
  <c r="R21" i="13"/>
  <c r="P5" i="4" l="1"/>
  <c r="AG42" i="4"/>
  <c r="AF42" i="4" s="1"/>
  <c r="AE42" i="4" s="1"/>
  <c r="Y42" i="4" s="1"/>
  <c r="AG43" i="4"/>
  <c r="AH43" i="4"/>
  <c r="F57" i="4"/>
  <c r="M19" i="4"/>
  <c r="C1" i="4"/>
  <c r="M54" i="4"/>
  <c r="R97" i="4" s="1"/>
  <c r="M51" i="4"/>
  <c r="M53" i="4"/>
  <c r="M57" i="4"/>
  <c r="M48" i="4"/>
  <c r="M29" i="4"/>
  <c r="M50" i="4"/>
  <c r="M49" i="4"/>
  <c r="R23" i="13"/>
  <c r="C11" i="17"/>
  <c r="H19" i="17" s="1"/>
  <c r="AF43" i="4" l="1"/>
  <c r="AE43" i="4" s="1"/>
  <c r="Z42" i="4"/>
  <c r="Z43" i="4"/>
  <c r="Q53" i="4"/>
  <c r="R53" i="4" s="1"/>
  <c r="O52" i="4"/>
  <c r="W36" i="13" s="1"/>
  <c r="M56" i="4"/>
  <c r="M44" i="4"/>
  <c r="M46" i="4"/>
  <c r="R98" i="4" s="1"/>
  <c r="M39" i="4"/>
  <c r="R96" i="4" s="1"/>
  <c r="M21" i="4"/>
  <c r="M23" i="4" s="1"/>
  <c r="M20" i="4"/>
  <c r="U35" i="13"/>
  <c r="F41" i="4"/>
  <c r="M24" i="4" l="1"/>
  <c r="M35" i="4" s="1"/>
  <c r="K44" i="4"/>
  <c r="W37" i="13"/>
  <c r="M43" i="4"/>
  <c r="I23" i="4"/>
  <c r="Z4" i="13"/>
  <c r="P23" i="4"/>
  <c r="W38" i="13" s="1"/>
  <c r="W35" i="13"/>
  <c r="K42" i="4"/>
  <c r="O24" i="4" l="1"/>
  <c r="M36" i="4"/>
  <c r="O38" i="4" s="1"/>
  <c r="M37" i="4"/>
  <c r="M38" i="4" l="1"/>
  <c r="M61" i="4" s="1"/>
  <c r="O61" i="4" s="1"/>
  <c r="W4" i="13"/>
  <c r="K38" i="13"/>
  <c r="D36" i="13" s="1"/>
  <c r="Z22" i="4"/>
  <c r="Z23" i="4" s="1"/>
  <c r="O36" i="4"/>
  <c r="W41" i="13" s="1"/>
  <c r="X49" i="13"/>
  <c r="X4" i="13"/>
  <c r="M1" i="13" s="1"/>
  <c r="M62" i="4" l="1"/>
  <c r="M64" i="4"/>
  <c r="M65" i="4" s="1"/>
  <c r="M6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4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<sst xmlns="http://schemas.openxmlformats.org/spreadsheetml/2006/main" count="905" uniqueCount="557">
  <si>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</si>
  <si>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</si>
  <si>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</si>
  <si>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</si>
  <si>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</si>
  <si>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</si>
  <si>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</si>
  <si>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</si>
  <si>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</si>
  <si>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</si>
  <si>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</si>
  <si>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</si>
  <si>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</si>
  <si>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</si>
  <si>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</si>
  <si>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</si>
  <si>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</si>
  <si>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</si>
  <si>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</si>
  <si>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</si>
  <si>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</si>
  <si>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</si>
  <si>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</si>
  <si>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</si>
  <si>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</si>
  <si>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</si>
  <si>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</si>
  <si>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</si>
  <si>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</si>
  <si>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</si>
  <si>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</si>
  <si>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</si>
  <si>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</si>
  <si>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</si>
  <si>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</si>
  <si>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</si>
  <si>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</si>
  <si>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</si>
  <si>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</si>
  <si>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</si>
  <si>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</si>
  <si>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</si>
  <si>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</si>
  <si>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</si>
  <si>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</si>
  <si>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</si>
  <si>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</si>
  <si>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</si>
  <si>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</si>
  <si>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</si>
  <si>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</si>
  <si>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</si>
  <si>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</si>
  <si>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</si>
  <si>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</si>
  <si>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</si>
  <si>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</si>
  <si>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</si>
  <si>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</si>
  <si>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</si>
  <si>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</si>
  <si>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</si>
  <si>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</si>
  <si>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</si>
  <si>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</si>
  <si>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</si>
  <si>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</si>
  <si>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</si>
  <si>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</si>
  <si>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</si>
  <si>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</si>
  <si>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</si>
  <si>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</si>
  <si>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</si>
  <si>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</si>
  <si>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</si>
  <si>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</si>
  <si>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</si>
  <si>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</si>
  <si>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</si>
  <si>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</si>
  <si>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</si>
  <si>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</si>
  <si>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</si>
  <si>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</si>
  <si>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</si>
  <si>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</si>
  <si>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</si>
  <si>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</si>
  <si>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</si>
  <si>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</si>
  <si>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</si>
  <si>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</si>
  <si>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</si>
  <si>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</si>
  <si>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</si>
  <si>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</si>
  <si>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</si>
  <si>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</si>
  <si>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</si>
  <si>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</si>
  <si>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</si>
  <si>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</si>
  <si>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</si>
  <si>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</si>
  <si>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</si>
  <si>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</si>
  <si>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</si>
  <si>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</si>
  <si>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</si>
  <si>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</si>
  <si>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</si>
  <si>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</si>
  <si>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</si>
  <si>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</si>
  <si>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</si>
  <si>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</si>
  <si>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</si>
  <si>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</si>
  <si>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</si>
  <si>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</si>
  <si>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</si>
  <si>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</si>
  <si>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</si>
  <si>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</si>
  <si>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</si>
  <si>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</si>
  <si>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</si>
  <si>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</si>
  <si>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</si>
  <si>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</si>
  <si>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</si>
  <si>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</si>
  <si>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</si>
  <si>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</si>
  <si>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</si>
  <si>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</si>
  <si>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</si>
  <si>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</si>
  <si>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</si>
  <si>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</si>
  <si>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</si>
  <si>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</si>
  <si>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</si>
  <si>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</si>
  <si>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</si>
  <si>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</si>
  <si>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</si>
  <si>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</si>
  <si>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</si>
  <si>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</si>
  <si>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</si>
  <si>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</si>
  <si>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</si>
  <si>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</si>
  <si>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</si>
  <si>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</si>
  <si>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</si>
  <si>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</si>
  <si>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</si>
  <si>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</si>
  <si>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</si>
  <si>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</si>
  <si>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</si>
  <si>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</si>
  <si>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</si>
  <si>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</si>
  <si>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</si>
  <si>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</si>
  <si>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</si>
  <si>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</si>
  <si>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</si>
  <si>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</si>
  <si>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</si>
  <si>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</si>
  <si>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</si>
  <si>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</si>
  <si>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</si>
  <si>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</si>
  <si>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</si>
  <si>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</si>
  <si>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</si>
  <si>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</si>
  <si>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</si>
  <si>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</si>
  <si>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</si>
  <si>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</si>
  <si>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</si>
  <si>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</si>
  <si>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</si>
  <si>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</si>
  <si>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</si>
  <si>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</si>
  <si>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</si>
  <si>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</si>
  <si>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</si>
  <si>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</si>
  <si>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</si>
  <si>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</si>
  <si>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</si>
  <si>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</si>
  <si>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</si>
  <si>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</si>
  <si>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</si>
  <si>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</si>
  <si>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</si>
  <si>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</si>
  <si>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</si>
  <si>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</si>
  <si>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</si>
  <si>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</si>
  <si>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</si>
  <si>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</si>
  <si>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</si>
  <si>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</si>
  <si>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</si>
  <si>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</si>
  <si>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</si>
  <si>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</si>
  <si>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</si>
  <si>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</si>
  <si>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</si>
  <si>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</si>
  <si>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</si>
  <si>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</si>
  <si>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</si>
  <si>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</si>
  <si>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</si>
  <si>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</si>
  <si>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</si>
  <si>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</si>
  <si>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</si>
  <si>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</si>
  <si>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</si>
  <si>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</si>
  <si>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</si>
  <si>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</si>
  <si>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</si>
  <si>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</si>
  <si>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</si>
  <si>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</si>
  <si>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</si>
  <si>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</si>
  <si>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</si>
  <si>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</si>
  <si>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</si>
  <si>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</si>
  <si>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</si>
  <si>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</si>
  <si>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</si>
  <si>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</si>
  <si>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</si>
  <si>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</si>
  <si>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</si>
  <si>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</si>
  <si>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</si>
  <si>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</si>
  <si>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</si>
  <si>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</si>
  <si>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</si>
  <si>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</si>
  <si>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</si>
  <si>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</si>
  <si>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</si>
  <si>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</si>
  <si>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</si>
  <si>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</si>
  <si>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</si>
  <si>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</si>
  <si>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</si>
  <si>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</si>
  <si>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</si>
  <si>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</si>
  <si>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</si>
  <si>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</si>
  <si>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</si>
  <si>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</si>
  <si>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</si>
  <si>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</si>
  <si>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</si>
  <si>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</si>
  <si>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</si>
  <si>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</si>
  <si>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</si>
  <si>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</si>
  <si>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</si>
  <si>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</si>
  <si>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</si>
  <si>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</si>
  <si>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</si>
  <si>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</si>
  <si>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</si>
  <si>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</si>
  <si>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</si>
  <si>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</si>
  <si>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</si>
  <si>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</si>
  <si>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</si>
  <si>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</si>
  <si>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</si>
  <si>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</si>
  <si>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</si>
  <si>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</si>
  <si>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</si>
  <si>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</si>
  <si>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</si>
  <si>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</si>
  <si>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</si>
  <si>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</si>
  <si>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</si>
  <si>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</si>
  <si>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</si>
  <si>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</si>
  <si>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</si>
  <si>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</si>
  <si>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</si>
  <si>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</si>
  <si>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</si>
  <si>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</si>
  <si>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</si>
  <si>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</si>
  <si>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</si>
  <si>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</si>
  <si>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</si>
  <si>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</si>
  <si>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</si>
  <si>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</si>
  <si>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</si>
  <si>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</si>
  <si>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</si>
  <si>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</si>
  <si>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</si>
  <si>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</si>
  <si>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</si>
  <si>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</si>
  <si>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</si>
  <si>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</si>
  <si>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</si>
  <si>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</si>
  <si>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</si>
  <si>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</si>
  <si>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</si>
  <si>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</si>
  <si>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</si>
  <si>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</si>
  <si>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</si>
  <si>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</si>
  <si>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</si>
  <si>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</si>
  <si>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</si>
  <si>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</si>
  <si>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</si>
  <si>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</si>
  <si>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</si>
  <si>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</si>
  <si>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</si>
  <si>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</si>
  <si>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</si>
  <si>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</si>
  <si>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</si>
  <si>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</si>
  <si>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</si>
  <si>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</si>
  <si>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</si>
  <si>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</si>
  <si>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</si>
  <si>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</si>
  <si>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</si>
  <si>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</si>
  <si>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</si>
  <si>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</si>
  <si>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</si>
  <si>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</si>
  <si>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</si>
  <si>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</si>
  <si>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</si>
  <si>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</si>
  <si>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</si>
  <si>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</si>
  <si>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</si>
  <si>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</si>
  <si>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</si>
  <si>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</si>
  <si>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</si>
  <si>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</si>
  <si>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</si>
  <si>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</si>
  <si>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</si>
  <si>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</si>
  <si>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</si>
  <si>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</si>
  <si>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</si>
  <si>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</si>
  <si>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</si>
  <si>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</si>
  <si>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</si>
  <si>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</si>
  <si>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</si>
  <si>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</si>
  <si>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</si>
  <si>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</si>
  <si>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</si>
  <si>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</si>
  <si>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</si>
  <si>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</si>
  <si>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</si>
  <si>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</si>
  <si>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</si>
  <si>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</si>
  <si>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</si>
  <si>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</si>
  <si>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</si>
  <si>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</si>
  <si>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</si>
  <si>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</si>
  <si>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</si>
  <si>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</si>
  <si>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</si>
  <si>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</si>
  <si>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</si>
  <si>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</si>
  <si>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</si>
  <si>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</si>
  <si>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</si>
  <si>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</si>
  <si>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</si>
  <si>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</si>
  <si>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</si>
  <si>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</si>
  <si>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</si>
  <si>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</si>
  <si>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</si>
  <si>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</si>
  <si>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</si>
  <si>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</si>
  <si>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</si>
  <si>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</si>
  <si>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</si>
  <si>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</si>
  <si>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</si>
  <si>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</si>
  <si>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</si>
  <si>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</si>
  <si>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</si>
  <si>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</si>
  <si>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</si>
  <si>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</si>
  <si>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</si>
  <si>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</si>
  <si>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</si>
  <si>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</si>
  <si>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</si>
  <si>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</si>
  <si>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</si>
  <si>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</si>
  <si>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</si>
  <si>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</si>
  <si>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</si>
  <si>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</si>
  <si>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</si>
  <si>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</si>
  <si>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</si>
  <si>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</si>
  <si>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</si>
  <si>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</si>
  <si>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</si>
  <si>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</si>
  <si>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</si>
  <si>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</si>
  <si>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</si>
  <si>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</si>
  <si>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</si>
  <si>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</si>
  <si>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</si>
  <si>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</si>
  <si>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</si>
  <si>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</si>
  <si>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</si>
  <si>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</si>
  <si>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</si>
  <si>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</si>
  <si>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</si>
  <si>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</si>
  <si>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</si>
  <si>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</si>
  <si>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</si>
  <si>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</si>
  <si>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</si>
  <si>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</si>
  <si>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</si>
  <si>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</si>
  <si>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</si>
  <si>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</si>
  <si>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</si>
  <si>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</si>
  <si>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</si>
  <si>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</si>
  <si>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</si>
  <si>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</si>
  <si>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</si>
  <si>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</si>
  <si>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</si>
  <si>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</si>
  <si>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</si>
  <si>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</si>
  <si>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</si>
  <si>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</si>
  <si>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</si>
  <si>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</si>
  <si>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</si>
  <si>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</si>
  <si>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</si>
  <si>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</si>
  <si>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</si>
  <si>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</si>
  <si>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</si>
  <si>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</si>
  <si>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</si>
  <si>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</si>
  <si>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</si>
  <si>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</si>
  <si>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</si>
  <si>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</si>
  <si>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</si>
  <si>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</si>
  <si>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</si>
  <si>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</si>
  <si>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</si>
  <si>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</si>
  <si>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</si>
  <si>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</si>
  <si>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</si>
  <si>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</si>
  <si>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</si>
  <si>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</si>
  <si>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</si>
  <si>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</si>
  <si>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</si>
  <si>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</si>
  <si>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</si>
  <si>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</si>
  <si>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</si>
  <si>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</si>
  <si>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</si>
  <si>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</si>
  <si>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</si>
  <si>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</si>
  <si>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</si>
  <si>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</si>
  <si>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</si>
  <si>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</si>
  <si>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</si>
  <si>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</si>
  <si>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t>Personal Accident Cover (Driver)</t>
  </si>
  <si>
    <t>VALLIBEL FINANCE</t>
  </si>
  <si>
    <t>SSCL</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</si>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</sst>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_(* #,##0_);_(* \(#,##0\);_(* &quot;-&quot;??_);_(@_)"/>
    <numFmt numFmtId="180" formatCode="0.000%"/>
    <numFmt numFmtId="181" formatCode="0.000000%"/>
  </numFmts>
  <fonts count="240"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0"/>
      <color theme="1"/>
      <name val="Arial"/>
      <family val="2"/>
    </font>
    <font>
      <b/>
      <sz val="14"/>
      <color rgb="FFFF0000"/>
      <name val="Tahoma"/>
      <family val="2"/>
    </font>
    <font>
      <b/>
      <sz val="14"/>
      <color theme="1"/>
      <name val="Tahoma"/>
      <family val="2"/>
    </font>
    <font>
      <b/>
      <sz val="14"/>
      <color rgb="FF0070C0"/>
      <name val="Tahoma"/>
      <family val="2"/>
    </font>
    <font>
      <b/>
      <sz val="11"/>
      <color theme="1"/>
      <name val="Tahoma"/>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FFFF99"/>
        <bgColor indexed="64"/>
      </patternFill>
    </fill>
    <fill>
      <patternFill patternType="solid">
        <fgColor rgb="FFFFCC66"/>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s>
  <cellStyleXfs count="5">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958">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2" applyFont="1" applyFill="1" applyBorder="1" applyAlignment="1" applyProtection="1">
      <alignment horizontal="center" vertical="center"/>
      <protection hidden="1"/>
    </xf>
    <xf numFmtId="0" fontId="73" fillId="12" borderId="52" xfId="2"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2"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4"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5" fillId="2" borderId="0" xfId="0" applyNumberFormat="1" applyFont="1" applyFill="1" applyBorder="1" applyAlignment="1" applyProtection="1">
      <alignment horizontal="center"/>
      <protection hidden="1"/>
    </xf>
    <xf numFmtId="2" fontId="196" fillId="11" borderId="0" xfId="0" applyNumberFormat="1" applyFont="1" applyFill="1" applyBorder="1" applyAlignment="1" applyProtection="1">
      <alignment horizontal="center"/>
      <protection hidden="1"/>
    </xf>
    <xf numFmtId="0" fontId="196" fillId="11" borderId="0" xfId="0" applyFont="1" applyFill="1" applyProtection="1">
      <protection hidden="1"/>
    </xf>
    <xf numFmtId="0" fontId="197" fillId="11" borderId="0" xfId="0" applyFont="1" applyFill="1" applyProtection="1">
      <protection hidden="1"/>
    </xf>
    <xf numFmtId="1" fontId="198" fillId="11" borderId="0" xfId="0" applyNumberFormat="1" applyFont="1" applyFill="1" applyBorder="1" applyProtection="1">
      <protection hidden="1"/>
    </xf>
    <xf numFmtId="43" fontId="196"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199"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6" fillId="17" borderId="75" xfId="0" applyFont="1" applyFill="1" applyBorder="1" applyAlignment="1" applyProtection="1">
      <alignment horizontal="center"/>
      <protection hidden="1"/>
    </xf>
    <xf numFmtId="4" fontId="197" fillId="17" borderId="92" xfId="0" applyNumberFormat="1" applyFont="1" applyFill="1" applyBorder="1" applyProtection="1">
      <protection hidden="1"/>
    </xf>
    <xf numFmtId="0" fontId="6" fillId="2" borderId="0" xfId="0" applyFont="1" applyFill="1" applyProtection="1">
      <protection hidden="1"/>
    </xf>
    <xf numFmtId="0" fontId="196"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0" fillId="11" borderId="0" xfId="0" applyFont="1" applyFill="1" applyProtection="1">
      <protection hidden="1"/>
    </xf>
    <xf numFmtId="0" fontId="201" fillId="11" borderId="0" xfId="0" applyFont="1" applyFill="1" applyProtection="1">
      <protection hidden="1"/>
    </xf>
    <xf numFmtId="0" fontId="202" fillId="11" borderId="0" xfId="0" applyFont="1" applyFill="1" applyProtection="1">
      <protection hidden="1"/>
    </xf>
    <xf numFmtId="1" fontId="196" fillId="11" borderId="0" xfId="0" applyNumberFormat="1" applyFont="1" applyFill="1" applyProtection="1">
      <protection hidden="1"/>
    </xf>
    <xf numFmtId="3" fontId="196" fillId="11" borderId="0" xfId="0" applyNumberFormat="1" applyFont="1" applyFill="1" applyProtection="1">
      <protection hidden="1"/>
    </xf>
    <xf numFmtId="1" fontId="197"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3" fillId="11" borderId="0" xfId="0" applyFont="1" applyFill="1" applyProtection="1">
      <protection hidden="1"/>
    </xf>
    <xf numFmtId="0" fontId="204" fillId="11" borderId="0" xfId="0" applyFont="1" applyFill="1" applyAlignment="1" applyProtection="1">
      <alignment horizontal="left"/>
      <protection hidden="1"/>
    </xf>
    <xf numFmtId="164" fontId="197" fillId="11" borderId="0" xfId="1" applyFont="1" applyFill="1" applyProtection="1">
      <protection hidden="1"/>
    </xf>
    <xf numFmtId="0" fontId="205"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6" fillId="11" borderId="0" xfId="0" applyNumberFormat="1" applyFont="1" applyFill="1" applyBorder="1" applyAlignment="1" applyProtection="1">
      <alignment horizontal="left"/>
      <protection hidden="1"/>
    </xf>
    <xf numFmtId="176" fontId="196" fillId="11" borderId="0" xfId="0" applyNumberFormat="1" applyFont="1" applyFill="1" applyBorder="1" applyAlignment="1" applyProtection="1">
      <alignment horizontal="left"/>
      <protection hidden="1"/>
    </xf>
    <xf numFmtId="2" fontId="206" fillId="16" borderId="93" xfId="0" applyNumberFormat="1" applyFont="1" applyFill="1" applyBorder="1" applyAlignment="1" applyProtection="1">
      <alignment horizontal="right"/>
      <protection hidden="1"/>
    </xf>
    <xf numFmtId="2" fontId="207"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8"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09"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3" applyBorder="1" applyProtection="1">
      <protection hidden="1"/>
    </xf>
    <xf numFmtId="0" fontId="11" fillId="0" borderId="48" xfId="3" applyFont="1" applyBorder="1" applyProtection="1">
      <protection hidden="1"/>
    </xf>
    <xf numFmtId="0" fontId="51" fillId="0" borderId="48" xfId="3" applyFont="1" applyBorder="1" applyProtection="1">
      <protection hidden="1"/>
    </xf>
    <xf numFmtId="173" fontId="11" fillId="0" borderId="48" xfId="3" applyNumberFormat="1" applyFont="1" applyBorder="1" applyAlignment="1" applyProtection="1">
      <alignment horizontal="right"/>
      <protection hidden="1"/>
    </xf>
    <xf numFmtId="0" fontId="11" fillId="0" borderId="48" xfId="3" applyFont="1" applyBorder="1" applyAlignment="1" applyProtection="1">
      <alignment horizontal="left"/>
      <protection hidden="1"/>
    </xf>
    <xf numFmtId="173" fontId="11" fillId="0" borderId="48" xfId="3" applyNumberFormat="1" applyFont="1" applyBorder="1" applyAlignment="1" applyProtection="1">
      <alignment horizontal="center"/>
      <protection hidden="1"/>
    </xf>
    <xf numFmtId="0" fontId="81" fillId="0" borderId="48" xfId="3" applyFont="1" applyBorder="1" applyAlignment="1" applyProtection="1">
      <alignment horizontal="right"/>
      <protection hidden="1"/>
    </xf>
    <xf numFmtId="0" fontId="189" fillId="0" borderId="49" xfId="3"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0"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7"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1" fillId="0" borderId="62" xfId="0" applyFont="1" applyFill="1" applyBorder="1" applyProtection="1">
      <protection hidden="1"/>
    </xf>
    <xf numFmtId="0" fontId="211"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2" fillId="0" borderId="45" xfId="0"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164" fontId="214"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6" fillId="17" borderId="0" xfId="0" applyFont="1" applyFill="1" applyProtection="1">
      <protection hidden="1"/>
    </xf>
    <xf numFmtId="0" fontId="196"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5" fillId="11" borderId="0" xfId="0" applyFont="1" applyFill="1" applyAlignment="1" applyProtection="1">
      <alignment horizontal="center" vertical="center"/>
      <protection hidden="1"/>
    </xf>
    <xf numFmtId="0" fontId="216" fillId="18" borderId="95" xfId="0" applyFont="1" applyFill="1" applyBorder="1" applyAlignment="1" applyProtection="1">
      <alignment horizontal="left" vertical="center"/>
      <protection locked="0"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1"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2"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61" fillId="16" borderId="62" xfId="0" applyNumberFormat="1" applyFont="1" applyFill="1" applyBorder="1" applyProtection="1">
      <protection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4"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19"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0"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3" fillId="17" borderId="0" xfId="0" applyFont="1" applyFill="1" applyAlignment="1" applyProtection="1">
      <alignment horizontal="left"/>
      <protection hidden="1"/>
    </xf>
    <xf numFmtId="0" fontId="203"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95" xfId="0" applyFont="1" applyFill="1" applyBorder="1" applyAlignment="1" applyProtection="1">
      <alignment horizontal="center" vertical="center"/>
      <protection hidden="1"/>
    </xf>
    <xf numFmtId="4" fontId="211"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19"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3" applyFont="1" applyFill="1" applyBorder="1" applyAlignment="1" applyProtection="1">
      <alignment vertical="center"/>
      <protection hidden="1"/>
    </xf>
    <xf numFmtId="0" fontId="56" fillId="2" borderId="0" xfId="3" applyFont="1" applyFill="1" applyBorder="1" applyAlignment="1" applyProtection="1">
      <alignment vertical="top"/>
      <protection hidden="1"/>
    </xf>
    <xf numFmtId="0" fontId="56" fillId="2" borderId="0" xfId="3" applyFont="1" applyFill="1" applyBorder="1" applyAlignment="1" applyProtection="1">
      <protection hidden="1"/>
    </xf>
    <xf numFmtId="0" fontId="46" fillId="2" borderId="0" xfId="3" applyFont="1" applyFill="1" applyBorder="1" applyAlignment="1" applyProtection="1">
      <alignment vertical="center"/>
      <protection hidden="1"/>
    </xf>
    <xf numFmtId="0" fontId="46" fillId="2" borderId="0" xfId="3" applyFont="1" applyFill="1" applyBorder="1" applyAlignment="1" applyProtection="1">
      <alignment vertical="top"/>
      <protection hidden="1"/>
    </xf>
    <xf numFmtId="0" fontId="46" fillId="2" borderId="0" xfId="3"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3" fillId="20" borderId="0" xfId="0" applyFont="1" applyFill="1" applyAlignment="1">
      <alignment vertical="center"/>
    </xf>
    <xf numFmtId="43" fontId="0" fillId="21" borderId="0" xfId="0" applyNumberFormat="1" applyFill="1" applyAlignment="1">
      <alignment vertical="center"/>
    </xf>
    <xf numFmtId="10" fontId="1" fillId="0" borderId="0" xfId="4" applyNumberFormat="1" applyAlignment="1">
      <alignment vertical="center"/>
    </xf>
    <xf numFmtId="0" fontId="0" fillId="0" borderId="106" xfId="0" applyBorder="1" applyAlignment="1">
      <alignment vertical="center"/>
    </xf>
    <xf numFmtId="43" fontId="0" fillId="22" borderId="0" xfId="0" applyNumberFormat="1" applyFill="1" applyAlignment="1">
      <alignment vertical="center"/>
    </xf>
    <xf numFmtId="179" fontId="8" fillId="23"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4" borderId="106" xfId="0" applyNumberFormat="1" applyFont="1" applyFill="1" applyBorder="1" applyAlignment="1">
      <alignment vertical="center"/>
    </xf>
    <xf numFmtId="43" fontId="1" fillId="21" borderId="0" xfId="1" applyNumberFormat="1" applyFill="1" applyAlignment="1">
      <alignment vertical="center"/>
    </xf>
    <xf numFmtId="0" fontId="0" fillId="0" borderId="0" xfId="0" applyBorder="1" applyAlignment="1">
      <alignment vertical="center"/>
    </xf>
    <xf numFmtId="43" fontId="203" fillId="25" borderId="0" xfId="0" applyNumberFormat="1" applyFont="1" applyFill="1" applyAlignment="1">
      <alignment vertical="center"/>
    </xf>
    <xf numFmtId="43" fontId="203" fillId="26" borderId="0" xfId="0" applyNumberFormat="1" applyFont="1" applyFill="1" applyAlignment="1">
      <alignment vertical="center"/>
    </xf>
    <xf numFmtId="0" fontId="233" fillId="18" borderId="0" xfId="0" applyFont="1" applyFill="1" applyAlignment="1">
      <alignment horizontal="center" vertical="center"/>
    </xf>
    <xf numFmtId="0" fontId="216" fillId="18" borderId="95" xfId="0" applyFont="1" applyFill="1" applyBorder="1" applyAlignment="1" applyProtection="1">
      <alignment horizontal="left" vertical="center"/>
      <protection hidden="1"/>
    </xf>
    <xf numFmtId="164" fontId="194" fillId="21" borderId="0" xfId="1" applyFont="1" applyFill="1"/>
    <xf numFmtId="166" fontId="6" fillId="16" borderId="106" xfId="4" applyNumberFormat="1" applyFont="1" applyFill="1" applyBorder="1" applyAlignment="1">
      <alignment vertical="center"/>
    </xf>
    <xf numFmtId="0" fontId="234"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165" fontId="8" fillId="18" borderId="106" xfId="1" applyNumberFormat="1" applyFont="1" applyFill="1" applyBorder="1" applyAlignment="1" applyProtection="1">
      <alignment vertical="center"/>
      <protection hidden="1"/>
    </xf>
    <xf numFmtId="0" fontId="7" fillId="0" borderId="106" xfId="0" applyFont="1" applyBorder="1" applyAlignment="1">
      <alignment vertical="center"/>
    </xf>
    <xf numFmtId="167" fontId="0" fillId="0" borderId="0" xfId="4" applyNumberFormat="1" applyFont="1" applyAlignment="1">
      <alignment vertical="center"/>
    </xf>
    <xf numFmtId="43" fontId="7" fillId="0" borderId="106" xfId="0" applyNumberFormat="1" applyFont="1" applyBorder="1" applyAlignment="1">
      <alignment vertical="center"/>
    </xf>
    <xf numFmtId="164" fontId="1" fillId="0" borderId="0" xfId="1" applyAlignment="1">
      <alignment vertical="center"/>
    </xf>
    <xf numFmtId="180" fontId="0" fillId="0" borderId="0" xfId="4" applyNumberFormat="1" applyFont="1" applyAlignment="1">
      <alignment vertical="center"/>
    </xf>
    <xf numFmtId="165" fontId="6" fillId="16" borderId="106" xfId="1" applyNumberFormat="1" applyFont="1" applyFill="1" applyBorder="1" applyAlignment="1">
      <alignment vertical="center"/>
    </xf>
    <xf numFmtId="164" fontId="1" fillId="18" borderId="106" xfId="1" applyFill="1" applyBorder="1" applyAlignment="1">
      <alignment vertical="center"/>
    </xf>
    <xf numFmtId="181" fontId="235" fillId="18" borderId="0" xfId="4" applyNumberFormat="1" applyFont="1" applyFill="1" applyAlignment="1">
      <alignment vertical="center"/>
    </xf>
    <xf numFmtId="164" fontId="46" fillId="2" borderId="0" xfId="0" applyNumberFormat="1" applyFont="1" applyFill="1" applyBorder="1" applyProtection="1">
      <protection hidden="1"/>
    </xf>
    <xf numFmtId="14" fontId="0" fillId="0" borderId="0" xfId="0" applyNumberFormat="1" applyAlignment="1">
      <alignment vertical="center"/>
    </xf>
    <xf numFmtId="3" fontId="46" fillId="28" borderId="45" xfId="0" applyNumberFormat="1" applyFont="1" applyFill="1" applyBorder="1" applyProtection="1">
      <protection locked="0" hidden="1"/>
    </xf>
    <xf numFmtId="3" fontId="71" fillId="28" borderId="62" xfId="0" applyNumberFormat="1" applyFont="1" applyFill="1" applyBorder="1" applyProtection="1">
      <protection locked="0" hidden="1"/>
    </xf>
    <xf numFmtId="3" fontId="11" fillId="0" borderId="0" xfId="0" applyNumberFormat="1" applyFont="1"/>
    <xf numFmtId="9" fontId="0" fillId="0" borderId="0" xfId="0" applyNumberFormat="1" applyAlignment="1">
      <alignment vertical="center"/>
    </xf>
    <xf numFmtId="0" fontId="100" fillId="4" borderId="107" xfId="0" applyFont="1" applyFill="1" applyBorder="1" applyAlignment="1" applyProtection="1">
      <alignment horizontal="left"/>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174" fontId="68" fillId="0" borderId="110" xfId="0" applyNumberFormat="1" applyFont="1" applyBorder="1" applyAlignment="1" applyProtection="1">
      <alignment horizontal="left" vertical="top"/>
      <protection hidden="1"/>
    </xf>
    <xf numFmtId="0" fontId="54" fillId="9" borderId="111" xfId="0" applyFont="1" applyFill="1" applyBorder="1" applyAlignment="1" applyProtection="1">
      <alignment horizontal="center"/>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3" fontId="38" fillId="6" borderId="125" xfId="0" applyNumberFormat="1" applyFont="1" applyFill="1" applyBorder="1" applyAlignment="1" applyProtection="1">
      <alignment horizontal="center"/>
      <protection hidden="1"/>
    </xf>
    <xf numFmtId="173" fontId="38" fillId="6" borderId="127" xfId="0" applyNumberFormat="1" applyFont="1" applyFill="1" applyBorder="1" applyAlignment="1" applyProtection="1">
      <alignment horizontal="center"/>
      <protection hidden="1"/>
    </xf>
    <xf numFmtId="0" fontId="28" fillId="5" borderId="128" xfId="0" applyFont="1" applyFill="1" applyBorder="1" applyAlignment="1" applyProtection="1">
      <alignment horizontal="left"/>
      <protection hidden="1"/>
    </xf>
    <xf numFmtId="0" fontId="28" fillId="5" borderId="129" xfId="0" applyFont="1" applyFill="1" applyBorder="1" applyAlignment="1" applyProtection="1">
      <alignment horizontal="left"/>
      <protection hidden="1"/>
    </xf>
    <xf numFmtId="0" fontId="35" fillId="3"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50" fillId="5" borderId="132"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2" fillId="5" borderId="121" xfId="0" applyFont="1" applyFill="1" applyBorder="1" applyAlignment="1" applyProtection="1">
      <alignment horizontal="center"/>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51" fillId="9" borderId="114"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5"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6"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3" fontId="3" fillId="6" borderId="125"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3" fontId="6" fillId="15" borderId="121" xfId="0" applyNumberFormat="1" applyFont="1" applyFill="1" applyBorder="1" applyAlignment="1" applyProtection="1">
      <alignment horizontal="right"/>
      <protection hidden="1"/>
    </xf>
    <xf numFmtId="3" fontId="6" fillId="15" borderId="123" xfId="0" applyNumberFormat="1" applyFont="1" applyFill="1" applyBorder="1" applyAlignment="1" applyProtection="1">
      <alignment horizontal="right"/>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3"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14"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1" xfId="0" applyFont="1" applyFill="1" applyBorder="1" applyAlignment="1" applyProtection="1">
      <alignment horizontal="center"/>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71" fillId="28" borderId="136" xfId="0" applyFont="1" applyFill="1" applyBorder="1" applyAlignment="1" applyProtection="1">
      <alignment horizontal="left" vertical="center"/>
      <protection locked="0" hidden="1"/>
    </xf>
    <xf numFmtId="0" fontId="71" fillId="28" borderId="137" xfId="0" applyFont="1" applyFill="1" applyBorder="1" applyAlignment="1" applyProtection="1">
      <alignment horizontal="left" vertical="center"/>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28" borderId="136" xfId="0" applyFont="1" applyFill="1" applyBorder="1" applyAlignment="1" applyProtection="1">
      <alignment horizontal="left" vertical="center" shrinkToFit="1"/>
      <protection locked="0" hidden="1"/>
    </xf>
    <xf numFmtId="0" fontId="66" fillId="28" borderId="137" xfId="0" applyFont="1" applyFill="1" applyBorder="1" applyAlignment="1" applyProtection="1">
      <alignment horizontal="left" vertical="center" shrinkToFit="1"/>
      <protection locked="0" hidden="1"/>
    </xf>
    <xf numFmtId="0" fontId="66" fillId="28" borderId="138"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28" borderId="138" xfId="0" applyFont="1" applyFill="1" applyBorder="1" applyAlignment="1" applyProtection="1">
      <alignment horizontal="lef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0" fontId="200" fillId="2" borderId="0" xfId="0" applyFont="1" applyFill="1" applyAlignment="1" applyProtection="1">
      <alignment horizontal="justify" vertical="top" wrapText="1"/>
      <protection hidden="1"/>
    </xf>
    <xf numFmtId="0" fontId="193" fillId="2" borderId="0" xfId="0" applyFont="1" applyFill="1" applyBorder="1" applyAlignment="1" applyProtection="1">
      <alignment horizontal="left" vertical="top" wrapText="1"/>
      <protection hidden="1"/>
    </xf>
    <xf numFmtId="0" fontId="236"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8" borderId="134" xfId="0" applyFont="1" applyFill="1" applyBorder="1" applyAlignment="1" applyProtection="1">
      <alignment horizontal="left" vertical="center" shrinkToFit="1"/>
      <protection hidden="1"/>
    </xf>
    <xf numFmtId="0" fontId="237" fillId="18" borderId="118" xfId="0" applyFont="1" applyFill="1" applyBorder="1" applyAlignment="1" applyProtection="1">
      <alignment horizontal="left" vertical="center" shrinkToFit="1"/>
      <protection hidden="1"/>
    </xf>
    <xf numFmtId="0" fontId="237" fillId="18" borderId="135" xfId="0" applyFont="1" applyFill="1" applyBorder="1" applyAlignment="1" applyProtection="1">
      <alignment horizontal="left" vertical="center" shrinkToFit="1"/>
      <protection hidden="1"/>
    </xf>
    <xf numFmtId="0" fontId="46" fillId="2" borderId="0" xfId="3" applyFont="1" applyFill="1" applyBorder="1" applyAlignment="1" applyProtection="1">
      <alignment horizontal="left" vertical="top" wrapText="1"/>
      <protection hidden="1"/>
    </xf>
    <xf numFmtId="0" fontId="238" fillId="2" borderId="0" xfId="0" applyFont="1" applyFill="1" applyBorder="1" applyAlignment="1" applyProtection="1">
      <alignment horizontal="center" vertical="center" wrapText="1"/>
      <protection hidden="1"/>
    </xf>
    <xf numFmtId="171" fontId="46" fillId="2" borderId="0" xfId="0" applyNumberFormat="1" applyFont="1" applyFill="1" applyBorder="1" applyAlignment="1" applyProtection="1">
      <alignment horizontal="left" vertical="top" wrapText="1"/>
      <protection hidden="1"/>
    </xf>
    <xf numFmtId="171" fontId="46" fillId="2" borderId="0" xfId="0" applyNumberFormat="1" applyFont="1" applyFill="1" applyBorder="1" applyAlignment="1" applyProtection="1">
      <alignment horizontal="left" vertical="top"/>
      <protection hidden="1"/>
    </xf>
    <xf numFmtId="0" fontId="71" fillId="2" borderId="0" xfId="0" applyFont="1" applyFill="1" applyAlignment="1" applyProtection="1">
      <alignment horizontal="left"/>
      <protection hidden="1"/>
    </xf>
    <xf numFmtId="38" fontId="61" fillId="29" borderId="143" xfId="0" applyNumberFormat="1" applyFont="1" applyFill="1" applyBorder="1" applyAlignment="1" applyProtection="1">
      <alignment horizontal="center"/>
      <protection hidden="1"/>
    </xf>
    <xf numFmtId="38" fontId="61" fillId="29" borderId="144" xfId="0" applyNumberFormat="1" applyFont="1" applyFill="1" applyBorder="1" applyAlignment="1" applyProtection="1">
      <alignment horizontal="center"/>
      <protection hidden="1"/>
    </xf>
    <xf numFmtId="38" fontId="61" fillId="29" borderId="145"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9" xfId="0" applyFont="1" applyFill="1" applyBorder="1" applyAlignment="1" applyProtection="1">
      <alignment horizontal="center"/>
      <protection hidden="1"/>
    </xf>
    <xf numFmtId="0" fontId="146" fillId="3" borderId="160"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61"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2" xfId="0" applyFont="1" applyFill="1" applyBorder="1" applyAlignment="1" applyProtection="1">
      <alignment horizontal="left"/>
      <protection hidden="1"/>
    </xf>
    <xf numFmtId="0" fontId="169" fillId="9" borderId="16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61"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64" xfId="0" applyFont="1" applyFill="1" applyBorder="1" applyAlignment="1" applyProtection="1">
      <alignment horizontal="left"/>
      <protection hidden="1"/>
    </xf>
    <xf numFmtId="0" fontId="124" fillId="15" borderId="151"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164" fontId="114" fillId="16" borderId="154" xfId="1" applyFont="1" applyFill="1" applyBorder="1" applyAlignment="1" applyProtection="1">
      <alignment horizontal="center"/>
      <protection hidden="1"/>
    </xf>
    <xf numFmtId="164" fontId="114" fillId="16" borderId="155"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1"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1" xfId="0" applyFont="1" applyFill="1" applyBorder="1" applyAlignment="1" applyProtection="1">
      <alignment horizontal="left" vertical="center"/>
      <protection hidden="1"/>
    </xf>
    <xf numFmtId="0" fontId="180" fillId="2" borderId="15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36" fillId="16" borderId="157" xfId="0" applyFont="1" applyFill="1" applyBorder="1" applyAlignment="1" applyProtection="1">
      <alignment horizontal="right"/>
      <protection hidden="1"/>
    </xf>
    <xf numFmtId="0" fontId="236" fillId="16" borderId="158" xfId="0" applyFont="1" applyFill="1" applyBorder="1" applyAlignment="1" applyProtection="1">
      <alignment horizontal="righ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5" xfId="0" applyFont="1" applyFill="1" applyBorder="1" applyAlignment="1" applyProtection="1">
      <alignment horizontal="left"/>
      <protection hidden="1"/>
    </xf>
    <xf numFmtId="0" fontId="45" fillId="9" borderId="166"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3" fontId="197"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2"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46" xfId="2" applyFont="1" applyFill="1" applyBorder="1" applyAlignment="1" applyProtection="1">
      <alignment horizontal="center" vertical="center"/>
      <protection hidden="1"/>
    </xf>
    <xf numFmtId="0" fontId="124" fillId="15" borderId="147" xfId="2" applyFont="1" applyFill="1" applyBorder="1" applyAlignment="1" applyProtection="1">
      <alignment horizontal="center" vertical="center"/>
      <protection hidden="1"/>
    </xf>
    <xf numFmtId="0" fontId="239" fillId="16" borderId="59" xfId="0" applyFont="1" applyFill="1" applyBorder="1" applyAlignment="1" applyProtection="1">
      <alignment horizontal="left"/>
      <protection hidden="1"/>
    </xf>
    <xf numFmtId="0" fontId="239" fillId="16" borderId="0" xfId="0"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3"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13" fillId="18" borderId="6" xfId="0" applyFont="1" applyFill="1" applyBorder="1" applyAlignment="1">
      <alignment horizontal="center" vertical="center"/>
    </xf>
  </cellXfs>
  <cellStyles count="5">
    <cellStyle name="Comma" xfId="1" builtinId="3"/>
    <cellStyle name="Hyperlink" xfId="2" builtinId="8"/>
    <cellStyle name="Normal" xfId="0" builtinId="0"/>
    <cellStyle name="Normal 2" xfId="3" xr:uid="{00000000-0005-0000-0000-000003000000}"/>
    <cellStyle name="Percent" xfId="4" builtinId="5"/>
  </cellStyles>
  <dxfs count="173">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19</xdr:col>
      <xdr:colOff>25400</xdr:colOff>
      <xdr:row>0</xdr:row>
      <xdr:rowOff>12700</xdr:rowOff>
    </xdr:from>
    <xdr:to>
      <xdr:col>38</xdr:col>
      <xdr:colOff>355600</xdr:colOff>
      <xdr:row>34</xdr:row>
      <xdr:rowOff>152400</xdr:rowOff>
    </xdr:to>
    <xdr:sp macro="" textlink="">
      <xdr:nvSpPr>
        <xdr:cNvPr id="92589" name="Rectangle 18">
          <a:extLst>
            <a:ext uri="{FF2B5EF4-FFF2-40B4-BE49-F238E27FC236}">
              <a16:creationId xmlns:a16="http://schemas.microsoft.com/office/drawing/2014/main" id="{457840F5-E13A-442C-BCF9-8491F48601F3}"/>
            </a:ext>
          </a:extLst>
        </xdr:cNvPr>
        <xdr:cNvSpPr>
          <a:spLocks noChangeArrowheads="1"/>
        </xdr:cNvSpPr>
      </xdr:nvSpPr>
      <xdr:spPr bwMode="auto">
        <a:xfrm>
          <a:off x="16014700" y="12700"/>
          <a:ext cx="123952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193AC6FC-CCF7-4367-9C26-DF6816227811}"/>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E0182956-0FD9-46F4-81BB-87DCD45A97C5}"/>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D2F93534-CF0E-4B09-B837-85778100410C}"/>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49741" name="AutoShape 4">
          <a:extLst>
            <a:ext uri="{FF2B5EF4-FFF2-40B4-BE49-F238E27FC236}">
              <a16:creationId xmlns:a16="http://schemas.microsoft.com/office/drawing/2014/main" id="{5E05D174-9F17-40B0-B0D6-ACBFE86B0E96}"/>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0F91D492-EB93-4C20-BD41-3986F068B49F}"/>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D9C12E3F-DC9C-4C84-AA76-6A1C3FDC1B29}"/>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58F77672-2D04-49EE-ABA1-FDC999178A12}"/>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7D621085-5B26-4876-A978-0DAE2B0722EA}"/>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DF3A626F-2390-495E-8FE2-919E80B29C85}"/>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8ABBA556-FFF9-4C90-8A29-4D64A65C24A5}"/>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84D80368-CC16-4EBC-8802-95D7005DE017}"/>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E77BA4F6-F263-457C-BCAC-AF40DD0BD6D6}"/>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487FDCF8-BDFD-4303-A411-6C1E48C69E3B}"/>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7F506120-5997-41D7-8E1D-5CB82508123F}"/>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61A9454A-2FAF-4D38-A26A-66E7DC57D235}"/>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37C78831-4B2F-4355-85F3-6B0A9FBBFA0E}"/>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09E8461A-AD5C-430B-B52D-B511687A72D3}"/>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F6133782-96E1-4FD4-BFD0-272E9A02576C}"/>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AB30C5FE-9B92-40FD-9A95-DAC3334B2AB8}"/>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386FCDB5-B78A-44EC-B3AD-28256629DE85}"/>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36B69CA0-FFF1-4CA6-9FEC-5FAC3CC28C34}"/>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AE22CA25-41C0-47EA-BD04-A7AC819432A5}"/>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644290CA-93A1-4EEF-B7F1-0F577647C960}"/>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AE676557-2CFE-40AD-B1C9-22A28CFBB7EF}"/>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00E568CC-AF9E-46EE-81A1-8455D54C0B2C}"/>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96EF0CCE-E143-465C-8B18-28241846135B}"/>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8539E89D-A543-48EE-8AF2-00C220775161}"/>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BB98532C-D5D3-4599-BB37-5E6699AEFDC4}"/>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73E00064-97AC-4767-85DD-00C10A0239FC}"/>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AF7B2F0D-1DF5-472F-BD0F-44D0DFA62B31}"/>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A8587AE6-DE65-4C5B-9583-363A991F03DA}"/>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1CF30B9F-ADCD-4850-8F05-F08A9D0F2D36}"/>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BEE65E6B-80D6-4430-B1E5-6AED22E780FE}"/>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ECD779D0-7779-428B-A8C8-AD7AAEA79FF5}"/>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49772" name="AutoShape 66">
          <a:extLst>
            <a:ext uri="{FF2B5EF4-FFF2-40B4-BE49-F238E27FC236}">
              <a16:creationId xmlns:a16="http://schemas.microsoft.com/office/drawing/2014/main" id="{5AE773CD-7432-4AE6-B845-970541DD0E6A}"/>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49773" name="AutoShape 67">
          <a:extLst>
            <a:ext uri="{FF2B5EF4-FFF2-40B4-BE49-F238E27FC236}">
              <a16:creationId xmlns:a16="http://schemas.microsoft.com/office/drawing/2014/main" id="{13E6EEEE-5AAB-4285-934A-F4B837126723}"/>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052327D5-94CC-49D9-B483-E81C1E8F5842}"/>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9D299AD1-BFA9-46C4-86A5-6EF4C3E7D561}"/>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CE3D3D0E-FAF0-411E-AC19-5593A5F401F6}"/>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8034668E-94B8-4F38-A189-BD5CBCCE37B4}"/>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FBB53CD5-D48E-465A-BAB7-149C04271E60}"/>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96B9A516-28CF-423B-977C-A0D8E19211D3}"/>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CFFC048E-E835-472B-9441-81B538359737}"/>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DEE2BA11-D884-441F-AAA2-0379FC4B4426}"/>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604692E1-64E5-4A7D-B033-4707D7F00FAF}"/>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73FAA19-620E-4EF7-B1E3-0863088F1F4E}"/>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3389BD16-DD7F-44B9-BD43-669BF26D10DD}"/>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0B68A1F1-A1A4-4217-AE16-66C592FBEDD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A4771F04-1436-4883-9FE5-DC79429C7E3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FC343029-C7E5-44CC-A39F-257D36463F8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CF541C56-5DAD-4B3E-9C00-5C2819DA3D4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CC75F4EB-90D4-413E-9F5C-65497CFE0515}"/>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C28C8A90-E9DB-41ED-AF74-5E9D896A36ED}"/>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BD1DB46D-8642-4AFB-801A-DDCEF7764E38}"/>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6AA7A27D-9E29-421E-8E2C-079901C17EE4}"/>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45160653-B499-4042-9411-324595D7F338}"/>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7008CD4A-3063-40CC-A650-40688324836B}"/>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20</xdr:col>
      <xdr:colOff>0</xdr:colOff>
      <xdr:row>6</xdr:row>
      <xdr:rowOff>196850</xdr:rowOff>
    </xdr:to>
    <xdr:sp macro="" textlink="">
      <xdr:nvSpPr>
        <xdr:cNvPr id="149146" name="Text Box 35">
          <a:extLst>
            <a:ext uri="{FF2B5EF4-FFF2-40B4-BE49-F238E27FC236}">
              <a16:creationId xmlns:a16="http://schemas.microsoft.com/office/drawing/2014/main" id="{7F0E3E03-12E5-4489-BAF8-C74D8CF7300A}"/>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1EE0D744-1B78-4688-850E-39CE07E500A0}"/>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A5B4EB22-0D51-4107-B22A-D0029EF7B24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3D504260-B77D-4E46-B47C-60FBAE00B34E}"/>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CEFDDFA6-5434-4F3B-857D-B40923E3D43F}"/>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7B2A2BCD-0C2C-46AF-ABCF-8758A8696A7F}"/>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16692C46-04ED-4D56-81F4-D05DF33FCBE9}"/>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7A4CA5F2-F270-4B5E-BBA8-1372DCB83418}"/>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40147</xdr:colOff>
      <xdr:row>55</xdr:row>
      <xdr:rowOff>219931</xdr:rowOff>
    </xdr:from>
    <xdr:to>
      <xdr:col>19</xdr:col>
      <xdr:colOff>62808</xdr:colOff>
      <xdr:row>58</xdr:row>
      <xdr:rowOff>196109</xdr:rowOff>
    </xdr:to>
    <xdr:sp macro="" textlink="">
      <xdr:nvSpPr>
        <xdr:cNvPr id="35" name="Text Box 86">
          <a:extLst>
            <a:ext uri="{FF2B5EF4-FFF2-40B4-BE49-F238E27FC236}">
              <a16:creationId xmlns:a16="http://schemas.microsoft.com/office/drawing/2014/main" id="{EFCB552B-9B65-4045-B3DE-1E2737143EDA}"/>
            </a:ext>
          </a:extLst>
        </xdr:cNvPr>
        <xdr:cNvSpPr txBox="1">
          <a:spLocks noChangeArrowheads="1"/>
        </xdr:cNvSpPr>
      </xdr:nvSpPr>
      <xdr:spPr bwMode="auto">
        <a:xfrm>
          <a:off x="290178" y="1164993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A9A5A009-2E93-43A8-BA4C-E08244A584DD}"/>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6B732DF6-2D65-40AF-9ADE-4BA0513E7652}"/>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F91BF206-6533-4C67-B787-B4DED9AFD0AC}"/>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C2295E85-C5C4-4AA2-A227-578A505BE2B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B45E3680-C5BE-4719-8FAC-7EBAA99BF89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09AE50A3-1683-4299-A524-FBBE64A6F8B0}"/>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8A34526C-0372-4F8D-82AE-A9108D296FE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810FEE83-56D5-4911-BC40-FD2BAEE91AE8}"/>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3AA3C057-B1CA-4592-ADBF-4C424051654B}"/>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65FC7492-2FA4-48C0-BDBF-4984CBBC7F96}"/>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0AC07918-ACBA-45EB-92DB-BF19CFFA784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706908CC-C783-4997-ADCF-143BBEF29E6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164AED2C-849E-48EE-BC9C-BFE97D0F5C0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2F757788-86C9-4F39-9525-459793C2E93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457A1980-6B4F-47C0-9DD4-4253DE2F002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03DFFF29-8250-4B15-8A24-643E21C9CE6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F4CDB4F5-3969-409A-A20E-57123EB74B86}"/>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90D16399-83BE-48B6-BBFE-71980927416B}"/>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54E3E99F-92BF-4A96-B773-0750EA897CE6}"/>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05C04947-1609-4A8C-B181-9022881E370F}"/>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F98E2BD1-2D77-4114-B880-4828DCD5120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83A7C638-C5EA-4FBD-8207-B5F0B42D7AB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B8F3A198-5060-45C9-BF16-A9223FDA699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1FEF84D1-8F68-4D56-8A86-6F6EE54F056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A3046790-B1B9-4419-9EB0-1FAD501FFEC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1654175</xdr:colOff>
      <xdr:row>31</xdr:row>
      <xdr:rowOff>12700</xdr:rowOff>
    </xdr:to>
    <xdr:pic>
      <xdr:nvPicPr>
        <xdr:cNvPr id="149180" name="Picture 86" descr="C:\Users\mumtaz\Downloads\95282942-flat-vector-exotic-cartoon-three-wheeler-tuk-tuk-rickshaw-side-view-of-transport-vehicle-.jpg">
          <a:extLst>
            <a:ext uri="{FF2B5EF4-FFF2-40B4-BE49-F238E27FC236}">
              <a16:creationId xmlns:a16="http://schemas.microsoft.com/office/drawing/2014/main" id="{C42460EF-B991-4FA0-AEAB-5994F18F50C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7AEA523C-4A52-4FC8-BE56-96378BE85DD9}"/>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49182" name="Picture 94" descr="C:\Users\mumtaz\Desktop\ATI Logo\Amana-Logos-04.png">
          <a:extLst>
            <a:ext uri="{FF2B5EF4-FFF2-40B4-BE49-F238E27FC236}">
              <a16:creationId xmlns:a16="http://schemas.microsoft.com/office/drawing/2014/main" id="{94FF3FB3-7D95-432B-A07B-96A3E16E29B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C0914070-C6EC-4CF0-B6D3-51231E8EF942}"/>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4C0021B0-2674-4950-97BF-C74A223625B8}"/>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5A9D54D4-AF0A-4D96-958E-C4AA53361CE7}"/>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D7BDFE17-A47E-47F1-BF72-C68F3CFCAA44}"/>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249417FA-4E18-458D-B14C-418F68B81B45}"/>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68EDA57C-85B5-4157-8108-4F5F6A86CA82}"/>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7C8D9492-FB16-449C-83C3-A2197415EA3D}"/>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DEDBE8EB-B421-4488-8185-0BDAF3980DAB}"/>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390B8763-5E61-482C-8586-F436E912E7E8}"/>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7BBF780C-9ABA-4874-95DE-2390364D5567}"/>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B3004A51-2DAE-4F42-B934-0601BFEEFB63}"/>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I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776" t="s">
        <v>218</v>
      </c>
      <c r="B1" s="777"/>
      <c r="C1" s="777"/>
      <c r="D1" s="778"/>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780" t="str">
        <f>H5</f>
        <v/>
      </c>
      <c r="D5" s="781"/>
      <c r="E5" s="782"/>
      <c r="G5" s="358"/>
      <c r="H5" s="358" t="str">
        <f>IF(XXWorking!$H$65529=N4,O4,IF(XXWorking!$H$65529=N5,O5,IF(XXWorking!$H$65529=N6,O6,IF(XXWorking!$H$65529=N7,O7,IF(XXWorking!$H$65529=N8,O8,IF(XXWorking!$H$65529=N9,O9,IF(XXWorking!$H$65529=N10,O10,IF(XXWorking!$H$65529=N11,O11,I5))))))))</f>
        <v/>
      </c>
      <c r="I5" s="358" t="str">
        <f>IF(XXWorking!$H$65529=N12,O12,IF(XXWorking!$H$65529=N13,O13,IF(XXWorking!$H$65529=N14,O14,IF(XXWorking!$H$65529=N15,O15,IF(XXWorking!$H$65529=N16,O16,IF(XXWorking!$H$65529=N17,O17,IF(XXWorking!$H$65529=N18,O18,IF(XXWorking!$H$65529=N19,O19,J5))))))))</f>
        <v/>
      </c>
      <c r="J5" s="358" t="str">
        <f>IF(XXWorking!$H$65529=N20,O20,IF(XXWorking!$H$65529=N21,O21,IF(XXWorking!$H$65529=N22,O22,IF(XXWorking!$H$65529=N23,O23,IF(XXWorking!$H$65529=N24,O24,IF(XXWorking!$H$65529=N25,O25,IF(XXWorking!$H$65529=N26,O26,IF(XXWorking!$H$65529=N27,O27,K5))))))))</f>
        <v/>
      </c>
      <c r="K5" s="358" t="str">
        <f>IF(XXWorking!$H$65529=N28,O28,IF(XXWorking!$H$65529=N29,O29,IF(XXWorking!$H$65529=N30,O30,IF(XXWorking!$H$65529=N31,O31,""))))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779">
        <f>I3</f>
        <v>45413</v>
      </c>
      <c r="IS7" s="779"/>
      <c r="IT7" s="779"/>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9">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78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783"/>
      <c r="C32" s="783"/>
      <c r="D32" s="783"/>
      <c r="E32" s="783"/>
      <c r="F32" s="783"/>
      <c r="G32" s="783"/>
      <c r="J32" s="572" t="s">
        <v>421</v>
      </c>
      <c r="N32" s="259"/>
      <c r="Q32" s="248">
        <f>IF(AND(M3&lt;&gt;0,G3=2),"",29)</f>
        <v>29</v>
      </c>
    </row>
    <row r="33" spans="1:17" ht="25" customHeight="1" x14ac:dyDescent="0.25">
      <c r="A33" s="783"/>
      <c r="B33" s="783"/>
      <c r="C33" s="783"/>
      <c r="D33" s="783"/>
      <c r="E33" s="783"/>
      <c r="F33" s="783"/>
      <c r="G33" s="783"/>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17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9" workbookViewId="0">
      <selection activeCell="K30" sqref="K30"/>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803" t="s">
        <v>156</v>
      </c>
      <c r="L1" s="338"/>
    </row>
    <row r="2" spans="1:19" ht="20.149999999999999" customHeight="1" thickTop="1" thickBot="1" x14ac:dyDescent="0.4">
      <c r="A2" s="88" t="s">
        <v>55</v>
      </c>
      <c r="B2" s="89"/>
      <c r="F2" s="803"/>
      <c r="G2" s="613" t="s">
        <v>358</v>
      </c>
      <c r="H2" s="613" t="s">
        <v>362</v>
      </c>
      <c r="I2" s="788" t="s">
        <v>57</v>
      </c>
      <c r="J2" s="789"/>
      <c r="L2" s="338"/>
    </row>
    <row r="3" spans="1:19" ht="20.149999999999999" customHeight="1" thickTop="1" thickBot="1" x14ac:dyDescent="0.4">
      <c r="A3" s="90">
        <v>1</v>
      </c>
      <c r="B3" s="91" t="s">
        <v>50</v>
      </c>
      <c r="C3" s="92" t="s">
        <v>51</v>
      </c>
      <c r="D3" s="146">
        <f>IF(XXWorking!M12="Above 250cc",10,IF(AND(Quote!B13=1,Quote!T13="Ijarah"),5,2.2))</f>
        <v>2.2000000000000002</v>
      </c>
      <c r="E3" s="93" t="s">
        <v>56</v>
      </c>
      <c r="F3" s="147">
        <v>2</v>
      </c>
      <c r="I3" s="25">
        <v>1</v>
      </c>
      <c r="J3" s="135" t="s">
        <v>171</v>
      </c>
      <c r="K3" s="148">
        <v>0.2</v>
      </c>
      <c r="L3" s="26" t="s">
        <v>72</v>
      </c>
      <c r="M3" s="27"/>
      <c r="N3" s="794" t="s">
        <v>142</v>
      </c>
      <c r="O3" s="795"/>
      <c r="P3" s="796"/>
      <c r="Q3" s="86" t="s">
        <v>139</v>
      </c>
      <c r="R3" s="87" t="s">
        <v>58</v>
      </c>
    </row>
    <row r="4" spans="1:19" ht="20.149999999999999" customHeight="1" thickTop="1" x14ac:dyDescent="0.35">
      <c r="A4" s="94">
        <f>A3+1</f>
        <v>2</v>
      </c>
      <c r="B4" s="95" t="s">
        <v>52</v>
      </c>
      <c r="C4" s="96" t="s">
        <v>51</v>
      </c>
      <c r="D4" s="149">
        <f>IF(XXWorking!M12="Above 250cc",10,IF(AND(Quote!B13=1,Quote!T13="Ijarah"),5,2.2))</f>
        <v>2.2000000000000002</v>
      </c>
      <c r="E4" s="97" t="s">
        <v>56</v>
      </c>
      <c r="F4" s="150">
        <v>2</v>
      </c>
      <c r="I4" s="32"/>
      <c r="J4" s="134" t="s">
        <v>170</v>
      </c>
      <c r="K4" s="34">
        <v>0.25</v>
      </c>
      <c r="L4" s="35" t="s">
        <v>72</v>
      </c>
      <c r="M4" s="36"/>
      <c r="N4" s="786" t="s">
        <v>140</v>
      </c>
      <c r="O4" s="787"/>
      <c r="P4" s="787"/>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792" t="s">
        <v>149</v>
      </c>
      <c r="O5" s="793"/>
      <c r="P5" s="793"/>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792" t="s">
        <v>148</v>
      </c>
      <c r="O6" s="793"/>
      <c r="P6" s="793"/>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805" t="s">
        <v>141</v>
      </c>
      <c r="O7" s="806"/>
      <c r="P7" s="806"/>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794" t="s">
        <v>40</v>
      </c>
      <c r="O8" s="795"/>
      <c r="P8" s="796"/>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807" t="s">
        <v>143</v>
      </c>
      <c r="O9" s="807"/>
      <c r="P9" s="807"/>
      <c r="Q9" s="159">
        <v>15</v>
      </c>
      <c r="R9" s="160">
        <v>3.7499999999999999E-2</v>
      </c>
      <c r="S9" s="1" t="s">
        <v>144</v>
      </c>
    </row>
    <row r="10" spans="1:19" ht="20.149999999999999" customHeight="1" thickTop="1" x14ac:dyDescent="0.35">
      <c r="A10" s="94">
        <f t="shared" si="0"/>
        <v>8</v>
      </c>
      <c r="B10" s="95" t="s">
        <v>317</v>
      </c>
      <c r="C10" s="96" t="s">
        <v>51</v>
      </c>
      <c r="D10" s="158">
        <f>XXWorking!K8*100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790" t="s">
        <v>128</v>
      </c>
      <c r="N19" s="791"/>
      <c r="O19" s="54" t="s">
        <v>114</v>
      </c>
    </row>
    <row r="20" spans="1:15" ht="20.149999999999999" customHeight="1" thickTop="1" thickBot="1" x14ac:dyDescent="0.4">
      <c r="A20" s="143"/>
      <c r="B20" s="144" t="s">
        <v>173</v>
      </c>
      <c r="C20" s="145" t="s">
        <v>51</v>
      </c>
      <c r="D20" s="167">
        <v>0</v>
      </c>
      <c r="E20" s="346" t="s">
        <v>56</v>
      </c>
      <c r="F20" s="347" t="s">
        <v>114</v>
      </c>
      <c r="G20" s="614">
        <f>IF(F20="Yes",D20,0)</f>
        <v>0</v>
      </c>
      <c r="H20" s="614"/>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784">
        <v>10</v>
      </c>
      <c r="G27" s="785"/>
      <c r="I27" s="60"/>
      <c r="J27" s="61" t="s">
        <v>84</v>
      </c>
      <c r="K27" s="165">
        <v>6</v>
      </c>
      <c r="L27" s="70" t="s">
        <v>88</v>
      </c>
      <c r="M27" s="49">
        <v>12</v>
      </c>
    </row>
    <row r="28" spans="1:15" ht="20.149999999999999" customHeight="1" thickTop="1" thickBot="1" x14ac:dyDescent="0.4">
      <c r="A28" s="51">
        <v>4</v>
      </c>
      <c r="B28" s="52" t="s">
        <v>115</v>
      </c>
      <c r="C28" s="811" t="s">
        <v>78</v>
      </c>
      <c r="D28" s="812"/>
      <c r="I28" s="60"/>
      <c r="J28" s="61" t="s">
        <v>87</v>
      </c>
      <c r="K28" s="165">
        <v>20</v>
      </c>
      <c r="L28" s="70" t="s">
        <v>89</v>
      </c>
      <c r="M28" s="49">
        <v>30</v>
      </c>
    </row>
    <row r="29" spans="1:15" ht="20.149999999999999" customHeight="1" thickTop="1" thickBot="1" x14ac:dyDescent="0.4">
      <c r="A29" s="51">
        <v>5</v>
      </c>
      <c r="B29" s="59" t="s">
        <v>116</v>
      </c>
      <c r="C29" s="784">
        <v>75</v>
      </c>
      <c r="D29" s="785"/>
      <c r="E29" s="813">
        <f>IF(OR(XXWorking!H8=Administration!C7,XXWorking!H8=Administration!C8),G29,0)</f>
        <v>0</v>
      </c>
      <c r="F29" s="814"/>
      <c r="G29" s="816">
        <v>1200000</v>
      </c>
      <c r="H29" s="817"/>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808">
        <v>0</v>
      </c>
      <c r="D38" s="809"/>
      <c r="E38" s="810"/>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808">
        <v>50000</v>
      </c>
      <c r="D40" s="809"/>
      <c r="E40" s="810"/>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815" t="s">
        <v>131</v>
      </c>
      <c r="D43" s="68" t="s">
        <v>114</v>
      </c>
      <c r="I43" s="64"/>
      <c r="J43" s="67" t="s">
        <v>99</v>
      </c>
      <c r="K43" s="155">
        <v>5.25</v>
      </c>
      <c r="L43" s="30" t="s">
        <v>69</v>
      </c>
      <c r="M43" s="31"/>
    </row>
    <row r="44" spans="1:13" ht="17.149999999999999" customHeight="1" thickTop="1" thickBot="1" x14ac:dyDescent="0.35">
      <c r="B44" s="815"/>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804" t="s">
        <v>402</v>
      </c>
      <c r="D47" s="68" t="s">
        <v>114</v>
      </c>
      <c r="I47" s="64"/>
      <c r="J47" s="67" t="s">
        <v>103</v>
      </c>
      <c r="K47" s="155">
        <v>6.75</v>
      </c>
      <c r="L47" s="30" t="s">
        <v>69</v>
      </c>
      <c r="M47" s="31"/>
    </row>
    <row r="48" spans="1:13" ht="17.149999999999999" customHeight="1" thickTop="1" x14ac:dyDescent="0.3">
      <c r="B48" s="804"/>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808">
        <v>15000</v>
      </c>
      <c r="C55" s="809"/>
      <c r="D55" s="810"/>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797" t="s">
        <v>435</v>
      </c>
      <c r="B68" s="798"/>
      <c r="C68" s="798"/>
      <c r="D68" s="798"/>
      <c r="E68" s="798"/>
      <c r="F68" s="798"/>
      <c r="G68" s="799"/>
      <c r="I68" s="60"/>
      <c r="J68" s="37" t="s">
        <v>270</v>
      </c>
      <c r="K68" s="173">
        <v>10</v>
      </c>
      <c r="L68" s="319">
        <v>5000</v>
      </c>
      <c r="M68" s="320" t="s">
        <v>283</v>
      </c>
    </row>
    <row r="69" spans="1:13" ht="20.149999999999999" customHeight="1" x14ac:dyDescent="0.3">
      <c r="A69" s="800"/>
      <c r="B69" s="801"/>
      <c r="C69" s="801"/>
      <c r="D69" s="801"/>
      <c r="E69" s="801"/>
      <c r="F69" s="801"/>
      <c r="G69" s="802"/>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797"/>
      <c r="B72" s="798"/>
      <c r="C72" s="798"/>
      <c r="D72" s="798"/>
      <c r="E72" s="798"/>
      <c r="F72" s="798"/>
      <c r="G72" s="799"/>
      <c r="I72" s="60"/>
      <c r="J72" s="37" t="s">
        <v>275</v>
      </c>
      <c r="K72" s="173">
        <v>0</v>
      </c>
      <c r="L72" s="227" t="s">
        <v>77</v>
      </c>
      <c r="M72" s="36"/>
    </row>
    <row r="73" spans="1:13" ht="20.149999999999999" customHeight="1" x14ac:dyDescent="0.3">
      <c r="A73" s="800"/>
      <c r="B73" s="801"/>
      <c r="C73" s="801"/>
      <c r="D73" s="801"/>
      <c r="E73" s="801"/>
      <c r="F73" s="801"/>
      <c r="G73" s="802"/>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IF(OR(XXWorking!H14="Yes",XXWorking!M12="Corporate"),"Yes","No")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IF(OR(XXWorking!K14=XXWorking!F107,XXWorking!K14=XXWorking!F114),1,IF(XXWorking!K14=XXWorking!F99,0,IF(XXWorking!K14=XXWorking!F112,0,IF(XXWorking!K14=XXWorking!F97,Rates!D98,0))))</f>
        <v>0</v>
      </c>
      <c r="E87" s="553"/>
      <c r="F87" s="552">
        <f>IF(XXWorking!K14=XXWorking!F99,10,IF(XXWorking!K14=XXWorking!F112,10,IF(XXWorking!K14=XXWorking!F97,Rates!F98,15)))</f>
        <v>15</v>
      </c>
      <c r="I87" s="64"/>
      <c r="J87" s="67" t="s">
        <v>313</v>
      </c>
      <c r="K87" s="354">
        <v>1</v>
      </c>
      <c r="L87" s="30" t="s">
        <v>307</v>
      </c>
      <c r="M87" s="31"/>
    </row>
    <row r="88" spans="1:13" ht="20.149999999999999" customHeight="1" x14ac:dyDescent="0.3">
      <c r="B88" s="549" t="s">
        <v>413</v>
      </c>
      <c r="D88" s="552">
        <f>IF(OR(XXWorking!K14=XXWorking!F107,XXWorking!K14=XXWorking!F114),0,IF(XXWorking!K14=XXWorking!F112,D92,IF(OR(XXWorking!K14=XXWorking!F102,XXWorking!K14=XXWorking!F118),D104,0)))</f>
        <v>0</v>
      </c>
      <c r="E88" s="553"/>
      <c r="F88" s="552">
        <f>IF(OR(XXWorking!K14=XXWorking!F107,XXWorking!K14=XXWorking!F114),15,IF(XXWorking!K14=XXWorking!F112,F92,IF(OR(XXWorking!K14=XXWorking!F102,XXWorking!K14=XXWorking!F118),F104,15)))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IF(XXWorking!H9="Hiring",Rates!D95,Rates!F95)</f>
        <v>33.799999999999997</v>
      </c>
      <c r="E92" s="553"/>
      <c r="F92" s="552">
        <f>IF(XXWorking!H9="Hiring",Rates!D96,Rates!F96)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 ref="C29:D29"/>
    <mergeCell ref="N4:P4"/>
    <mergeCell ref="I2:J2"/>
    <mergeCell ref="M19:N19"/>
    <mergeCell ref="N6:P6"/>
    <mergeCell ref="N8:P8"/>
  </mergeCells>
  <phoneticPr fontId="28" type="noConversion"/>
  <conditionalFormatting sqref="D59:D60">
    <cfRule type="cellIs" dxfId="17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827"/>
      <c r="B1" s="828"/>
      <c r="C1" s="828"/>
      <c r="D1" s="828"/>
      <c r="E1" s="828"/>
      <c r="F1" s="828"/>
      <c r="G1" s="828"/>
      <c r="H1" s="828"/>
      <c r="I1" s="828"/>
      <c r="J1" s="419"/>
      <c r="K1" s="419"/>
      <c r="L1" s="419"/>
      <c r="M1" s="420"/>
      <c r="R1" s="404" t="s">
        <v>327</v>
      </c>
      <c r="S1" s="404">
        <f>IF(O3&gt;DATE(XXWorking!I4,2,28),K3,XXWorking!I4)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IF(OR(XXWorking!I4=2008,XXWorking!I4=2012,XXWorking!I4=2016,XXWorking!I4=2020),29,28)</f>
        <v>28</v>
      </c>
      <c r="T2" s="381">
        <f>IF(OR(K3=2008,K3=2012,K3=2016,K3=2020),29,28)</f>
        <v>28</v>
      </c>
      <c r="U2" s="394">
        <f>IF(AND(XXWorking!G4=1,XXWorking!H4="January"),XXWorking!I4,XXWorking!I4+1)</f>
        <v>2014</v>
      </c>
      <c r="V2" s="381" t="str">
        <f>IF(XXWorking!G4-1=0,V4,XXWorking!H4)</f>
        <v>August</v>
      </c>
      <c r="W2" s="381">
        <f>IF(XXWorking!G4-1=0,W4,XXWorking!G4-1)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DATE(XXWorking!I4,P3,XXWorking!G4)</f>
        <v>41510</v>
      </c>
      <c r="P3" s="381">
        <f>IF(XXWorking!H4="January",1,IF(XXWorking!H4="February",2,IF(XXWorking!H4="March",3,IF(XXWorking!H4="April",4,IF(XXWorking!H4="May",5,IF(XXWorking!H4="June",6,IF(XXWorking!H4="July",7,IF(XXWorking!H4="August",8,Q3))))))))</f>
        <v>8</v>
      </c>
      <c r="Q3" s="381">
        <f>IF(XXWorking!H4="September",9,IF(XXWorking!H4="October",10,IF(XXWorking!H4="November",11,12)))</f>
        <v>12</v>
      </c>
      <c r="R3" s="381" t="s">
        <v>332</v>
      </c>
      <c r="S3" s="381">
        <f>IF(AND(P3=2,XXWorking!G4&gt;S2),0,IF(AND(P3=4,XXWorking!G4&gt;30),0,IF(AND(P3=6,XXWorking!G4&gt;30),0,IF(AND(P3=9,XXWorking!G4&gt;30),0,IF(AND(P3=11,XXWorking!G4&gt;30),0,1)))))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IF(XXWorking!$H$4="January",31,IF(XXWorking!$H$4="February",S2,IF(XXWorking!$H$4="March",31,IF(XXWorking!$H$4="April",30,IF(XXWorking!$H$4="May",31,IF(XXWorking!$H$4="June",30,IF(XXWorking!$H$4="July",31,IF(XXWorking!$H$4="August",31,U5))))))))</f>
        <v>31</v>
      </c>
      <c r="V4" s="381" t="str">
        <f>IF(XXWorking!$H$4="January","December",IF(XXWorking!$H$4="February","January",IF(XXWorking!$H$4="March","February",IF(XXWorking!$H$4="April","March",IF(XXWorking!$H$4="May","April",IF(XXWorking!$H$4="June","May",IF(XXWorking!$H$4="July","June",IF(XX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831" t="str">
        <f>IF(XXWorking!H3="Short period","Period Used (only for Short Period)","")</f>
        <v/>
      </c>
      <c r="J5" s="831"/>
      <c r="K5" s="831"/>
      <c r="L5" s="831"/>
      <c r="M5" s="409"/>
      <c r="N5" s="398"/>
      <c r="O5" s="395"/>
      <c r="U5" s="381">
        <f>IF(XXWorking!$H$4="September",30,IF(XXWorking!$H$4="October",31,IF(XXWorking!$H$4="November",30,31)))</f>
        <v>31</v>
      </c>
      <c r="V5" s="381" t="str">
        <f>IF(XXWorking!$H$4="September","August",IF(XXWorking!$H$4="October","September",IF(XXWorking!$H$4="November","October","November")))</f>
        <v>November</v>
      </c>
      <c r="W5" s="381">
        <f>IF(V4="September",30,IF(V4="October",31,IF(V4="November",30,31)))</f>
        <v>31</v>
      </c>
    </row>
    <row r="6" spans="1:24" ht="13.5" customHeight="1" thickBot="1" x14ac:dyDescent="0.3">
      <c r="A6" s="402"/>
      <c r="B6" s="403"/>
      <c r="C6" s="403"/>
      <c r="D6" s="403"/>
      <c r="E6" s="403"/>
      <c r="F6" s="403"/>
      <c r="G6" s="403"/>
      <c r="H6" s="411"/>
      <c r="I6" s="83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833"/>
      <c r="K6" s="833"/>
      <c r="L6" s="834"/>
      <c r="M6" s="405"/>
      <c r="O6" s="395">
        <f>DATE(XXWorking!I5,P6,XXWorking!G5)</f>
        <v>41606</v>
      </c>
      <c r="P6" s="381">
        <f>IF(XXWorking!H5="January",1,IF(XXWorking!H5="February",2,IF(XXWorking!H5="March",3,IF(XXWorking!H5="April",4,IF(XXWorking!H5="May",5,IF(XXWorking!H5="June",6,IF(XXWorking!H5="July",7,IF(XXWorking!H5="August",8,Q6))))))))</f>
        <v>11</v>
      </c>
      <c r="Q6" s="381">
        <f>IF(XXWorking!H5="September",9,IF(XXWorking!H5="October",10,IF(XXWorking!H5="November",11,12)))</f>
        <v>11</v>
      </c>
      <c r="R6" s="381" t="s">
        <v>332</v>
      </c>
      <c r="S6" s="381">
        <f>IF(AND(P6=2,XXWorking!G5&gt;S2),0,IF(AND(P6=4,XXWorking!G5&gt;30),0,IF(AND(P6=6,XXWorking!G5&gt;30),0,IF(AND(P6=9,XXWorking!G5&gt;30),0,IF(AND(P6=11,XXWorking!G5&gt;30),0,1)))))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IF(XXWorking!H3="Short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IF(XXWorking!G4-1=0,W2,XXWorking!G4-1)</f>
        <v>23</v>
      </c>
    </row>
    <row r="12" spans="1:24" ht="15" customHeight="1" x14ac:dyDescent="0.25">
      <c r="A12" s="402"/>
      <c r="B12" s="403"/>
      <c r="C12" s="403"/>
      <c r="D12" s="403"/>
      <c r="E12" s="403"/>
      <c r="F12" s="403"/>
      <c r="G12" s="403"/>
      <c r="H12" s="403"/>
      <c r="I12" s="403"/>
      <c r="J12" s="403"/>
      <c r="K12" s="403"/>
      <c r="L12" s="403"/>
      <c r="M12" s="403"/>
      <c r="N12" s="837" t="s">
        <v>340</v>
      </c>
      <c r="O12" s="835">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837"/>
      <c r="O13" s="835"/>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837" t="s">
        <v>344</v>
      </c>
      <c r="O14" s="836">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837"/>
      <c r="O15" s="836"/>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829"/>
      <c r="M39" s="830"/>
    </row>
    <row r="40" spans="1:13" ht="20.25" customHeight="1" x14ac:dyDescent="0.25">
      <c r="A40" s="402"/>
      <c r="B40" s="403"/>
      <c r="C40" s="403"/>
      <c r="D40" s="403"/>
      <c r="E40" s="403"/>
      <c r="F40" s="403"/>
      <c r="G40" s="403"/>
      <c r="H40" s="403"/>
      <c r="I40" s="403"/>
      <c r="J40" s="403"/>
      <c r="K40" s="821"/>
      <c r="L40" s="821"/>
      <c r="M40" s="822"/>
    </row>
    <row r="41" spans="1:13" ht="15" customHeight="1" x14ac:dyDescent="0.25">
      <c r="A41" s="402"/>
      <c r="B41" s="403"/>
      <c r="C41" s="403"/>
      <c r="D41" s="403"/>
      <c r="E41" s="403"/>
      <c r="F41" s="403"/>
      <c r="G41" s="403"/>
      <c r="H41" s="403"/>
      <c r="I41" s="403"/>
      <c r="J41" s="403"/>
      <c r="K41" s="823"/>
      <c r="L41" s="823"/>
      <c r="M41" s="824"/>
    </row>
    <row r="42" spans="1:13" ht="15" customHeight="1" x14ac:dyDescent="0.25">
      <c r="A42" s="402"/>
      <c r="B42" s="403"/>
      <c r="C42" s="403"/>
      <c r="D42" s="403"/>
      <c r="E42" s="403"/>
      <c r="F42" s="403"/>
      <c r="G42" s="403"/>
      <c r="H42" s="403"/>
      <c r="I42" s="403"/>
      <c r="J42" s="403"/>
      <c r="K42" s="825"/>
      <c r="L42" s="825"/>
      <c r="M42" s="826"/>
    </row>
    <row r="43" spans="1:13" ht="20.149999999999999" customHeight="1" x14ac:dyDescent="0.25">
      <c r="A43" s="417"/>
      <c r="B43" s="418"/>
      <c r="C43" s="418"/>
      <c r="D43" s="418"/>
      <c r="E43" s="418"/>
      <c r="F43" s="418"/>
      <c r="G43" s="418"/>
      <c r="H43" s="418"/>
      <c r="I43" s="418"/>
      <c r="J43" s="418"/>
      <c r="K43" s="818"/>
      <c r="L43" s="819"/>
      <c r="M43" s="820"/>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indexed="44"/>
    <pageSetUpPr fitToPage="1"/>
  </sheetPr>
  <dimension ref="A1:IU173"/>
  <sheetViews>
    <sheetView showGridLines="0" tabSelected="1" showOutlineSymbols="0" topLeftCell="A31" zoomScale="85" zoomScaleNormal="85" workbookViewId="0">
      <selection activeCell="Q42" sqref="Q42"/>
    </sheetView>
  </sheetViews>
  <sheetFormatPr defaultColWidth="0" defaultRowHeight="12.5" zeroHeight="1" x14ac:dyDescent="0.25"/>
  <cols>
    <col min="1" max="1" width="2.453125" style="142" customWidth="1"/>
    <col min="2" max="2" width="1.2695312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841" t="str">
        <f ca="1">CONCATENATE(XXWorking!H2," - (QI Code - ", X4,"-",W4,"-",Y4,"-",Z4,"-",AA4,"-", AB4)</f>
        <v>GUD/2019/SRC/001 - (QI Code - 0-50-000-154.284-0-ATI)</v>
      </c>
      <c r="N1" s="841"/>
      <c r="O1" s="841"/>
      <c r="P1" s="841"/>
      <c r="Q1" s="841"/>
      <c r="R1" s="841"/>
      <c r="S1" s="842"/>
      <c r="U1" s="139"/>
      <c r="V1" s="633"/>
      <c r="W1" s="633"/>
      <c r="X1" s="633"/>
      <c r="Y1" s="633"/>
      <c r="Z1" s="633"/>
      <c r="AA1" s="633"/>
      <c r="AB1" s="633"/>
    </row>
    <row r="2" spans="1:28" ht="33.75" customHeight="1" x14ac:dyDescent="0.25">
      <c r="A2" s="120"/>
      <c r="B2" s="15"/>
      <c r="C2" s="16"/>
      <c r="D2" s="16"/>
      <c r="E2" s="16"/>
      <c r="F2" s="16"/>
      <c r="G2" s="16"/>
      <c r="H2" s="16"/>
      <c r="I2" s="16"/>
      <c r="J2" s="16"/>
      <c r="K2" s="16"/>
      <c r="L2" s="16"/>
      <c r="M2" s="843" t="str">
        <f>IF(U3=0,CONCATENATE("Print  ",XXWorking!Y48,"  Sheet"),"")</f>
        <v/>
      </c>
      <c r="N2" s="843"/>
      <c r="O2" s="843"/>
      <c r="P2" s="843"/>
      <c r="Q2" s="843"/>
      <c r="R2" s="843"/>
      <c r="S2" s="121"/>
      <c r="U2" s="139"/>
      <c r="V2" s="633"/>
      <c r="W2" s="633"/>
      <c r="X2" s="633"/>
      <c r="Y2" s="633"/>
      <c r="Z2" s="633"/>
      <c r="AA2" s="633"/>
      <c r="AB2" s="633"/>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3"/>
      <c r="W3" s="633"/>
      <c r="X3" s="633"/>
      <c r="Y3" s="633"/>
      <c r="Z3" s="633"/>
      <c r="AA3" s="633"/>
      <c r="AB3" s="633"/>
    </row>
    <row r="4" spans="1:28" ht="20.25" customHeight="1" x14ac:dyDescent="0.35">
      <c r="A4" s="120"/>
      <c r="B4" s="7"/>
      <c r="C4" s="335" t="s">
        <v>529</v>
      </c>
      <c r="D4" s="9"/>
      <c r="E4" s="295"/>
      <c r="F4" s="355"/>
      <c r="G4" s="7"/>
      <c r="H4" s="9"/>
      <c r="I4" s="9"/>
      <c r="J4" s="9"/>
      <c r="K4" s="9"/>
      <c r="L4" s="11"/>
      <c r="M4" s="326"/>
      <c r="N4" s="326"/>
      <c r="O4" s="335"/>
      <c r="P4" s="851">
        <f ca="1">TODAY()</f>
        <v>45346</v>
      </c>
      <c r="Q4" s="851"/>
      <c r="R4" s="851"/>
      <c r="S4" s="122"/>
      <c r="W4" s="634">
        <f ca="1">IF(XXWorking!$M$37&lt;0,XXWorking!$G$37*2,0)</f>
        <v>50</v>
      </c>
      <c r="X4" s="634">
        <f ca="1">IF(XXWorking!$M$36&lt;0,XXWorking!$H$36*2,0)</f>
        <v>0</v>
      </c>
      <c r="Y4" s="635" t="str">
        <f>IF(XXWorking!$B$21="Free","000","111")</f>
        <v>000</v>
      </c>
      <c r="Z4" s="636">
        <f ca="1">IF(XXWorking!$M$23&lt;0,XXWorking!$H$23*2,0)</f>
        <v>154.28399999999999</v>
      </c>
      <c r="AA4" s="637">
        <f>XXWorking!$N$60</f>
        <v>0</v>
      </c>
      <c r="AB4" s="559" t="str">
        <f>IF(XXWorking!$C$2="Yes","GUD)","ATI)")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3"/>
      <c r="X5" s="638"/>
      <c r="Y5" s="639"/>
      <c r="Z5" s="640"/>
      <c r="AA5" s="641"/>
      <c r="AB5" s="633"/>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IF(AND(U3=1,XXWorking!U2=1),UPPER(XXWorking!H8),"")</f>
        <v>THREE WHEELER</v>
      </c>
      <c r="Q7" s="722"/>
      <c r="R7" s="722"/>
      <c r="S7" s="723"/>
    </row>
    <row r="8" spans="1:28" ht="18" customHeight="1" x14ac:dyDescent="0.25">
      <c r="A8" s="120"/>
      <c r="B8" s="7"/>
      <c r="C8" s="844" t="s">
        <v>526</v>
      </c>
      <c r="D8" s="845"/>
      <c r="E8" s="845"/>
      <c r="F8" s="845"/>
      <c r="G8" s="845"/>
      <c r="H8" s="845"/>
      <c r="I8" s="845"/>
      <c r="J8" s="846"/>
      <c r="K8" s="273"/>
      <c r="L8" s="280" t="s">
        <v>108</v>
      </c>
      <c r="M8" s="104"/>
      <c r="N8" s="105"/>
      <c r="O8" s="105"/>
      <c r="P8" s="844" t="s">
        <v>526</v>
      </c>
      <c r="Q8" s="845"/>
      <c r="R8" s="846"/>
      <c r="S8" s="353"/>
    </row>
    <row r="9" spans="1:28" ht="18" customHeight="1" x14ac:dyDescent="0.3">
      <c r="A9" s="120"/>
      <c r="B9" s="7"/>
      <c r="C9" s="476" t="str">
        <f>IF(AND(XXWorking!H12="HYBRID",XXWorking!H14="No",XXWorking!B12="Corporate"),CONCATENATE("(",XXWorking!B12," CUSTOMER)"),"")</f>
        <v/>
      </c>
      <c r="D9" s="457"/>
      <c r="E9" s="457"/>
      <c r="F9" s="457"/>
      <c r="G9" s="457"/>
      <c r="H9" s="457"/>
      <c r="I9" s="457"/>
      <c r="J9" s="457"/>
      <c r="K9" s="273"/>
      <c r="L9" s="280" t="s">
        <v>377</v>
      </c>
      <c r="M9" s="258"/>
      <c r="N9" s="105"/>
      <c r="O9" s="105"/>
      <c r="P9" s="844" t="s">
        <v>522</v>
      </c>
      <c r="Q9" s="845"/>
      <c r="R9" s="846"/>
      <c r="S9" s="645"/>
    </row>
    <row r="10" spans="1:28" ht="18" customHeight="1" x14ac:dyDescent="0.3">
      <c r="A10" s="120"/>
      <c r="B10" s="7"/>
      <c r="C10" s="331" t="s">
        <v>296</v>
      </c>
      <c r="D10" s="80"/>
      <c r="E10" s="80"/>
      <c r="F10" s="80"/>
      <c r="G10" s="348"/>
      <c r="H10" s="348"/>
      <c r="I10" s="348"/>
      <c r="J10" s="348"/>
      <c r="K10" s="103"/>
      <c r="L10" s="280" t="s">
        <v>357</v>
      </c>
      <c r="M10" s="258"/>
      <c r="N10" s="106"/>
      <c r="O10" s="106"/>
      <c r="P10" s="838" t="s">
        <v>525</v>
      </c>
      <c r="Q10" s="839"/>
      <c r="R10" s="839"/>
      <c r="S10" s="350"/>
      <c r="X10" s="706" t="s">
        <v>527</v>
      </c>
    </row>
    <row r="11" spans="1:28" ht="18" customHeight="1" x14ac:dyDescent="0.25">
      <c r="A11" s="120"/>
      <c r="B11" s="7"/>
      <c r="C11" s="844" t="s">
        <v>526</v>
      </c>
      <c r="D11" s="845"/>
      <c r="E11" s="845"/>
      <c r="F11" s="845"/>
      <c r="G11" s="845"/>
      <c r="H11" s="845"/>
      <c r="I11" s="845"/>
      <c r="J11" s="846"/>
      <c r="K11" s="273"/>
      <c r="L11" s="280" t="s">
        <v>34</v>
      </c>
      <c r="M11" s="104"/>
      <c r="N11" s="107"/>
      <c r="O11" s="106"/>
      <c r="P11" s="844" t="s">
        <v>528</v>
      </c>
      <c r="Q11" s="845"/>
      <c r="R11" s="846"/>
      <c r="S11" s="351"/>
    </row>
    <row r="12" spans="1:28" ht="18" customHeight="1" x14ac:dyDescent="0.3">
      <c r="A12" s="120"/>
      <c r="B12" s="7"/>
      <c r="C12" s="332" t="s">
        <v>298</v>
      </c>
      <c r="D12" s="80"/>
      <c r="E12" s="80"/>
      <c r="F12" s="80"/>
      <c r="G12" s="349"/>
      <c r="H12" s="349"/>
      <c r="I12" s="349"/>
      <c r="J12" s="349"/>
      <c r="K12" s="125"/>
      <c r="L12" s="280" t="s">
        <v>35</v>
      </c>
      <c r="M12" s="104"/>
      <c r="N12" s="108"/>
      <c r="O12" s="108"/>
      <c r="P12" s="861" t="str">
        <f>IF(XXWorking!U2=1,UPPER(V12),"")</f>
        <v>HIRING</v>
      </c>
      <c r="Q12" s="861"/>
      <c r="R12" s="861"/>
      <c r="S12" s="352"/>
      <c r="V12" s="559" t="str">
        <f>IF(XXWorking!H9="Private Use","Private Use Only",XXWorking!H9)</f>
        <v>Hiring</v>
      </c>
    </row>
    <row r="13" spans="1:28" ht="22.5" customHeight="1" x14ac:dyDescent="0.3">
      <c r="A13" s="120"/>
      <c r="B13" s="702">
        <f>IF(OR(C13=I86,C13=I87,C13=I88,C13=I89,C13=I90,C13=I91,C13=I92,C13=I93,C13=I94,C13=I95,C13=I96,C13=I97,C13=I98),1,0)</f>
        <v>0</v>
      </c>
      <c r="C13" s="864" t="s">
        <v>554</v>
      </c>
      <c r="D13" s="865"/>
      <c r="E13" s="865"/>
      <c r="F13" s="865"/>
      <c r="G13" s="865"/>
      <c r="H13" s="865"/>
      <c r="I13" s="865"/>
      <c r="J13" s="866"/>
      <c r="K13" s="274"/>
      <c r="L13" s="280" t="s">
        <v>408</v>
      </c>
      <c r="M13" s="104"/>
      <c r="N13" s="108"/>
      <c r="O13" s="108"/>
      <c r="P13" s="838">
        <v>2021</v>
      </c>
      <c r="Q13" s="853"/>
      <c r="R13" s="310">
        <f>IF(U3=1,XXWorking!T12,"")</f>
        <v>4</v>
      </c>
      <c r="S13" s="352"/>
      <c r="T13" s="704">
        <f>IF(I13="Ijarah","Ijarah",I13)</f>
        <v>0</v>
      </c>
      <c r="V13" s="559" t="str">
        <f>IF(AND(XXWorking!K14="",XXWorking!B21="No"),"NOT APPLICABLE",IF(AND(XXWorking!K14="",OR(XXWorking!B21="Yes",XXWorking!B21="Free")),"APPLICABLE  - TO BE ADVISED",XXWorking!K14))</f>
        <v>VALLIBEL FINANCE</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301</v>
      </c>
      <c r="D16" s="7"/>
      <c r="E16" s="7"/>
      <c r="F16" s="190" t="str">
        <f>IF(XXWorking!H3="One Year",": One Year",CONCATENATE(": ",Calculation!H9," Days"))</f>
        <v>: One Year</v>
      </c>
      <c r="G16" s="7"/>
      <c r="H16" s="7"/>
      <c r="I16" s="276" t="str">
        <f>IF(XXWorking!H3="One Year","",CONCATENATE("(",XXWorking!H3," Basis)"))</f>
        <v/>
      </c>
      <c r="J16" s="9"/>
      <c r="K16" s="9"/>
      <c r="L16" s="7"/>
      <c r="M16" s="7"/>
      <c r="N16" s="7"/>
      <c r="O16" s="7"/>
      <c r="P16" s="707"/>
      <c r="Q16" s="854">
        <v>1200000</v>
      </c>
      <c r="R16" s="855"/>
      <c r="S16" s="127"/>
    </row>
    <row r="17" spans="1:32" ht="13.15" customHeight="1" thickBot="1" x14ac:dyDescent="0.35">
      <c r="A17" s="120"/>
      <c r="B17" s="7"/>
      <c r="C17" s="871" t="str">
        <f>IF(XXWorking!H3="One Year","",CONCATENATE("(From ",XXWorking!G4," ",XXWorking!H4," ",XXWorking!I4," to ",XXWorking!G5," ",XXWorking!H5," ",XXWorking!I5,")"))</f>
        <v/>
      </c>
      <c r="D17" s="871"/>
      <c r="E17" s="871"/>
      <c r="F17" s="871"/>
      <c r="G17" s="871"/>
      <c r="H17" s="871"/>
      <c r="I17" s="871"/>
      <c r="J17" s="9"/>
      <c r="K17" s="9"/>
      <c r="L17" s="708" t="s">
        <v>168</v>
      </c>
      <c r="M17" s="258"/>
      <c r="N17" s="7"/>
      <c r="O17" s="7"/>
      <c r="P17" s="707"/>
      <c r="Q17" s="856"/>
      <c r="R17" s="857"/>
      <c r="S17" s="127"/>
    </row>
    <row r="18" spans="1:32" ht="17.149999999999999" customHeight="1" x14ac:dyDescent="0.3">
      <c r="A18" s="120"/>
      <c r="B18" s="7"/>
      <c r="C18" s="871"/>
      <c r="D18" s="871"/>
      <c r="E18" s="871"/>
      <c r="F18" s="871"/>
      <c r="G18" s="871"/>
      <c r="H18" s="871"/>
      <c r="I18" s="871"/>
      <c r="J18" s="9"/>
      <c r="K18" s="9"/>
      <c r="L18" s="77" t="s">
        <v>13</v>
      </c>
      <c r="M18" s="7"/>
      <c r="N18" s="7"/>
      <c r="O18" s="7"/>
      <c r="P18" s="7"/>
      <c r="Q18" s="261" t="s">
        <v>26</v>
      </c>
      <c r="R18" s="266">
        <f ca="1">'Pre-Working'!C6-'Pre-Working'!H11-'Pre-Working'!H10</f>
        <v>11203</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'Pre-Working'!H10*Administration!IR9</f>
        <v>3000</v>
      </c>
      <c r="S19" s="127"/>
      <c r="T19" s="646" t="s">
        <v>58</v>
      </c>
    </row>
    <row r="20" spans="1:32" ht="17.149999999999999" customHeight="1" x14ac:dyDescent="0.3">
      <c r="A20" s="120"/>
      <c r="B20" s="7"/>
      <c r="C20" s="858" t="s">
        <v>519</v>
      </c>
      <c r="D20" s="858"/>
      <c r="E20" s="858"/>
      <c r="F20" s="858"/>
      <c r="G20" s="858"/>
      <c r="H20" s="858"/>
      <c r="I20" s="858"/>
      <c r="J20" s="858"/>
      <c r="K20" s="9"/>
      <c r="L20" s="265" t="s">
        <v>24</v>
      </c>
      <c r="M20" s="7"/>
      <c r="N20" s="7"/>
      <c r="O20" s="7"/>
      <c r="P20" s="7"/>
      <c r="Q20" s="261" t="s">
        <v>26</v>
      </c>
      <c r="R20" s="266">
        <f ca="1">'Pre-Working'!H11*Administration!IR9</f>
        <v>750</v>
      </c>
      <c r="S20" s="127"/>
      <c r="T20" s="647" t="s">
        <v>78</v>
      </c>
    </row>
    <row r="21" spans="1:32" ht="17.149999999999999" customHeight="1" x14ac:dyDescent="0.3">
      <c r="A21" s="120"/>
      <c r="B21" s="7"/>
      <c r="C21" s="858"/>
      <c r="D21" s="858"/>
      <c r="E21" s="858"/>
      <c r="F21" s="858"/>
      <c r="G21" s="858"/>
      <c r="H21" s="858"/>
      <c r="I21" s="858"/>
      <c r="J21" s="858"/>
      <c r="K21" s="9"/>
      <c r="L21" s="265" t="s">
        <v>146</v>
      </c>
      <c r="M21" s="7"/>
      <c r="N21" s="7"/>
      <c r="O21" s="7"/>
      <c r="P21" s="7"/>
      <c r="Q21" s="261" t="s">
        <v>26</v>
      </c>
      <c r="R21" s="266">
        <f ca="1">'Pre-Working'!C7+'Pre-Working'!C8+'Pre-Working'!C9</f>
        <v>3448.8249999999998</v>
      </c>
      <c r="S21" s="127"/>
      <c r="T21" s="646" t="str">
        <f>IF(Q16&gt;=700000,"Terrorism","")</f>
        <v>Terrorism</v>
      </c>
    </row>
    <row r="22" spans="1:32" ht="17.149999999999999" customHeight="1" thickBot="1" x14ac:dyDescent="0.35">
      <c r="A22" s="120"/>
      <c r="B22" s="7"/>
      <c r="C22" s="858"/>
      <c r="D22" s="858"/>
      <c r="E22" s="858"/>
      <c r="F22" s="858"/>
      <c r="G22" s="858"/>
      <c r="H22" s="858"/>
      <c r="I22" s="858"/>
      <c r="J22" s="858"/>
      <c r="K22" s="9"/>
      <c r="L22" s="265" t="str">
        <f>IF(Rates!$F$20="Yes","Nation Building Levy (NBL)","VAT")</f>
        <v>VAT</v>
      </c>
      <c r="M22" s="7"/>
      <c r="N22" s="7"/>
      <c r="O22" s="7"/>
      <c r="P22" s="7"/>
      <c r="Q22" s="261" t="s">
        <v>26</v>
      </c>
      <c r="R22" s="266">
        <f ca="1">'Pre-Working'!C10</f>
        <v>3312.3285000000001</v>
      </c>
      <c r="S22" s="127"/>
      <c r="T22" s="755" t="str">
        <f>IF(Q16&lt;700000,T20,"Yes")</f>
        <v>Yes</v>
      </c>
    </row>
    <row r="23" spans="1:32" ht="17.149999999999999" customHeight="1" thickTop="1" thickBot="1" x14ac:dyDescent="0.35">
      <c r="A23" s="120"/>
      <c r="B23" s="7"/>
      <c r="C23" s="858"/>
      <c r="D23" s="858"/>
      <c r="E23" s="858"/>
      <c r="F23" s="858"/>
      <c r="G23" s="858"/>
      <c r="H23" s="858"/>
      <c r="I23" s="858"/>
      <c r="J23" s="858"/>
      <c r="K23" s="9"/>
      <c r="L23" s="77" t="str">
        <f>IF(Rates!$F$20="Yes","VAT","Total Contribution")</f>
        <v>Total Contribution</v>
      </c>
      <c r="M23" s="7"/>
      <c r="N23" s="7"/>
      <c r="O23" s="7"/>
      <c r="P23" s="7"/>
      <c r="Q23" s="261" t="s">
        <v>26</v>
      </c>
      <c r="R23" s="721">
        <f ca="1">SUM(R18:R22)*Administration!IR9</f>
        <v>21714.1535</v>
      </c>
      <c r="S23" s="127"/>
      <c r="Y23" s="642"/>
    </row>
    <row r="24" spans="1:32" ht="17.149999999999999" customHeight="1" thickTop="1" x14ac:dyDescent="0.3">
      <c r="A24" s="120"/>
      <c r="B24" s="7"/>
      <c r="C24" s="858"/>
      <c r="D24" s="858"/>
      <c r="E24" s="858"/>
      <c r="F24" s="858"/>
      <c r="G24" s="858"/>
      <c r="H24" s="858"/>
      <c r="I24" s="858"/>
      <c r="J24" s="858"/>
      <c r="K24" s="9"/>
      <c r="L24" s="868" t="str">
        <f ca="1">IF(Administration!IR9=1,CONCATENATE("         Special Leasing Promotion      -  Exclusively for ",C13),"Quotation Expired")</f>
        <v xml:space="preserve">         Special Leasing Promotion      -  Exclusively for VALLIBEL FINANCE</v>
      </c>
      <c r="M24" s="868"/>
      <c r="N24" s="868"/>
      <c r="O24" s="868"/>
      <c r="P24" s="868"/>
      <c r="Q24" s="868"/>
      <c r="R24" s="868"/>
      <c r="S24" s="127"/>
    </row>
    <row r="25" spans="1:32" ht="25.15" customHeight="1" x14ac:dyDescent="0.3">
      <c r="A25" s="120"/>
      <c r="B25" s="7"/>
      <c r="C25" s="710"/>
      <c r="D25" s="710"/>
      <c r="E25" s="710"/>
      <c r="F25" s="710"/>
      <c r="G25" s="710"/>
      <c r="H25" s="710"/>
      <c r="I25" s="710"/>
      <c r="J25" s="710"/>
      <c r="K25" s="9"/>
      <c r="L25" s="868"/>
      <c r="M25" s="868"/>
      <c r="N25" s="868"/>
      <c r="O25" s="868"/>
      <c r="P25" s="868"/>
      <c r="Q25" s="868"/>
      <c r="R25" s="868"/>
      <c r="S25" s="738"/>
      <c r="X25" s="642"/>
      <c r="AB25" s="643"/>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2"/>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3"/>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Rs.500,000)</v>
      </c>
      <c r="E30" s="334"/>
      <c r="F30" s="334"/>
      <c r="G30" s="334"/>
      <c r="H30" s="334"/>
      <c r="I30" s="334"/>
      <c r="J30" s="334"/>
      <c r="K30" s="334"/>
      <c r="L30" s="334"/>
      <c r="M30" s="334"/>
      <c r="N30" s="334"/>
      <c r="O30" s="334"/>
      <c r="P30" s="334"/>
      <c r="Q30" s="334"/>
      <c r="R30" s="653"/>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9"/>
      <c r="D32" s="605"/>
      <c r="E32" s="631"/>
      <c r="F32" s="631"/>
      <c r="G32" s="290"/>
      <c r="H32" s="632" t="str">
        <f>IF(XXWorking!B21="Free","FREE",IF(XXWorking!B21="No","N/A","Yes"))</f>
        <v>FREE</v>
      </c>
      <c r="I32" s="607"/>
      <c r="J32" s="279"/>
      <c r="K32" s="9"/>
      <c r="L32" s="648"/>
      <c r="M32" s="605"/>
      <c r="N32" s="24"/>
      <c r="O32" s="79"/>
      <c r="P32" s="9"/>
      <c r="Q32" s="7"/>
      <c r="R32" s="605"/>
      <c r="S32" s="128"/>
      <c r="T32" s="655" t="s">
        <v>520</v>
      </c>
      <c r="U32" s="281" t="str">
        <f>XXWorking!B21</f>
        <v>Free</v>
      </c>
      <c r="V32" s="713" t="s">
        <v>17</v>
      </c>
      <c r="W32" s="712">
        <f>IF(OR(XXWorking!R25=2,XXWorking!AA25=1),1,0)</f>
        <v>1</v>
      </c>
      <c r="X32" s="713"/>
      <c r="Y32" s="713"/>
      <c r="Z32" s="716">
        <f>IF(AND(XXWorking!AA25=1,XXWorking!R25=2),MAX(XXWorking!H25,Rates!C40),IF(AND(XXWorking!AA25=1,XXWorking!R25&lt;2),Rates!C40,IF(AND(XXWorking!AA25=0,XXWorking!R25=2),XXWorking!H25,0)))</f>
        <v>50000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9" t="s">
        <v>6</v>
      </c>
      <c r="N33" s="8"/>
      <c r="O33" s="11"/>
      <c r="P33" s="11"/>
      <c r="Q33" s="11"/>
      <c r="R33" s="773">
        <v>500000</v>
      </c>
      <c r="S33" s="126"/>
      <c r="T33" s="656" t="s">
        <v>0</v>
      </c>
      <c r="U33" s="287" t="str">
        <f>XXWorking!B39</f>
        <v>Yes</v>
      </c>
      <c r="V33" s="713" t="s">
        <v>38</v>
      </c>
      <c r="W33" s="712">
        <f>XXWorking!R29</f>
        <v>2</v>
      </c>
      <c r="X33" s="713"/>
      <c r="Y33" s="713"/>
      <c r="Z33" s="713"/>
      <c r="AA33" s="713"/>
      <c r="AB33" s="713"/>
      <c r="AC33" s="713"/>
      <c r="AD33" s="545"/>
      <c r="AE33" s="545"/>
      <c r="AF33" s="545"/>
    </row>
    <row r="34" spans="1:32" ht="19" customHeight="1" thickBot="1" x14ac:dyDescent="0.4">
      <c r="A34" s="120"/>
      <c r="B34" s="7"/>
      <c r="C34" s="21" t="s">
        <v>9</v>
      </c>
      <c r="D34" s="77" t="s">
        <v>265</v>
      </c>
      <c r="E34" s="10"/>
      <c r="F34" s="10"/>
      <c r="G34" s="10"/>
      <c r="H34" s="9"/>
      <c r="I34" s="9"/>
      <c r="J34" s="279"/>
      <c r="K34" s="9"/>
      <c r="L34" s="21" t="s">
        <v>9</v>
      </c>
      <c r="M34" s="609" t="s">
        <v>553</v>
      </c>
      <c r="N34" s="11"/>
      <c r="O34" s="11"/>
      <c r="P34" s="117"/>
      <c r="Q34" s="11"/>
      <c r="R34" s="772">
        <v>50000</v>
      </c>
      <c r="S34" s="126"/>
      <c r="T34" s="719">
        <v>0</v>
      </c>
      <c r="U34" s="281" t="str">
        <f>XXWorking!B40</f>
        <v>Yes</v>
      </c>
      <c r="V34" s="713" t="s">
        <v>37</v>
      </c>
      <c r="W34" s="712">
        <f>XXWorking!T48</f>
        <v>1</v>
      </c>
      <c r="X34" s="713"/>
      <c r="Y34" s="713"/>
      <c r="Z34" s="713"/>
      <c r="AA34" s="713"/>
      <c r="AB34" s="713"/>
      <c r="AC34" s="713"/>
      <c r="AD34" s="545"/>
      <c r="AE34" s="545"/>
      <c r="AF34" s="545"/>
    </row>
    <row r="35" spans="1:32" ht="19" customHeight="1" thickBot="1" x14ac:dyDescent="0.4">
      <c r="A35" s="120"/>
      <c r="B35" s="7"/>
      <c r="C35" s="21" t="s">
        <v>9</v>
      </c>
      <c r="D35" s="77" t="s">
        <v>266</v>
      </c>
      <c r="E35" s="291"/>
      <c r="F35" s="76"/>
      <c r="G35" s="69"/>
      <c r="H35" s="22"/>
      <c r="I35" s="69"/>
      <c r="J35" s="279"/>
      <c r="K35" s="9"/>
      <c r="L35" s="760" t="s">
        <v>78</v>
      </c>
      <c r="M35" s="77" t="s">
        <v>552</v>
      </c>
      <c r="N35" s="11"/>
      <c r="O35" s="11"/>
      <c r="P35" s="11"/>
      <c r="Q35" s="11"/>
      <c r="R35" s="651"/>
      <c r="S35" s="126"/>
      <c r="U35" s="281">
        <f>IF(XXWorking!Y42&gt;0,1,0)</f>
        <v>1</v>
      </c>
      <c r="V35" s="713" t="s">
        <v>18</v>
      </c>
      <c r="W35" s="712">
        <f>IF(XXWorking!Z42&gt;0,1,0)</f>
        <v>0</v>
      </c>
      <c r="X35" s="713" t="s">
        <v>16</v>
      </c>
      <c r="Y35" s="712">
        <f>IF(XXWorking!X42&gt;0,1,0)</f>
        <v>0</v>
      </c>
      <c r="Z35" s="713" t="s">
        <v>33</v>
      </c>
      <c r="AA35" s="712">
        <f>IF(XXWorking!T47=0,0,XXWorking!O47)</f>
        <v>1</v>
      </c>
      <c r="AB35" s="713"/>
      <c r="AC35" s="713"/>
      <c r="AD35" s="545"/>
      <c r="AE35" s="545"/>
      <c r="AF35" s="545"/>
    </row>
    <row r="36" spans="1:32" ht="19" customHeight="1" thickBot="1" x14ac:dyDescent="0.4">
      <c r="A36" s="120"/>
      <c r="B36" s="7"/>
      <c r="C36" s="21" t="s">
        <v>9</v>
      </c>
      <c r="D36" s="116" t="str">
        <f ca="1">IF(AND(XXWorking!$M$36&lt;0,XXWorking!$I$38="Reveal"),CONCATENATE(K38," - ",MIN(XXWorking!$H$36%,XXWorking!$R$36%)*100,"%"),K38)</f>
        <v>No Claim Bonus (*)</v>
      </c>
      <c r="E36" s="629"/>
      <c r="F36" s="76"/>
      <c r="G36" s="630"/>
      <c r="H36" s="22"/>
      <c r="I36" s="75" t="str">
        <f>IF(I12="Ijarah Leasing","NCB Protection","")</f>
        <v/>
      </c>
      <c r="J36" s="279"/>
      <c r="K36" s="9"/>
      <c r="L36" s="21" t="s">
        <v>9</v>
      </c>
      <c r="M36" s="609" t="s">
        <v>47</v>
      </c>
      <c r="N36" s="11"/>
      <c r="O36" s="11"/>
      <c r="P36" s="11"/>
      <c r="Q36" s="11"/>
      <c r="R36" s="772">
        <v>100000</v>
      </c>
      <c r="S36" s="129"/>
      <c r="U36" s="281" t="str">
        <f>XXWorking!B41</f>
        <v>Yes</v>
      </c>
      <c r="V36" s="713" t="s">
        <v>32</v>
      </c>
      <c r="W36" s="712">
        <f>XXWorking!O52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2"/>
      <c r="N37" s="123"/>
      <c r="O37" s="9"/>
      <c r="P37" s="9"/>
      <c r="Q37" s="74"/>
      <c r="R37" s="376"/>
      <c r="S37" s="129"/>
      <c r="U37" s="281">
        <f>IF(XXWorking!Y43&gt;0,1,0)</f>
        <v>0</v>
      </c>
      <c r="V37" s="713" t="s">
        <v>18</v>
      </c>
      <c r="W37" s="712">
        <f>IF(XXWorking!Z43&gt;0,1,0)</f>
        <v>0</v>
      </c>
      <c r="X37" s="713" t="s">
        <v>16</v>
      </c>
      <c r="Y37" s="712">
        <f>IF(XXWorking!X43&gt;0,1,0)</f>
        <v>0</v>
      </c>
      <c r="Z37" s="713" t="s">
        <v>31</v>
      </c>
      <c r="AA37" s="712">
        <f>IF(OR(XXWorking!Q49&gt;0,XXWorking!H49&gt;0),1,0)</f>
        <v>1</v>
      </c>
      <c r="AB37" s="713">
        <f>IF(AND(XXWorking!T47=1,XXWorking!H49&lt;7500),7500,XXWorking!H49)</f>
        <v>7500</v>
      </c>
      <c r="AC37" s="713"/>
      <c r="AD37" s="545"/>
      <c r="AE37" s="545"/>
      <c r="AF37" s="545"/>
    </row>
    <row r="38" spans="1:32" ht="19" hidden="1" customHeight="1" x14ac:dyDescent="0.35">
      <c r="A38" s="120"/>
      <c r="B38" s="7"/>
      <c r="C38" s="77"/>
      <c r="D38" s="77"/>
      <c r="E38" s="77"/>
      <c r="F38" s="77"/>
      <c r="G38" s="10"/>
      <c r="H38" s="9"/>
      <c r="I38" s="9"/>
      <c r="J38" s="279"/>
      <c r="K38" s="23" t="str">
        <f ca="1">IF(XXWorking!M37&lt;0,"No Claim Bonus (*)","Earned NCB")</f>
        <v>No Claim Bonus (*)</v>
      </c>
      <c r="L38" s="21" t="s">
        <v>9</v>
      </c>
      <c r="M38" s="77"/>
      <c r="N38" s="123"/>
      <c r="O38" s="607"/>
      <c r="P38" s="607"/>
      <c r="Q38" s="606"/>
      <c r="R38" s="650"/>
      <c r="S38" s="129"/>
      <c r="U38" s="281">
        <f>XXWorking!O50</f>
        <v>0</v>
      </c>
      <c r="V38" s="712" t="s">
        <v>30</v>
      </c>
      <c r="W38" s="712">
        <f ca="1">XXWorking!P23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XXWorking!O51</f>
        <v>0</v>
      </c>
      <c r="V39" s="713" t="s">
        <v>29</v>
      </c>
      <c r="W39" s="712">
        <f>XXWorking!O22</f>
        <v>0</v>
      </c>
      <c r="X39" s="713"/>
      <c r="Y39" s="713"/>
      <c r="Z39" s="713"/>
      <c r="AA39" s="713"/>
      <c r="AB39" s="713"/>
      <c r="AC39" s="713"/>
      <c r="AD39" s="545"/>
      <c r="AE39" s="545"/>
      <c r="AF39" s="545"/>
    </row>
    <row r="40" spans="1:32" ht="19" hidden="1" customHeight="1" x14ac:dyDescent="0.35">
      <c r="A40" s="120"/>
      <c r="B40" s="7"/>
      <c r="C40" s="132" t="s">
        <v>9</v>
      </c>
      <c r="D40" s="116" t="str">
        <f>IF($T$40=1,PROPER(XXWorking!$F$58),"")</f>
        <v/>
      </c>
      <c r="E40" s="24"/>
      <c r="F40" s="115"/>
      <c r="G40" s="24"/>
      <c r="H40" s="24"/>
      <c r="I40" s="116"/>
      <c r="J40" s="279"/>
      <c r="K40" s="9"/>
      <c r="L40" s="69" t="s">
        <v>9</v>
      </c>
      <c r="M40" s="116" t="str">
        <f>IF($U$40=1,PROPER(XXWorking!$F$59),"")</f>
        <v/>
      </c>
      <c r="N40" s="11"/>
      <c r="O40" s="11"/>
      <c r="P40" s="11"/>
      <c r="Q40" s="7"/>
      <c r="R40" s="7"/>
      <c r="S40" s="129"/>
      <c r="T40" s="283">
        <f>XXWorking!$O$58</f>
        <v>0</v>
      </c>
      <c r="U40" s="283">
        <f>XXWorking!$O$59</f>
        <v>0</v>
      </c>
      <c r="V40" s="713"/>
      <c r="W40" s="712"/>
      <c r="X40" s="713"/>
      <c r="Y40" s="713"/>
      <c r="Z40" s="713"/>
      <c r="AA40" s="713"/>
      <c r="AB40" s="713"/>
      <c r="AC40" s="713"/>
      <c r="AD40" s="545"/>
      <c r="AE40" s="545"/>
      <c r="AF40" s="545"/>
    </row>
    <row r="41" spans="1:32" ht="18" hidden="1" customHeight="1" x14ac:dyDescent="0.35">
      <c r="A41" s="120"/>
      <c r="B41" s="7"/>
      <c r="C41" s="7"/>
      <c r="D41" s="852"/>
      <c r="E41" s="852"/>
      <c r="F41" s="7"/>
      <c r="G41" s="7"/>
      <c r="H41" s="7"/>
      <c r="I41" s="7"/>
      <c r="J41" s="9"/>
      <c r="K41" s="9"/>
      <c r="L41" s="11"/>
      <c r="M41" s="11"/>
      <c r="N41" s="11"/>
      <c r="O41" s="11"/>
      <c r="P41" s="11"/>
      <c r="Q41" s="11"/>
      <c r="R41" s="74"/>
      <c r="S41" s="129"/>
      <c r="T41" s="142" t="s">
        <v>27</v>
      </c>
      <c r="U41" s="281">
        <f>XXWorking!O54</f>
        <v>0</v>
      </c>
      <c r="V41" s="717" t="s">
        <v>0</v>
      </c>
      <c r="W41" s="712">
        <f ca="1">XXWorking!O36</f>
        <v>1</v>
      </c>
      <c r="X41" s="713"/>
      <c r="Y41" s="713"/>
      <c r="Z41" s="713"/>
      <c r="AA41" s="713"/>
      <c r="AB41" s="713"/>
    </row>
    <row r="42" spans="1:32" ht="12" customHeight="1" x14ac:dyDescent="0.3">
      <c r="A42" s="120"/>
      <c r="B42" s="7"/>
      <c r="C42" s="651"/>
      <c r="D42" s="651"/>
      <c r="E42" s="651"/>
      <c r="F42" s="651"/>
      <c r="G42" s="651"/>
      <c r="H42" s="651"/>
      <c r="I42" s="651"/>
      <c r="J42" s="651"/>
      <c r="K42" s="651"/>
      <c r="L42" s="651"/>
      <c r="M42" s="651"/>
      <c r="N42" s="651"/>
      <c r="O42" s="651"/>
      <c r="P42" s="651"/>
      <c r="Q42" s="651"/>
      <c r="R42" s="651"/>
      <c r="S42" s="126"/>
      <c r="T42" s="142" t="s">
        <v>43</v>
      </c>
      <c r="U42" s="281">
        <f>IF(XXWorking!B55="Yes",1,0)</f>
        <v>0</v>
      </c>
      <c r="V42" s="713" t="s">
        <v>41</v>
      </c>
      <c r="W42" s="712">
        <v>1</v>
      </c>
      <c r="X42" s="713" t="s">
        <v>42</v>
      </c>
      <c r="Y42" s="713">
        <f>XXWorking!O45</f>
        <v>0</v>
      </c>
      <c r="Z42" s="713"/>
      <c r="AA42" s="713"/>
      <c r="AB42" s="713"/>
    </row>
    <row r="43" spans="1:32" ht="13.5" customHeight="1" x14ac:dyDescent="0.3">
      <c r="A43" s="120"/>
      <c r="B43" s="7"/>
      <c r="C43" s="863" t="s">
        <v>453</v>
      </c>
      <c r="D43" s="863"/>
      <c r="E43" s="863"/>
      <c r="F43" s="863"/>
      <c r="G43" s="863"/>
      <c r="H43" s="863"/>
      <c r="I43" s="863"/>
      <c r="J43" s="863"/>
      <c r="K43" s="863"/>
      <c r="L43" s="863"/>
      <c r="M43" s="863"/>
      <c r="N43" s="863"/>
      <c r="O43" s="863"/>
      <c r="P43" s="863"/>
      <c r="Q43" s="863"/>
      <c r="R43" s="863"/>
      <c r="S43" s="126"/>
      <c r="T43" s="142" t="s">
        <v>16</v>
      </c>
      <c r="U43" s="281">
        <f>XXWorking!O30</f>
        <v>0</v>
      </c>
      <c r="V43" s="713" t="s">
        <v>44</v>
      </c>
      <c r="W43" s="712">
        <f>XXWorking!E34</f>
        <v>1</v>
      </c>
      <c r="X43" s="713" t="s">
        <v>48</v>
      </c>
      <c r="Y43" s="713" t="str">
        <f>XXWorking!B46</f>
        <v>No</v>
      </c>
      <c r="Z43" s="713" t="s">
        <v>48</v>
      </c>
      <c r="AA43" s="713">
        <f>IF(XXWorking!Q48=0,1,XXWorking!T46)</f>
        <v>0</v>
      </c>
      <c r="AB43" s="713">
        <f>IF(AND(XXWorking!M8="Motor Coach",XXWorking!H9="SLTB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20"/>
      <c r="B45" s="7">
        <f>IF(AND(Rates!D71="Yes",XXWorking!H12="Hybrid"),1,0)</f>
        <v>0</v>
      </c>
      <c r="C45" s="535" t="s">
        <v>406</v>
      </c>
      <c r="D45" s="292"/>
      <c r="E45" s="292"/>
      <c r="F45" s="292"/>
      <c r="G45" s="292"/>
      <c r="H45" s="271" t="s">
        <v>51</v>
      </c>
      <c r="I45" s="293" t="str">
        <f>IF(P13&lt;2011,"Rs.3,000/-","Rs.2,000/-")</f>
        <v>Rs.2,000/-</v>
      </c>
      <c r="J45" s="357"/>
      <c r="K45" s="292"/>
      <c r="L45" s="737" t="str">
        <f>IF(P10="Electric","• Excess on Inverter &amp; Battery : 20%","")</f>
        <v/>
      </c>
      <c r="M45" s="292"/>
      <c r="N45" s="292"/>
      <c r="O45" s="292"/>
      <c r="P45" s="292"/>
      <c r="Q45" s="709"/>
      <c r="R45" s="709"/>
      <c r="S45" s="126"/>
      <c r="U45" s="281"/>
      <c r="W45" s="608"/>
    </row>
    <row r="46" spans="1:32" ht="18" customHeight="1" x14ac:dyDescent="0.3">
      <c r="A46" s="120"/>
      <c r="B46" s="7"/>
      <c r="C46" s="294" t="str">
        <f>IF(U33="Yes","• Flood &amp; Natural Disaster","")</f>
        <v>• Flood &amp; Natural Disaster</v>
      </c>
      <c r="D46" s="709"/>
      <c r="E46" s="734"/>
      <c r="F46" s="734"/>
      <c r="G46" s="734"/>
      <c r="H46" s="292" t="str">
        <f>IF(U33="Yes","-","")</f>
        <v>-</v>
      </c>
      <c r="I46" s="293" t="str">
        <f>IF(C13="ABANS FINANCE","Nil","Rs.5,000/-")</f>
        <v>Rs.5,000/-</v>
      </c>
      <c r="J46" s="357"/>
      <c r="K46" s="292"/>
      <c r="L46" s="733" t="s">
        <v>532</v>
      </c>
      <c r="M46" s="734"/>
      <c r="N46" s="295"/>
      <c r="O46" s="295"/>
      <c r="P46" s="292"/>
      <c r="Q46" s="735" t="s">
        <v>51</v>
      </c>
      <c r="R46" s="736" t="s">
        <v>533</v>
      </c>
      <c r="S46" s="126"/>
      <c r="U46" s="281"/>
      <c r="W46" s="608"/>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8"/>
    </row>
    <row r="48" spans="1:32" ht="18" customHeight="1" x14ac:dyDescent="0.3">
      <c r="A48" s="120"/>
      <c r="B48" s="7"/>
      <c r="C48" s="849" t="s">
        <v>300</v>
      </c>
      <c r="D48" s="850"/>
      <c r="E48" s="850"/>
      <c r="F48" s="850"/>
      <c r="G48" s="850"/>
      <c r="H48" s="850"/>
      <c r="I48" s="850"/>
      <c r="J48" s="850"/>
      <c r="K48" s="850"/>
      <c r="L48" s="850"/>
      <c r="M48" s="850"/>
      <c r="N48" s="850"/>
      <c r="O48" s="850"/>
      <c r="P48" s="850"/>
      <c r="Q48" s="850"/>
      <c r="R48" s="850"/>
      <c r="S48" s="126"/>
      <c r="U48" s="281"/>
      <c r="W48" s="608"/>
    </row>
    <row r="49" spans="1:24" ht="16.5" customHeight="1" x14ac:dyDescent="0.3">
      <c r="A49" s="120"/>
      <c r="B49" s="7"/>
      <c r="C49" s="727" t="s">
        <v>535</v>
      </c>
      <c r="D49" s="728"/>
      <c r="E49" s="728"/>
      <c r="F49" s="728"/>
      <c r="G49" s="728"/>
      <c r="H49" s="728"/>
      <c r="I49" s="729"/>
      <c r="J49" s="729"/>
      <c r="K49" s="729"/>
      <c r="L49" s="729"/>
      <c r="M49" s="729"/>
      <c r="N49" s="729"/>
      <c r="O49" s="729"/>
      <c r="P49" s="729"/>
      <c r="Q49" s="729"/>
      <c r="R49" s="729"/>
      <c r="S49" s="126"/>
      <c r="T49" s="142" t="s">
        <v>132</v>
      </c>
      <c r="U49" s="282">
        <f>IF(AND(XXWorking!M8="Motor Coach",XXWorking!H9="SLTB Route"),1,0)</f>
        <v>0</v>
      </c>
      <c r="V49" s="559" t="s">
        <v>28</v>
      </c>
      <c r="W49" s="608">
        <f>XXWorking!O56</f>
        <v>0</v>
      </c>
      <c r="X49" s="559" t="str">
        <f ca="1">IF(XXWorking!M36&lt;0,"NCB allowed is subject to documentary evidence.","")</f>
        <v/>
      </c>
    </row>
    <row r="50" spans="1:24" ht="24" customHeight="1" x14ac:dyDescent="0.3">
      <c r="A50" s="120"/>
      <c r="B50" s="7"/>
      <c r="C50" s="730" t="s">
        <v>536</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867" t="s">
        <v>537</v>
      </c>
      <c r="D51" s="867"/>
      <c r="E51" s="867"/>
      <c r="F51" s="867"/>
      <c r="G51" s="867"/>
      <c r="H51" s="867"/>
      <c r="I51" s="867"/>
      <c r="J51" s="867"/>
      <c r="K51" s="867"/>
      <c r="L51" s="867"/>
      <c r="M51" s="867"/>
      <c r="N51" s="867"/>
      <c r="O51" s="867"/>
      <c r="P51" s="867"/>
      <c r="Q51" s="867"/>
      <c r="R51" s="867"/>
      <c r="S51" s="126"/>
    </row>
    <row r="52" spans="1:24" ht="29.25" customHeight="1" x14ac:dyDescent="0.3">
      <c r="A52" s="120"/>
      <c r="B52" s="7"/>
      <c r="C52" s="869" t="s">
        <v>556</v>
      </c>
      <c r="D52" s="870"/>
      <c r="E52" s="870"/>
      <c r="F52" s="870"/>
      <c r="G52" s="870"/>
      <c r="H52" s="870"/>
      <c r="I52" s="870"/>
      <c r="J52" s="870"/>
      <c r="K52" s="870"/>
      <c r="L52" s="870"/>
      <c r="M52" s="870"/>
      <c r="N52" s="870"/>
      <c r="O52" s="870"/>
      <c r="P52" s="870"/>
      <c r="Q52" s="870"/>
      <c r="R52" s="870"/>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17.25" customHeight="1" x14ac:dyDescent="0.3">
      <c r="A54" s="120"/>
      <c r="B54" s="7"/>
      <c r="C54" s="859"/>
      <c r="D54" s="860"/>
      <c r="E54" s="860"/>
      <c r="F54" s="860"/>
      <c r="G54" s="860"/>
      <c r="H54" s="860"/>
      <c r="I54" s="860"/>
      <c r="J54" s="860"/>
      <c r="K54" s="860"/>
      <c r="L54" s="860"/>
      <c r="M54" s="860"/>
      <c r="N54" s="278"/>
      <c r="O54" s="278"/>
      <c r="P54" s="278"/>
      <c r="Q54" s="278"/>
      <c r="R54" s="278"/>
      <c r="S54" s="129"/>
    </row>
    <row r="55" spans="1:24" ht="26.25" customHeight="1" x14ac:dyDescent="0.3">
      <c r="A55" s="120"/>
      <c r="B55" s="7"/>
      <c r="C55" s="860"/>
      <c r="D55" s="860"/>
      <c r="E55" s="860"/>
      <c r="F55" s="860"/>
      <c r="G55" s="860"/>
      <c r="H55" s="860"/>
      <c r="I55" s="860"/>
      <c r="J55" s="860"/>
      <c r="K55" s="860"/>
      <c r="L55" s="860"/>
      <c r="M55" s="860"/>
      <c r="N55" s="278"/>
      <c r="O55" s="278"/>
      <c r="P55" s="278"/>
      <c r="Q55" s="278"/>
      <c r="R55" s="278"/>
      <c r="S55" s="129"/>
      <c r="V55" s="559">
        <f>IF(OR(XXWorking!E61=0,XXWorking!E61=""),1,0)</f>
        <v>1</v>
      </c>
    </row>
    <row r="56" spans="1:24" ht="18" customHeight="1" x14ac:dyDescent="0.3">
      <c r="A56" s="120"/>
      <c r="B56" s="7"/>
      <c r="C56" s="378"/>
      <c r="D56" s="322"/>
      <c r="E56" s="322"/>
      <c r="F56" s="322"/>
      <c r="G56" s="322"/>
      <c r="H56" s="322"/>
      <c r="I56" s="322"/>
      <c r="J56" s="322"/>
      <c r="K56" s="322"/>
      <c r="L56" s="322"/>
      <c r="M56" s="322"/>
      <c r="N56" s="862"/>
      <c r="O56" s="862"/>
      <c r="P56" s="862"/>
      <c r="Q56" s="862"/>
      <c r="R56" s="862"/>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848"/>
      <c r="D58" s="848"/>
      <c r="E58" s="848"/>
      <c r="F58" s="848"/>
      <c r="G58" s="848"/>
      <c r="H58" s="848"/>
      <c r="I58" s="848"/>
      <c r="J58" s="264"/>
      <c r="K58" s="264"/>
      <c r="L58" s="264"/>
      <c r="M58" s="14"/>
      <c r="N58" s="295"/>
      <c r="O58" s="295"/>
      <c r="P58" s="295"/>
      <c r="Q58" s="295"/>
      <c r="R58" s="295"/>
      <c r="S58" s="130"/>
    </row>
    <row r="59" spans="1:24" ht="21" customHeight="1" x14ac:dyDescent="0.3">
      <c r="A59" s="120"/>
      <c r="B59" s="7"/>
      <c r="C59" s="847"/>
      <c r="D59" s="847"/>
      <c r="E59" s="847"/>
      <c r="F59" s="847"/>
      <c r="G59" s="847"/>
      <c r="H59" s="847"/>
      <c r="I59" s="847"/>
      <c r="J59" s="7"/>
      <c r="K59" s="7"/>
      <c r="L59" s="14"/>
      <c r="M59" s="14"/>
      <c r="N59" s="131"/>
      <c r="O59" s="131"/>
      <c r="P59" s="131"/>
      <c r="Q59" s="131"/>
      <c r="R59" s="131"/>
      <c r="S59" s="130"/>
    </row>
    <row r="60" spans="1:24" ht="15" customHeight="1" thickBot="1" x14ac:dyDescent="0.3">
      <c r="A60" s="574"/>
      <c r="B60" s="575"/>
      <c r="C60" s="576" t="str">
        <f ca="1">CONCATENATE("NEW MNI - ",-ROUND('Pre-Working'!F3*100,3)," - ",-ROUND('Pre-Working'!F7*100,3)," - ",'Pre-Working'!C8)</f>
        <v>NEW MNI - 1.112 - 65 - 2000</v>
      </c>
      <c r="D60" s="575"/>
      <c r="E60" s="575"/>
      <c r="F60" s="575"/>
      <c r="G60" s="575"/>
      <c r="H60" s="575"/>
      <c r="I60" s="575"/>
      <c r="J60" s="575"/>
      <c r="K60" s="575"/>
      <c r="L60" s="575"/>
      <c r="M60" s="575"/>
      <c r="N60" s="575"/>
      <c r="O60" s="577"/>
      <c r="P60" s="578"/>
      <c r="Q60" s="579"/>
      <c r="R60" s="580"/>
      <c r="S60" s="581"/>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840" t="s">
        <v>401</v>
      </c>
      <c r="B65" s="840"/>
      <c r="C65" s="840"/>
      <c r="D65" s="840"/>
      <c r="E65" s="840"/>
      <c r="F65" s="840"/>
      <c r="G65" s="840"/>
      <c r="H65" s="840"/>
      <c r="I65" s="840"/>
      <c r="J65" s="840"/>
      <c r="K65" s="840"/>
      <c r="L65" s="840"/>
      <c r="M65" s="840"/>
      <c r="N65" s="840"/>
      <c r="O65" s="840"/>
      <c r="P65" s="840"/>
      <c r="Q65" s="840"/>
      <c r="R65" s="840"/>
      <c r="S65" s="840"/>
    </row>
    <row r="66" spans="1:19" hidden="1" x14ac:dyDescent="0.25">
      <c r="A66" s="840"/>
      <c r="B66" s="840"/>
      <c r="C66" s="840"/>
      <c r="D66" s="840"/>
      <c r="E66" s="840"/>
      <c r="F66" s="840"/>
      <c r="G66" s="840"/>
      <c r="H66" s="840"/>
      <c r="I66" s="840"/>
      <c r="J66" s="840"/>
      <c r="K66" s="840"/>
      <c r="L66" s="840"/>
      <c r="M66" s="840"/>
      <c r="N66" s="840"/>
      <c r="O66" s="840"/>
      <c r="P66" s="840"/>
      <c r="Q66" s="840"/>
      <c r="R66" s="840"/>
      <c r="S66" s="840"/>
    </row>
    <row r="67" spans="1:19" hidden="1" x14ac:dyDescent="0.25">
      <c r="A67" s="840"/>
      <c r="B67" s="840"/>
      <c r="C67" s="840"/>
      <c r="D67" s="840"/>
      <c r="E67" s="840"/>
      <c r="F67" s="840"/>
      <c r="G67" s="840"/>
      <c r="H67" s="840"/>
      <c r="I67" s="840"/>
      <c r="J67" s="840"/>
      <c r="K67" s="840"/>
      <c r="L67" s="840"/>
      <c r="M67" s="840"/>
      <c r="N67" s="840"/>
      <c r="O67" s="840"/>
      <c r="P67" s="840"/>
      <c r="Q67" s="840"/>
      <c r="R67" s="840"/>
      <c r="S67" s="840"/>
    </row>
    <row r="68" spans="1:19" hidden="1" x14ac:dyDescent="0.25">
      <c r="A68" s="840"/>
      <c r="B68" s="840"/>
      <c r="C68" s="840"/>
      <c r="D68" s="840"/>
      <c r="E68" s="840"/>
      <c r="F68" s="840"/>
      <c r="G68" s="840"/>
      <c r="H68" s="840"/>
      <c r="I68" s="840"/>
      <c r="J68" s="840"/>
      <c r="K68" s="840"/>
      <c r="L68" s="840"/>
      <c r="M68" s="840"/>
      <c r="N68" s="840"/>
      <c r="O68" s="840"/>
      <c r="P68" s="840"/>
      <c r="Q68" s="840"/>
      <c r="R68" s="840"/>
      <c r="S68" s="840"/>
    </row>
    <row r="69" spans="1:19" hidden="1" x14ac:dyDescent="0.25">
      <c r="A69" s="840"/>
      <c r="B69" s="840"/>
      <c r="C69" s="840"/>
      <c r="D69" s="840"/>
      <c r="E69" s="840"/>
      <c r="F69" s="840"/>
      <c r="G69" s="840"/>
      <c r="H69" s="840"/>
      <c r="I69" s="840"/>
      <c r="J69" s="840"/>
      <c r="K69" s="840"/>
      <c r="L69" s="840"/>
      <c r="M69" s="840"/>
      <c r="N69" s="840"/>
      <c r="O69" s="840"/>
      <c r="P69" s="840"/>
      <c r="Q69" s="840"/>
      <c r="R69" s="840"/>
      <c r="S69" s="840"/>
    </row>
    <row r="70" spans="1:19" hidden="1" x14ac:dyDescent="0.25">
      <c r="A70" s="840"/>
      <c r="B70" s="840"/>
      <c r="C70" s="840"/>
      <c r="D70" s="840"/>
      <c r="E70" s="840"/>
      <c r="F70" s="840"/>
      <c r="G70" s="840"/>
      <c r="H70" s="840"/>
      <c r="I70" s="840"/>
      <c r="J70" s="840"/>
      <c r="K70" s="840"/>
      <c r="L70" s="840"/>
      <c r="M70" s="840"/>
      <c r="N70" s="840"/>
      <c r="O70" s="840"/>
      <c r="P70" s="840"/>
      <c r="Q70" s="840"/>
      <c r="R70" s="840"/>
      <c r="S70" s="840"/>
    </row>
    <row r="71" spans="1:19" hidden="1" x14ac:dyDescent="0.25">
      <c r="A71" s="840"/>
      <c r="B71" s="840"/>
      <c r="C71" s="840"/>
      <c r="D71" s="840"/>
      <c r="E71" s="840"/>
      <c r="F71" s="840"/>
      <c r="G71" s="840"/>
      <c r="H71" s="840"/>
      <c r="I71" s="840"/>
      <c r="J71" s="840"/>
      <c r="K71" s="840"/>
      <c r="L71" s="840"/>
      <c r="M71" s="840"/>
      <c r="N71" s="840"/>
      <c r="O71" s="840"/>
      <c r="P71" s="840"/>
      <c r="Q71" s="840"/>
      <c r="R71" s="840"/>
      <c r="S71" s="840"/>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C20:J24"/>
    <mergeCell ref="C54:M55"/>
    <mergeCell ref="P12:R12"/>
    <mergeCell ref="N56:R56"/>
    <mergeCell ref="C43:R43"/>
    <mergeCell ref="C13:J13"/>
    <mergeCell ref="C51:R51"/>
    <mergeCell ref="L24:R25"/>
    <mergeCell ref="C52:R52"/>
    <mergeCell ref="C17:I18"/>
    <mergeCell ref="P10:R10"/>
    <mergeCell ref="A65:S71"/>
    <mergeCell ref="M1:S1"/>
    <mergeCell ref="M2:R2"/>
    <mergeCell ref="C11:J11"/>
    <mergeCell ref="C8:J8"/>
    <mergeCell ref="P8:R8"/>
    <mergeCell ref="C59:I59"/>
    <mergeCell ref="C58:I58"/>
    <mergeCell ref="C48:R48"/>
    <mergeCell ref="P4:R4"/>
    <mergeCell ref="P11:R11"/>
    <mergeCell ref="D41:E41"/>
    <mergeCell ref="P13:Q13"/>
    <mergeCell ref="P9:R9"/>
    <mergeCell ref="Q16:R17"/>
  </mergeCells>
  <phoneticPr fontId="0" type="noConversion"/>
  <conditionalFormatting sqref="X32">
    <cfRule type="expression" dxfId="165" priority="41" stopIfTrue="1">
      <formula>E32&gt;9%</formula>
    </cfRule>
  </conditionalFormatting>
  <conditionalFormatting sqref="X49">
    <cfRule type="expression" dxfId="164" priority="42" stopIfTrue="1">
      <formula>T42=1</formula>
    </cfRule>
  </conditionalFormatting>
  <conditionalFormatting sqref="M34">
    <cfRule type="expression" dxfId="163" priority="45" stopIfTrue="1">
      <formula>W32=1</formula>
    </cfRule>
  </conditionalFormatting>
  <conditionalFormatting sqref="F36">
    <cfRule type="expression" dxfId="162" priority="46" stopIfTrue="1">
      <formula>W37=3</formula>
    </cfRule>
  </conditionalFormatting>
  <conditionalFormatting sqref="Q37">
    <cfRule type="expression" dxfId="161" priority="47" stopIfTrue="1">
      <formula>X42=1</formula>
    </cfRule>
  </conditionalFormatting>
  <conditionalFormatting sqref="L39">
    <cfRule type="expression" dxfId="160" priority="49" stopIfTrue="1">
      <formula>U42=1</formula>
    </cfRule>
  </conditionalFormatting>
  <conditionalFormatting sqref="C33:C34">
    <cfRule type="expression" dxfId="159" priority="50" stopIfTrue="1">
      <formula>U33="Yes"</formula>
    </cfRule>
  </conditionalFormatting>
  <conditionalFormatting sqref="X25">
    <cfRule type="expression" dxfId="158" priority="51" stopIfTrue="1">
      <formula>W38=1</formula>
    </cfRule>
  </conditionalFormatting>
  <conditionalFormatting sqref="M33">
    <cfRule type="expression" dxfId="157" priority="52" stopIfTrue="1">
      <formula>W34=1</formula>
    </cfRule>
  </conditionalFormatting>
  <conditionalFormatting sqref="L33">
    <cfRule type="expression" dxfId="156" priority="54" stopIfTrue="1">
      <formula>W34=1</formula>
    </cfRule>
  </conditionalFormatting>
  <conditionalFormatting sqref="D33:D34">
    <cfRule type="expression" dxfId="155" priority="55" stopIfTrue="1">
      <formula>U33="Yes"</formula>
    </cfRule>
  </conditionalFormatting>
  <conditionalFormatting sqref="C35">
    <cfRule type="expression" dxfId="154" priority="56" stopIfTrue="1">
      <formula>AND(U36="Yes",U34="Yes")</formula>
    </cfRule>
  </conditionalFormatting>
  <conditionalFormatting sqref="D35">
    <cfRule type="expression" dxfId="153" priority="57" stopIfTrue="1">
      <formula>AND(U36="Yes",U34="Yes")</formula>
    </cfRule>
  </conditionalFormatting>
  <conditionalFormatting sqref="L34">
    <cfRule type="expression" dxfId="152" priority="58" stopIfTrue="1">
      <formula>W32=1</formula>
    </cfRule>
  </conditionalFormatting>
  <conditionalFormatting sqref="M39">
    <cfRule type="expression" dxfId="151" priority="60" stopIfTrue="1">
      <formula>U42=1</formula>
    </cfRule>
  </conditionalFormatting>
  <conditionalFormatting sqref="Y23">
    <cfRule type="expression" dxfId="150" priority="64" stopIfTrue="1">
      <formula>AA37=1</formula>
    </cfRule>
  </conditionalFormatting>
  <conditionalFormatting sqref="W29">
    <cfRule type="expression" dxfId="149" priority="66" stopIfTrue="1">
      <formula>W39=1</formula>
    </cfRule>
  </conditionalFormatting>
  <conditionalFormatting sqref="E36">
    <cfRule type="expression" dxfId="148" priority="68" stopIfTrue="1">
      <formula>U37=1</formula>
    </cfRule>
  </conditionalFormatting>
  <conditionalFormatting sqref="D36">
    <cfRule type="expression" dxfId="147" priority="70" stopIfTrue="1">
      <formula>W41=1</formula>
    </cfRule>
  </conditionalFormatting>
  <conditionalFormatting sqref="C36">
    <cfRule type="expression" dxfId="146" priority="71" stopIfTrue="1">
      <formula>W41=1</formula>
    </cfRule>
  </conditionalFormatting>
  <conditionalFormatting sqref="C40">
    <cfRule type="expression" dxfId="145" priority="74" stopIfTrue="1">
      <formula>T40=1</formula>
    </cfRule>
  </conditionalFormatting>
  <conditionalFormatting sqref="L40">
    <cfRule type="expression" dxfId="144" priority="75" stopIfTrue="1">
      <formula>U40=1</formula>
    </cfRule>
  </conditionalFormatting>
  <conditionalFormatting sqref="D40">
    <cfRule type="expression" dxfId="143" priority="76" stopIfTrue="1">
      <formula>T40=1</formula>
    </cfRule>
  </conditionalFormatting>
  <conditionalFormatting sqref="M40">
    <cfRule type="expression" dxfId="142" priority="77" stopIfTrue="1">
      <formula>U40=1</formula>
    </cfRule>
  </conditionalFormatting>
  <conditionalFormatting sqref="I16">
    <cfRule type="expression" dxfId="141" priority="82" stopIfTrue="1">
      <formula>T18="One Year"</formula>
    </cfRule>
  </conditionalFormatting>
  <conditionalFormatting sqref="U49">
    <cfRule type="cellIs" dxfId="140" priority="84" stopIfTrue="1" operator="equal">
      <formula>"."</formula>
    </cfRule>
  </conditionalFormatting>
  <conditionalFormatting sqref="X39:X40">
    <cfRule type="expression" dxfId="139" priority="86" stopIfTrue="1">
      <formula>#REF!&gt;1</formula>
    </cfRule>
  </conditionalFormatting>
  <conditionalFormatting sqref="D41:E41">
    <cfRule type="cellIs" dxfId="138" priority="87" stopIfTrue="1" operator="equal">
      <formula>"-"</formula>
    </cfRule>
  </conditionalFormatting>
  <conditionalFormatting sqref="G39:G40 E35 C9">
    <cfRule type="cellIs" dxfId="137" priority="88" stopIfTrue="1" operator="equal">
      <formula>0</formula>
    </cfRule>
  </conditionalFormatting>
  <conditionalFormatting sqref="H36">
    <cfRule type="expression" dxfId="136" priority="89" stopIfTrue="1">
      <formula>#REF!&gt;1000</formula>
    </cfRule>
  </conditionalFormatting>
  <conditionalFormatting sqref="I39:I40">
    <cfRule type="expression" dxfId="135" priority="91" stopIfTrue="1">
      <formula>#REF!=0</formula>
    </cfRule>
  </conditionalFormatting>
  <conditionalFormatting sqref="R5 P4">
    <cfRule type="cellIs" dxfId="134" priority="93" stopIfTrue="1" operator="equal">
      <formula>0</formula>
    </cfRule>
  </conditionalFormatting>
  <conditionalFormatting sqref="L23">
    <cfRule type="cellIs" dxfId="133" priority="95" stopIfTrue="1" operator="equal">
      <formula>"Total Contribution"</formula>
    </cfRule>
  </conditionalFormatting>
  <conditionalFormatting sqref="C8">
    <cfRule type="cellIs" dxfId="132" priority="34" stopIfTrue="1" operator="equal">
      <formula>0</formula>
    </cfRule>
  </conditionalFormatting>
  <conditionalFormatting sqref="Q38">
    <cfRule type="expression" dxfId="131" priority="30" stopIfTrue="1">
      <formula>V42=1</formula>
    </cfRule>
  </conditionalFormatting>
  <conditionalFormatting sqref="R38">
    <cfRule type="expression" dxfId="130" priority="29" stopIfTrue="1">
      <formula>AA43=1</formula>
    </cfRule>
  </conditionalFormatting>
  <conditionalFormatting sqref="G36">
    <cfRule type="expression" dxfId="129" priority="297" stopIfTrue="1">
      <formula>W35=1</formula>
    </cfRule>
  </conditionalFormatting>
  <conditionalFormatting sqref="F35">
    <cfRule type="expression" dxfId="128" priority="24" stopIfTrue="1">
      <formula>W35=3</formula>
    </cfRule>
  </conditionalFormatting>
  <conditionalFormatting sqref="G35">
    <cfRule type="expression" dxfId="127" priority="25" stopIfTrue="1">
      <formula>W35=1</formula>
    </cfRule>
  </conditionalFormatting>
  <conditionalFormatting sqref="H35">
    <cfRule type="expression" dxfId="126" priority="26" stopIfTrue="1">
      <formula>#REF!&gt;1000</formula>
    </cfRule>
  </conditionalFormatting>
  <conditionalFormatting sqref="M35">
    <cfRule type="expression" dxfId="125" priority="28" stopIfTrue="1">
      <formula>L35="Yes"</formula>
    </cfRule>
  </conditionalFormatting>
  <conditionalFormatting sqref="G37">
    <cfRule type="expression" dxfId="124" priority="20" stopIfTrue="1">
      <formula>AND(B13=1,I13="Ijarah Leasing")</formula>
    </cfRule>
  </conditionalFormatting>
  <conditionalFormatting sqref="H37">
    <cfRule type="expression" dxfId="123" priority="19" stopIfTrue="1">
      <formula>AND(C13=1,J13="Ijarah")</formula>
    </cfRule>
  </conditionalFormatting>
  <conditionalFormatting sqref="L37:L38">
    <cfRule type="expression" dxfId="122" priority="12" stopIfTrue="1">
      <formula>AND(AD35="Yes",AD33="Yes")</formula>
    </cfRule>
  </conditionalFormatting>
  <conditionalFormatting sqref="C11">
    <cfRule type="cellIs" dxfId="121" priority="9" stopIfTrue="1" operator="equal">
      <formula>0</formula>
    </cfRule>
  </conditionalFormatting>
  <conditionalFormatting sqref="I35">
    <cfRule type="expression" dxfId="120" priority="8" stopIfTrue="1">
      <formula>Y35=1</formula>
    </cfRule>
  </conditionalFormatting>
  <conditionalFormatting sqref="V41">
    <cfRule type="expression" dxfId="119" priority="298" stopIfTrue="1">
      <formula>$E$36&gt;0</formula>
    </cfRule>
  </conditionalFormatting>
  <conditionalFormatting sqref="C13">
    <cfRule type="cellIs" dxfId="118" priority="7" stopIfTrue="1" operator="equal">
      <formula>0</formula>
    </cfRule>
  </conditionalFormatting>
  <conditionalFormatting sqref="M36">
    <cfRule type="expression" dxfId="117" priority="6" stopIfTrue="1">
      <formula>W33=2</formula>
    </cfRule>
  </conditionalFormatting>
  <conditionalFormatting sqref="L36">
    <cfRule type="expression" dxfId="116" priority="5" stopIfTrue="1">
      <formula>W33=2</formula>
    </cfRule>
  </conditionalFormatting>
  <conditionalFormatting sqref="C53">
    <cfRule type="expression" dxfId="115" priority="4" stopIfTrue="1">
      <formula>V55&lt;&gt;0</formula>
    </cfRule>
  </conditionalFormatting>
  <conditionalFormatting sqref="T20">
    <cfRule type="expression" dxfId="114" priority="3" stopIfTrue="1">
      <formula>Q16&gt;=700000</formula>
    </cfRule>
  </conditionalFormatting>
  <conditionalFormatting sqref="T19">
    <cfRule type="expression" dxfId="113" priority="2" stopIfTrue="1">
      <formula>Q16&gt;=700000</formula>
    </cfRule>
  </conditionalFormatting>
  <conditionalFormatting sqref="T22">
    <cfRule type="expression" dxfId="112" priority="1" stopIfTrue="1">
      <formula>Q16&lt;700000</formula>
    </cfRule>
  </conditionalFormatting>
  <dataValidations count="11">
    <dataValidation type="whole" allowBlank="1" showInputMessage="1" showErrorMessage="1" sqref="E36 Q38 G35:H37 I35 C33:C36 C40 L33:L34 L36:L40" xr:uid="{00000000-0002-0000-0300-000000000000}">
      <formula1>0</formula1>
      <formula2>1</formula2>
    </dataValidation>
    <dataValidation type="list" allowBlank="1" showInputMessage="1" showErrorMessage="1" sqref="P13:Q13" xr:uid="{00000000-0002-0000-0300-000001000000}">
      <formula1>"2005,2006,2007,2008,2009,2010,2011,2012,2013,2014,2015,2016,2017,2018,2019,2020,2021,2022,2023"</formula1>
    </dataValidation>
    <dataValidation type="decimal" allowBlank="1" showInputMessage="1" showErrorMessage="1" error="Maximum 65% NCB_x000a_" sqref="T34" xr:uid="{00000000-0002-0000-0300-000002000000}">
      <formula1>0</formula1>
      <formula2>65</formula2>
    </dataValidation>
    <dataValidation type="list" operator="notBetween" allowBlank="1" showInputMessage="1" showErrorMessage="1" sqref="R33" xr:uid="{00000000-0002-0000-0300-000003000000}">
      <formula1>"300000,500000,1000000"</formula1>
    </dataValidation>
    <dataValidation type="list" allowBlank="1" showInputMessage="1" showErrorMessage="1" sqref="T13" xr:uid="{00000000-0002-0000-0300-000004000000}">
      <formula1>"Ijarah,Murabaha,D/Musharaka"</formula1>
    </dataValidation>
    <dataValidation type="list" allowBlank="1" showInputMessage="1" showErrorMessage="1" sqref="P10" xr:uid="{00000000-0002-0000-0300-000005000000}">
      <formula1>"PETROL,ELECTRIC"</formula1>
    </dataValidation>
    <dataValidation type="list" allowBlank="1" showInputMessage="1" showErrorMessage="1" sqref="X10" xr:uid="{00000000-0002-0000-0300-000006000000}">
      <formula1>"Above 250cc,Below 250cc"</formula1>
    </dataValidation>
    <dataValidation type="list" allowBlank="1" showInputMessage="1" showErrorMessage="1" sqref="R34" xr:uid="{00000000-0002-0000-0300-000007000000}">
      <formula1>"0,25000,50000,75000,100000,125000,150000,175000,200000,225000,250000,275000,300000,350000,400000,450000,500000,1000000"</formula1>
    </dataValidation>
    <dataValidation type="list" allowBlank="1" showInputMessage="1" showErrorMessage="1" sqref="R36" xr:uid="{00000000-0002-0000-0300-000008000000}">
      <formula1>"100000,200000,500000,1000000"</formula1>
    </dataValidation>
    <dataValidation type="decimal" allowBlank="1" showInputMessage="1" showErrorMessage="1" sqref="Q16:R17" xr:uid="{00000000-0002-0000-0300-000009000000}">
      <formula1>300000</formula1>
      <formula2>2000000</formula2>
    </dataValidation>
    <dataValidation type="list" allowBlank="1" showInputMessage="1" showErrorMessage="1" sqref="T20 L35" xr:uid="{00000000-0002-0000-03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40"/>
    <pageSetUpPr fitToPage="1"/>
  </sheetPr>
  <dimension ref="A1:BH152"/>
  <sheetViews>
    <sheetView showGridLines="0" topLeftCell="E11" zoomScale="75" zoomScaleNormal="82" workbookViewId="0">
      <selection activeCell="M29" sqref="M29"/>
    </sheetView>
  </sheetViews>
  <sheetFormatPr defaultColWidth="0" defaultRowHeight="14" zeroHeight="1" x14ac:dyDescent="0.3"/>
  <cols>
    <col min="1" max="1" width="0.81640625" style="693" customWidth="1"/>
    <col min="2" max="2" width="0.54296875" style="693" customWidth="1"/>
    <col min="3" max="3" width="5.26953125" style="693" customWidth="1"/>
    <col min="4" max="4" width="3.26953125" style="693" customWidth="1"/>
    <col min="5" max="5" width="4.26953125" style="693" customWidth="1"/>
    <col min="6" max="6" width="33.26953125" style="693" customWidth="1"/>
    <col min="7" max="7" width="4.7265625" style="693" customWidth="1"/>
    <col min="8" max="8" width="18.54296875" style="693" customWidth="1"/>
    <col min="9" max="9" width="16.453125" style="693" customWidth="1"/>
    <col min="10" max="10" width="3.81640625" style="693" customWidth="1"/>
    <col min="11" max="11" width="14.54296875" style="693" customWidth="1"/>
    <col min="12" max="12" width="4" style="693" customWidth="1"/>
    <col min="13" max="13" width="25.26953125" style="693" customWidth="1"/>
    <col min="14" max="14" width="11.453125" style="693" customWidth="1"/>
    <col min="15" max="15" width="9.81640625" style="693" customWidth="1"/>
    <col min="16" max="16" width="13.54296875" style="693" customWidth="1"/>
    <col min="17" max="17" width="5.453125" style="694" customWidth="1"/>
    <col min="18" max="18" width="6.26953125" style="693" hidden="1" customWidth="1"/>
    <col min="19" max="19" width="5" style="693" hidden="1" customWidth="1"/>
    <col min="20" max="20" width="9.54296875" style="693" hidden="1" customWidth="1"/>
    <col min="21" max="21" width="5.26953125" style="693" hidden="1" customWidth="1"/>
    <col min="22" max="22" width="4.54296875" style="693" hidden="1" customWidth="1"/>
    <col min="23" max="23" width="2.81640625" style="693" hidden="1" customWidth="1"/>
    <col min="24" max="24" width="0" style="693" hidden="1" customWidth="1"/>
    <col min="25" max="25" width="5.81640625" style="693" hidden="1" customWidth="1"/>
    <col min="26" max="26" width="7.1796875" style="693" hidden="1" customWidth="1"/>
    <col min="27" max="27" width="26.54296875" style="693" hidden="1" customWidth="1"/>
    <col min="28" max="29" width="0" style="693" hidden="1" customWidth="1"/>
    <col min="30" max="30" width="27.1796875" style="693" hidden="1" customWidth="1"/>
    <col min="31" max="35" width="0" style="693" hidden="1" customWidth="1"/>
    <col min="36" max="36" width="0" style="695" hidden="1" customWidth="1"/>
    <col min="37" max="38" width="0" style="693" hidden="1" customWidth="1"/>
    <col min="39" max="39" width="0" style="694" hidden="1" customWidth="1"/>
    <col min="40" max="46" width="0" style="693" hidden="1" customWidth="1"/>
    <col min="47" max="47" width="0" style="695" hidden="1" customWidth="1"/>
    <col min="48" max="49" width="0" style="693" hidden="1" customWidth="1"/>
    <col min="50" max="50" width="47.453125" style="696" hidden="1" customWidth="1"/>
    <col min="51" max="16384" width="0" style="693"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880"/>
      <c r="O1" s="881"/>
      <c r="P1" s="139"/>
      <c r="Q1" s="139"/>
      <c r="R1" s="139"/>
      <c r="S1" s="139"/>
      <c r="T1" s="139"/>
      <c r="U1" s="142">
        <f>IF(G36="Yes",H23+H36,H23)</f>
        <v>77.141999999999996</v>
      </c>
      <c r="V1" s="139"/>
      <c r="W1" s="139"/>
      <c r="X1" s="139"/>
      <c r="Y1" s="139"/>
      <c r="Z1" s="139"/>
      <c r="AA1" s="658" t="s">
        <v>405</v>
      </c>
      <c r="AB1" s="139"/>
      <c r="AM1" s="219"/>
    </row>
    <row r="2" spans="1:60" s="141" customFormat="1" ht="18.5" thickBot="1" x14ac:dyDescent="0.45">
      <c r="A2" s="142"/>
      <c r="B2" s="289"/>
      <c r="C2" s="475" t="s">
        <v>114</v>
      </c>
      <c r="D2" s="6"/>
      <c r="E2" s="434" t="s">
        <v>174</v>
      </c>
      <c r="F2" s="177"/>
      <c r="G2" s="317" t="s">
        <v>282</v>
      </c>
      <c r="H2" s="889" t="s">
        <v>531</v>
      </c>
      <c r="I2" s="890"/>
      <c r="J2" s="439"/>
      <c r="K2" s="878" t="s">
        <v>415</v>
      </c>
      <c r="L2" s="878"/>
      <c r="M2" s="879"/>
      <c r="N2" s="140">
        <f>IF(N1="takafulshariahamana",1,0)</f>
        <v>0</v>
      </c>
      <c r="O2" s="141">
        <f>IF(AND(M8=Administration!C10,H9=Administration!C23),0,1)</f>
        <v>1</v>
      </c>
      <c r="Q2" s="142">
        <f>IF(M8=Administration!C10,0,1)</f>
        <v>1</v>
      </c>
      <c r="R2" s="142">
        <f>IF(H9=Administration!C23,1,0)</f>
        <v>0</v>
      </c>
      <c r="S2" s="142">
        <f>IF(AND(Rates!D63="Yes",H11="Chinese"),1,IF(AND(XXWorking!H11="Chinese",XXWorking!H8&lt;&gt;Administration!C14),0,1))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891" t="str">
        <f>IF(D3=0,"Charge SRCC/TC Full?","")</f>
        <v/>
      </c>
      <c r="M3" s="892"/>
      <c r="N3" s="554">
        <f>IF(H3="One Year",1,IF(XXWorking!H3="Short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9">
        <v>24</v>
      </c>
      <c r="H4" s="660" t="s">
        <v>351</v>
      </c>
      <c r="I4" s="660">
        <v>2013</v>
      </c>
      <c r="J4" s="661"/>
      <c r="K4" s="388" t="str">
        <f>IF(Calculation!S3=0,"Date Error","")</f>
        <v/>
      </c>
      <c r="L4" s="891"/>
      <c r="M4" s="892"/>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9">
        <v>28</v>
      </c>
      <c r="H5" s="660" t="s">
        <v>354</v>
      </c>
      <c r="I5" s="662">
        <v>2013</v>
      </c>
      <c r="J5" s="661"/>
      <c r="K5" s="388" t="str">
        <f>IF(Calculation!S6=0,"Date Error","")</f>
        <v/>
      </c>
      <c r="L5" s="435"/>
      <c r="M5" s="663" t="s">
        <v>78</v>
      </c>
      <c r="N5" s="555" t="str">
        <f>Rates!D81</f>
        <v>No</v>
      </c>
      <c r="O5" s="547">
        <f>H15*N7%</f>
        <v>21000.000000000004</v>
      </c>
      <c r="P5" s="547">
        <f>(O5-M40-M42)/P6*100</f>
        <v>12321.428571428574</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899"/>
      <c r="J6" s="900"/>
      <c r="K6" s="901"/>
      <c r="L6" s="897" t="str">
        <f>Quote!C8</f>
        <v>to be advised</v>
      </c>
      <c r="M6" s="898"/>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902" t="str">
        <f>Quote!C11</f>
        <v>to be advised</v>
      </c>
      <c r="I7" s="903"/>
      <c r="J7" s="903"/>
      <c r="K7" s="904"/>
      <c r="L7" s="905" t="str">
        <f>IF(AND(H15&gt;0,L6=""),"Enter Name","")</f>
        <v/>
      </c>
      <c r="M7" s="906"/>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893" t="s">
        <v>212</v>
      </c>
      <c r="I8" s="894"/>
      <c r="J8" s="477"/>
      <c r="K8" s="664">
        <v>1.2500000000000001E-2</v>
      </c>
      <c r="L8" s="23" t="str">
        <f>Administration!C11</f>
        <v>Motor Lorry</v>
      </c>
      <c r="M8" s="496" t="str">
        <f>IF(AND(H8=Administration!C14,XXWorking!H11="Chinese"),Administration!C13,IF(AND(H8=Administration!C11,XXWorking!H11="Chinese"),Administration!C16,XXWorking!H8))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911" t="s">
        <v>41</v>
      </c>
      <c r="I9" s="912"/>
      <c r="J9" s="478"/>
      <c r="K9" s="895" t="str">
        <f>IF(OR(T2=3,W2=0),"ERROR",IF(O8=0,"&lt;= Select Usage of Vehicle",IF(Z2=0,"NOT ALLOWED","")))</f>
        <v/>
      </c>
      <c r="L9" s="895"/>
      <c r="M9" s="896"/>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919" t="s">
        <v>108</v>
      </c>
      <c r="F10" s="919"/>
      <c r="G10" s="317" t="s">
        <v>400</v>
      </c>
      <c r="H10" s="915" t="str">
        <f>Quote!P8</f>
        <v>to be advised</v>
      </c>
      <c r="I10" s="916"/>
      <c r="J10" s="478"/>
      <c r="K10" s="303" t="s">
        <v>380</v>
      </c>
      <c r="L10" s="887" t="str">
        <f>Quote!P11</f>
        <v>TO BE ADVISED</v>
      </c>
      <c r="M10" s="888"/>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929" t="str">
        <f>Quote!P9</f>
        <v>INDIA</v>
      </c>
      <c r="I11" s="930"/>
      <c r="J11" s="882" t="s">
        <v>451</v>
      </c>
      <c r="K11" s="883"/>
      <c r="L11" s="884"/>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933" t="s">
        <v>452</v>
      </c>
      <c r="I12" s="934"/>
      <c r="J12" s="927" t="str">
        <f>IF(H8="Motor Cycle","Important --&gt;","")</f>
        <v/>
      </c>
      <c r="K12" s="928"/>
      <c r="L12" s="928"/>
      <c r="M12" s="665" t="str">
        <f>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Quote!P13</f>
        <v>2021</v>
      </c>
      <c r="I13" s="925" t="str">
        <f>IF(H13="","     Enter Year of Make",IF(Z15=0,CONCATENATE("     Vehicles Above ", Administration!F29," Yrs Not Covered"),""))</f>
        <v/>
      </c>
      <c r="J13" s="926"/>
      <c r="K13" s="926"/>
      <c r="L13" s="644">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6" t="str">
        <f>IF(Quote!C13="Not Applicable","No","Yes")</f>
        <v>Yes</v>
      </c>
      <c r="I14" s="885" t="str">
        <f>IF(H14="Yes","NAME OF CO.","")</f>
        <v>NAME OF CO.</v>
      </c>
      <c r="J14" s="886"/>
      <c r="K14" s="931" t="str">
        <f>Quote!C13</f>
        <v>VALLIBEL FINANCE</v>
      </c>
      <c r="L14" s="931"/>
      <c r="M14" s="932"/>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924" t="str">
        <f>IF(H15&gt;Rates!B27,"SUM COVERED - Above Retention","SUM COVERED"                                    )</f>
        <v>SUM COVERED</v>
      </c>
      <c r="F15" s="924"/>
      <c r="G15" s="317" t="s">
        <v>399</v>
      </c>
      <c r="H15" s="913">
        <f>Quote!Q16</f>
        <v>1200000</v>
      </c>
      <c r="I15" s="914"/>
      <c r="J15" s="667"/>
      <c r="K15" s="523" t="str">
        <f>IF(AND(Rates!D63="Yes",H11="Chinese"),"N.B.- Chinese Vehicle",IF(AND(H11="Chinese",H8&lt;&gt;Administration!C14),"Chinese Vehicles NOT covered",IF(Q15=0,"EXCEED AUTHORIZED LIMIT","")))</f>
        <v/>
      </c>
      <c r="L15" s="432"/>
      <c r="M15" s="701" t="str">
        <f>IF(Quote!B13=1,Quote!T13,"")</f>
        <v/>
      </c>
      <c r="N15" s="299"/>
      <c r="O15" s="300">
        <f>IF(T47=0,Rates!B25,Rates!B24)</f>
        <v>28000000</v>
      </c>
      <c r="P15" s="300"/>
      <c r="Q15" s="142">
        <f>IF(H15&gt;O15,0,1)</f>
        <v>1</v>
      </c>
      <c r="R15" s="142">
        <f>IF(AND(H15&gt;0,O11&gt;0,O8=1),1,0)</f>
        <v>1</v>
      </c>
      <c r="T15" s="392"/>
      <c r="X15" s="232">
        <f ca="1">YEAR(F69)</f>
        <v>2024</v>
      </c>
      <c r="Y15" s="142">
        <f ca="1">X15-H13</f>
        <v>3</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917" t="str">
        <f ca="1">IF(XXWorking!$C$69=0,"This Quotation system is not valid anymore",IF(C66-F69&lt;14,CONCATENATE("This quotation shall expire within ",C66-F69," days"),IF(AND(Rates!D79="No",O16=1,H14="No",(O57+Q57=1)),"Should Obtain 3 Tier Quotation","")))</f>
        <v/>
      </c>
      <c r="F16" s="917"/>
      <c r="G16" s="917"/>
      <c r="H16" s="917"/>
      <c r="I16" s="920" t="str">
        <f>IF(N16=0,"Please Get 3 Tier Quotation",IF(H8="","Enter Vehicle Type",IF(H9="","Enter Vehicle Usage",IF(H11="","Enter Vehicle Country of Make",IF(H12="","Enter Fuel Type",IF(H13="","Enter Year of Make",IF(H14="","Enter Lease Status",IF(L6="","Enter Proposer 2nd Name",""))))))))</f>
        <v/>
      </c>
      <c r="J16" s="920"/>
      <c r="K16" s="920"/>
      <c r="L16" s="920"/>
      <c r="M16" s="921"/>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918"/>
      <c r="F17" s="918"/>
      <c r="G17" s="918"/>
      <c r="H17" s="918"/>
      <c r="I17" s="922"/>
      <c r="J17" s="922"/>
      <c r="K17" s="922"/>
      <c r="L17" s="922"/>
      <c r="M17" s="923"/>
      <c r="N17" s="90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908"/>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909"/>
      <c r="O18" s="910"/>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21000.000000000004</v>
      </c>
      <c r="N19" s="236">
        <v>0</v>
      </c>
      <c r="O19" s="229"/>
      <c r="P19" s="229"/>
      <c r="Q19" s="465">
        <v>0.01</v>
      </c>
      <c r="R19" s="231"/>
      <c r="S19" s="586"/>
      <c r="T19" s="619"/>
      <c r="U19" s="586"/>
      <c r="V19" s="586"/>
      <c r="W19" s="559"/>
      <c r="X19" s="559"/>
      <c r="Y19" s="559"/>
      <c r="Z19" s="620"/>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6"/>
      <c r="T20" s="619"/>
      <c r="U20" s="586"/>
      <c r="V20" s="586"/>
      <c r="W20" s="559"/>
      <c r="X20" s="559"/>
      <c r="Y20" s="559"/>
      <c r="Z20" s="620"/>
      <c r="AA20" s="559"/>
      <c r="AM20" s="219"/>
      <c r="AU20" s="142">
        <f t="shared" si="1"/>
        <v>1982</v>
      </c>
    </row>
    <row r="21" spans="2:50" s="142" customFormat="1" ht="16" customHeight="1" thickBot="1" x14ac:dyDescent="0.45">
      <c r="B21" s="668"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1"/>
      <c r="T21" s="586"/>
      <c r="U21" s="586"/>
      <c r="V21" s="586"/>
      <c r="W21" s="590"/>
      <c r="X21" s="590"/>
      <c r="Y21" s="590"/>
      <c r="Z21" s="590"/>
      <c r="AA21" s="590"/>
      <c r="AM21" s="219"/>
      <c r="AU21" s="142">
        <f t="shared" si="1"/>
        <v>1983</v>
      </c>
    </row>
    <row r="22" spans="2:50" s="142" customFormat="1" ht="16" customHeight="1" thickBot="1" x14ac:dyDescent="0.35">
      <c r="B22" s="5"/>
      <c r="C22" s="137"/>
      <c r="D22" s="321" t="s">
        <v>284</v>
      </c>
      <c r="E22" s="342" t="s">
        <v>9</v>
      </c>
      <c r="F22" s="267" t="s">
        <v>2</v>
      </c>
      <c r="G22" s="267"/>
      <c r="H22" s="603">
        <v>0</v>
      </c>
      <c r="I22" s="422">
        <f>IF(AND($C$2="Yes",L22=1),K22,H22)</f>
        <v>0</v>
      </c>
      <c r="J22" s="440"/>
      <c r="K22" s="669">
        <v>10000</v>
      </c>
      <c r="L22" s="498">
        <v>0</v>
      </c>
      <c r="M22" s="197">
        <f>IF(AND($C$2="Yes",L22=1),N22,-IF(I22=2000,MIN(Rates!K38/100*M19,Rates!J38),IF(I22=5000,MIN(Rates!J39,Rates!K39/100*M19),IF(I22=10000,MIN(Rates!K40/100*M19,Rates!J40)))))</f>
        <v>0</v>
      </c>
      <c r="N22" s="236">
        <v>0</v>
      </c>
      <c r="O22" s="233">
        <f>IF(I22&gt;0,1,0)</f>
        <v>0</v>
      </c>
      <c r="P22" s="233"/>
      <c r="Q22" s="466"/>
      <c r="R22" s="231"/>
      <c r="S22" s="586"/>
      <c r="T22" s="586"/>
      <c r="U22" s="586"/>
      <c r="V22" s="586"/>
      <c r="W22" s="622"/>
      <c r="X22" s="590"/>
      <c r="Y22" s="590"/>
      <c r="Z22" s="623">
        <f ca="1">M35+M36</f>
        <v>5185.18</v>
      </c>
      <c r="AA22" s="590"/>
      <c r="AM22" s="219"/>
      <c r="AU22" s="142">
        <f t="shared" si="1"/>
        <v>1984</v>
      </c>
    </row>
    <row r="23" spans="2:50" s="142" customFormat="1" ht="16" customHeight="1" thickBot="1" x14ac:dyDescent="0.35">
      <c r="B23" s="5"/>
      <c r="C23" s="137"/>
      <c r="D23" s="321" t="s">
        <v>284</v>
      </c>
      <c r="E23" s="342" t="s">
        <v>9</v>
      </c>
      <c r="F23" s="267" t="s">
        <v>3</v>
      </c>
      <c r="G23" s="267"/>
      <c r="H23" s="557">
        <v>77.141999999999996</v>
      </c>
      <c r="I23" s="876" t="str">
        <f ca="1">IF(AND(U23=0,M23&lt;0),"   (Special Rebate Allowed)",IF(U23=0,"   (Rebate Not Allowed)",IF(AND(H12="Hybrid",M23&lt;0),"N.B:- Hybrid Vehicle",IF(AND(H11="Korean",M23&lt;0),"N.B:- Korean Vehicle",""))))</f>
        <v/>
      </c>
      <c r="J23" s="877"/>
      <c r="K23" s="877"/>
      <c r="L23" s="877"/>
      <c r="M23" s="193">
        <f ca="1">IF(AND($C$2="Yes",O23=1),N23,IF(AND(U23=0,C24=1),-((M19+M21+M22)*I24%),-((M19+M21+M22)*H23%*U23)))</f>
        <v>-16199.820000000003</v>
      </c>
      <c r="N23" s="236">
        <v>0</v>
      </c>
      <c r="O23" s="670">
        <v>0</v>
      </c>
      <c r="P23" s="491">
        <f ca="1">IF(M23&lt;0,1,0)</f>
        <v>1</v>
      </c>
      <c r="Q23" s="517">
        <f>Rates!C29</f>
        <v>75</v>
      </c>
      <c r="R23" s="518">
        <f>IF(AND(T47=0,Rates!C28="No"),1,0)</f>
        <v>0</v>
      </c>
      <c r="S23" s="624"/>
      <c r="T23" s="624">
        <f>IF(R23=1,0,IF(AND(H11="Chinese",Rates!D64="No"),0,IF(AND(H12="Hybrid",Rates!D76="No"),0,IF(AND(H11="Korean",Rates!D58="Yes"),1,IF(AND(H11="Korean",H14="No",Rates!D58="No"),0,IF(AND(H11="Korean",H14="Yes",Rates!D58="No",OR(J11="Reconditioned",J11="Registered")),0,Q23))))))</f>
        <v>75</v>
      </c>
      <c r="U23" s="624">
        <f>IF(T23=0,0,1)</f>
        <v>1</v>
      </c>
      <c r="V23" s="624"/>
      <c r="W23" s="602"/>
      <c r="X23" s="602"/>
      <c r="Y23" s="602">
        <v>0</v>
      </c>
      <c r="Z23" s="602">
        <f ca="1">Z22*-H37%</f>
        <v>-1296.2950000000001</v>
      </c>
      <c r="AA23" s="602"/>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4800.18</v>
      </c>
      <c r="N24" s="237"/>
      <c r="O24" s="233">
        <f ca="1">O23+M24</f>
        <v>4800.18</v>
      </c>
      <c r="P24" s="233"/>
      <c r="Q24" s="534"/>
      <c r="R24" s="534"/>
      <c r="S24" s="625"/>
      <c r="T24" s="625"/>
      <c r="U24" s="625"/>
      <c r="V24" s="625"/>
      <c r="W24" s="590"/>
      <c r="X24" s="590"/>
      <c r="Y24" s="590"/>
      <c r="Z24" s="626" t="s">
        <v>158</v>
      </c>
      <c r="AA24" s="590"/>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9">
        <f>Quote!R34</f>
        <v>50000</v>
      </c>
      <c r="I25" s="872" t="s">
        <v>447</v>
      </c>
      <c r="J25" s="873"/>
      <c r="K25" s="874"/>
      <c r="L25" s="328">
        <f>IF(H15&gt;0,AD25,0)</f>
        <v>1</v>
      </c>
      <c r="M25" s="198">
        <f>(H25/25000)*110</f>
        <v>220</v>
      </c>
      <c r="N25" s="236">
        <v>0</v>
      </c>
      <c r="O25" s="234">
        <v>0</v>
      </c>
      <c r="P25" s="229">
        <f>IF(H25&gt;0,1,0)</f>
        <v>1</v>
      </c>
      <c r="Q25" s="229">
        <f>IF(L27&gt;0,1,0)</f>
        <v>1</v>
      </c>
      <c r="R25" s="234">
        <f>P25+Q25</f>
        <v>2</v>
      </c>
      <c r="S25" s="585"/>
      <c r="T25" s="585"/>
      <c r="U25" s="585">
        <f>IF(T47=0,Rates!K10,IF(U57=1,Rates!K8,Rates!K9))</f>
        <v>25</v>
      </c>
      <c r="V25" s="585"/>
      <c r="W25" s="590">
        <f>IF(OR(U62=1,Rates!D41="Yes"),MIN(H25/25000*MIN(L25,AC25)*U25,X25),0)</f>
        <v>0</v>
      </c>
      <c r="X25" s="590">
        <f>MIN(H25/25000*MIN(L25,AC25)*U25*Y25,Rates!C40/25000*MIN(L25,AC25)*U25*Y25)</f>
        <v>0</v>
      </c>
      <c r="Y25" s="590">
        <f>IF(Rates!D39="Yes",1,0)</f>
        <v>1</v>
      </c>
      <c r="Z25" s="671">
        <f>IF(AND(AA25=1,R25=2),MAX(H25,Rates!C40),IF(AND(AA25=1,R25&lt;2),Rates!C40,IF(AND(AA25=0,R25=2),H25,0)))</f>
        <v>50000</v>
      </c>
      <c r="AA25" s="590">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Full Seating Capacity</v>
      </c>
      <c r="G26" s="497">
        <f>IF(OR(I25="Participant Only",I25="Participant &amp; Driver Only"),1,0)</f>
        <v>0</v>
      </c>
      <c r="H26" s="267" t="str">
        <f>IF(H25&gt;0,"for Participant","")</f>
        <v>for Participant</v>
      </c>
      <c r="I26" s="516">
        <f>IF(H15&gt;0,Z25,0)</f>
        <v>50000</v>
      </c>
      <c r="J26" s="516"/>
      <c r="K26" s="310" t="str">
        <f>IF(H25&gt;0,"for Driver","")</f>
        <v>for Driver</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5"/>
      <c r="T26" s="585"/>
      <c r="U26" s="585"/>
      <c r="V26" s="585"/>
      <c r="W26" s="590"/>
      <c r="X26" s="590"/>
      <c r="Y26" s="590"/>
      <c r="Z26" s="671"/>
      <c r="AA26" s="590"/>
      <c r="AJ26" s="142">
        <f>AJ25+25000</f>
        <v>50000</v>
      </c>
      <c r="AM26" s="219"/>
      <c r="AU26" s="142">
        <f t="shared" si="1"/>
        <v>1988</v>
      </c>
      <c r="AX26" s="672"/>
    </row>
    <row r="27" spans="2:50" s="142" customFormat="1" ht="26.25" hidden="1" customHeight="1" thickBot="1" x14ac:dyDescent="0.35">
      <c r="B27" s="5"/>
      <c r="C27" s="137"/>
      <c r="D27" s="315"/>
      <c r="E27" s="295"/>
      <c r="F27" s="875" t="str">
        <f>IF(OR($R$25&gt;1,AA25=1),"If PAB for Terrorism is Required for paid Driver or workers, state their number","")</f>
        <v>If PAB for Terrorism is Required for paid Driver or workers, state their number</v>
      </c>
      <c r="G27" s="875"/>
      <c r="H27" s="875"/>
      <c r="I27" s="312">
        <v>0</v>
      </c>
      <c r="J27" s="367"/>
      <c r="K27" s="201"/>
      <c r="L27" s="312">
        <f>IF(E26=1,L13,IF(AND(G26=1,L26=1),2,IF(OR(G26=1,L26=1),1,0)))</f>
        <v>1</v>
      </c>
      <c r="M27" s="341"/>
      <c r="O27" s="229"/>
      <c r="P27" s="229"/>
      <c r="Q27" s="222"/>
      <c r="R27" s="380"/>
      <c r="S27" s="627"/>
      <c r="T27" s="627"/>
      <c r="U27" s="627"/>
      <c r="V27" s="627"/>
      <c r="W27" s="628"/>
      <c r="X27" s="628"/>
      <c r="Y27" s="590"/>
      <c r="Z27" s="671"/>
      <c r="AA27" s="590"/>
      <c r="AJ27" s="142">
        <f t="shared" ref="AJ27:AJ43" si="2">AJ26+25000</f>
        <v>75000</v>
      </c>
      <c r="AM27" s="219"/>
      <c r="AU27" s="142">
        <f t="shared" si="1"/>
        <v>1989</v>
      </c>
      <c r="AX27" s="672"/>
    </row>
    <row r="28" spans="2:50" s="142" customFormat="1" ht="20.25" hidden="1" customHeight="1" thickBot="1" x14ac:dyDescent="0.35">
      <c r="B28" s="5"/>
      <c r="C28" s="137"/>
      <c r="D28" s="315"/>
      <c r="E28" s="202"/>
      <c r="F28" s="875"/>
      <c r="G28" s="875"/>
      <c r="H28" s="875"/>
      <c r="I28" s="947" t="str">
        <f>IF(AND(H25=0,L25=0),"",IF(I27&gt;L25,"Invalid Entry",""))</f>
        <v/>
      </c>
      <c r="J28" s="947"/>
      <c r="K28" s="947"/>
      <c r="L28" s="295"/>
      <c r="M28" s="198"/>
      <c r="N28" s="239"/>
      <c r="O28" s="233"/>
      <c r="P28" s="233"/>
      <c r="Q28" s="380"/>
      <c r="R28" s="234"/>
      <c r="S28" s="585"/>
      <c r="T28" s="585"/>
      <c r="U28" s="585"/>
      <c r="V28" s="585"/>
      <c r="W28" s="590"/>
      <c r="X28" s="590"/>
      <c r="Y28" s="590"/>
      <c r="Z28" s="590">
        <f>IF(I27&gt;L25,L25,I27)</f>
        <v>0</v>
      </c>
      <c r="AA28" s="590"/>
      <c r="AJ28" s="142">
        <f t="shared" si="2"/>
        <v>100000</v>
      </c>
      <c r="AM28" s="219"/>
      <c r="AU28" s="142">
        <f t="shared" si="1"/>
        <v>1990</v>
      </c>
      <c r="AX28" s="672"/>
    </row>
    <row r="29" spans="2:50" s="142" customFormat="1" ht="20.25" customHeight="1" thickBot="1" x14ac:dyDescent="0.4">
      <c r="B29" s="5"/>
      <c r="C29" s="137"/>
      <c r="D29" s="321" t="s">
        <v>284</v>
      </c>
      <c r="E29" s="342" t="s">
        <v>9</v>
      </c>
      <c r="F29" s="77" t="s">
        <v>47</v>
      </c>
      <c r="G29" s="77"/>
      <c r="H29" s="601">
        <f>Quote!R36</f>
        <v>100000</v>
      </c>
      <c r="I29" s="316" t="str">
        <f>IF(L13&gt;Q12,CONCATENATE(Q12-1," Passengers"),CONCATENATE(L13-1," passengers"))</f>
        <v>3 passengers</v>
      </c>
      <c r="J29" s="318"/>
      <c r="K29" s="562">
        <f>IF(AND(H8="Three Wheeler",K14=F112,H29&lt;20000),20000,H29)</f>
        <v>100000</v>
      </c>
      <c r="L29" s="561"/>
      <c r="M29" s="187">
        <f>IF(AND($C$2="Yes",O29=1),N29,IF(K29=2000,Rates!K27,IF(K29=10000,Rates!M27,IF(K29=20000,Rates!K28,IF(K29=50000,Rates!M28,IF(K29=100000,Rates!K29,IF(K29=200000,Rates!M29,IF(K29=500000,Rates!K30,))))))))*T29*U2*R15*Y2*Z49*Y49*Q65*N3</f>
        <v>165</v>
      </c>
      <c r="N29" s="236">
        <v>0</v>
      </c>
      <c r="O29" s="670">
        <v>0</v>
      </c>
      <c r="P29" s="229">
        <f>IF(K29&gt;0,1,0)</f>
        <v>1</v>
      </c>
      <c r="Q29" s="229">
        <f>IF(I29&gt;0,1,0)</f>
        <v>1</v>
      </c>
      <c r="R29" s="234">
        <f>P29+Q29</f>
        <v>2</v>
      </c>
      <c r="S29" s="585"/>
      <c r="T29" s="586">
        <f>IF(I29&gt;L13-1,L13-1,I29)</f>
        <v>3</v>
      </c>
      <c r="U29" s="586"/>
      <c r="V29" s="586">
        <f>IF(AND(H9=Administration!C21,OR(XXWorking!M8=Administration!C7,M8=Administration!C8,M8=Administration!C9,M8=Administration!C10,M8=Administration!C12)),2000,0)</f>
        <v>2000</v>
      </c>
      <c r="W29" s="590"/>
      <c r="X29" s="590"/>
      <c r="Y29" s="590"/>
      <c r="Z29" s="590"/>
      <c r="AA29" s="590"/>
      <c r="AJ29" s="142">
        <f t="shared" si="2"/>
        <v>125000</v>
      </c>
      <c r="AM29" s="219"/>
      <c r="AU29" s="142">
        <f t="shared" si="1"/>
        <v>1991</v>
      </c>
      <c r="AX29" s="673"/>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4">
        <v>0</v>
      </c>
      <c r="I30" s="955" t="s">
        <v>39</v>
      </c>
      <c r="J30" s="956"/>
      <c r="K30" s="674" t="s">
        <v>403</v>
      </c>
      <c r="L30" s="498">
        <v>0</v>
      </c>
      <c r="M30" s="189"/>
      <c r="N30" s="236">
        <v>0</v>
      </c>
      <c r="O30" s="229">
        <f>IF(AND(C30="Yes",H30&gt;0),1,0)</f>
        <v>0</v>
      </c>
      <c r="P30" s="229"/>
      <c r="Q30" s="219"/>
      <c r="S30" s="559"/>
      <c r="T30" s="559">
        <f>IF(C30="Yes",Rates!B33,0)</f>
        <v>5000</v>
      </c>
      <c r="U30" s="623">
        <f>IF(AND(O31=1,C30="Yes"),Rates!B31,0)</f>
        <v>1000000</v>
      </c>
      <c r="V30" s="623"/>
      <c r="W30" s="590"/>
      <c r="X30" s="590"/>
      <c r="Y30" s="590"/>
      <c r="Z30" s="590"/>
      <c r="AA30" s="590"/>
      <c r="AJ30" s="142">
        <f t="shared" si="2"/>
        <v>150000</v>
      </c>
      <c r="AM30" s="219"/>
      <c r="AU30" s="142">
        <f t="shared" si="1"/>
        <v>1992</v>
      </c>
    </row>
    <row r="31" spans="2:50" s="142" customFormat="1" ht="0.75" customHeight="1" thickBot="1" x14ac:dyDescent="0.35">
      <c r="B31" s="675">
        <v>1</v>
      </c>
      <c r="C31" s="475">
        <v>1</v>
      </c>
      <c r="D31" s="314"/>
      <c r="E31" s="344" t="str">
        <f>IF(AND(H30&gt;0,O31&gt;0),"Select Nature of Goods","")</f>
        <v/>
      </c>
      <c r="F31" s="295"/>
      <c r="G31" s="205" t="s">
        <v>9</v>
      </c>
      <c r="H31" s="329" t="str">
        <f>IF(AND(H30&gt;0,O31=1),"Non Hazardous","")</f>
        <v/>
      </c>
      <c r="I31" s="311">
        <f>H30*Rates!K53%*T31*O30*O31</f>
        <v>0</v>
      </c>
      <c r="J31" s="676"/>
      <c r="K31" s="676"/>
      <c r="L31" s="676"/>
      <c r="M31" s="192"/>
      <c r="N31" s="240"/>
      <c r="O31" s="142">
        <f>IF(OR(H8=Administration!C9,H8=Administration!C11,H8=Administration!C12,H8=Administration!CY1548),1,IF(Rates!D47="Yes",1,0))</f>
        <v>1</v>
      </c>
      <c r="Q31" s="142">
        <f>B31</f>
        <v>1</v>
      </c>
      <c r="R31" s="142">
        <f>IF(Q31+Q32=3,0,1)</f>
        <v>1</v>
      </c>
      <c r="S31" s="559"/>
      <c r="T31" s="559">
        <f>IF((E32+E33)=0,1,0)</f>
        <v>0</v>
      </c>
      <c r="U31" s="590">
        <f>IF(T31=1,1,0)</f>
        <v>0</v>
      </c>
      <c r="V31" s="590"/>
      <c r="W31" s="590"/>
      <c r="X31" s="590"/>
      <c r="Y31" s="590"/>
      <c r="Z31" s="590"/>
      <c r="AA31" s="590"/>
      <c r="AJ31" s="142">
        <f t="shared" si="2"/>
        <v>175000</v>
      </c>
      <c r="AM31" s="219"/>
      <c r="AU31" s="142">
        <f t="shared" si="1"/>
        <v>1993</v>
      </c>
      <c r="AX31" s="673"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6"/>
      <c r="K32" s="676"/>
      <c r="L32" s="676"/>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3"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6"/>
      <c r="K33" s="676"/>
      <c r="L33" s="676"/>
      <c r="M33" s="192"/>
      <c r="N33" s="935"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908"/>
      <c r="Q33" s="142">
        <f>E33</f>
        <v>1</v>
      </c>
      <c r="S33" s="559"/>
      <c r="T33" s="559"/>
      <c r="U33" s="559"/>
      <c r="V33" s="559"/>
      <c r="W33" s="559"/>
      <c r="X33" s="559"/>
      <c r="Y33" s="559"/>
      <c r="Z33" s="559"/>
      <c r="AA33" s="559"/>
      <c r="AJ33" s="142">
        <f t="shared" si="2"/>
        <v>225000</v>
      </c>
      <c r="AM33" s="219"/>
      <c r="AU33" s="142">
        <f t="shared" si="1"/>
        <v>1995</v>
      </c>
      <c r="AX33" s="673"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6"/>
      <c r="K34" s="676"/>
      <c r="L34" s="676"/>
      <c r="M34" s="192"/>
      <c r="N34" s="936"/>
      <c r="O34" s="910"/>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5185.18</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7">
        <f>Quote!T34</f>
        <v>0</v>
      </c>
      <c r="I36" s="925" t="str">
        <f>IF(H36&gt;R36,CONCATENATE("NCB ALLOWED - ",R36),IF(H36&gt;0,"Earned NCB - NOT Upfront NCB",IF(AND(M8=Administration!C19,H9=Administration!C20),"NCB Not Allowed","")))</f>
        <v/>
      </c>
      <c r="J36" s="926"/>
      <c r="K36" s="926"/>
      <c r="L36" s="498">
        <v>0</v>
      </c>
      <c r="M36" s="193">
        <f ca="1">IF(AND($C$2="Yes",L36=1),N36,(-M35/1*MIN(H36%,R36%)*Y2))</f>
        <v>0</v>
      </c>
      <c r="N36" s="678">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9"/>
    </row>
    <row r="37" spans="2:50" s="142" customFormat="1" ht="16" customHeight="1" thickBot="1" x14ac:dyDescent="0.4">
      <c r="B37" s="5"/>
      <c r="C37" s="137"/>
      <c r="D37" s="321"/>
      <c r="E37" s="508" t="s">
        <v>9</v>
      </c>
      <c r="F37" s="267" t="s">
        <v>321</v>
      </c>
      <c r="G37" s="657">
        <f>IF(H36+H37&gt;35,35-H36,H37)</f>
        <v>25</v>
      </c>
      <c r="H37" s="556">
        <v>25</v>
      </c>
      <c r="I37" s="945" t="str">
        <f>IF(G37&lt;&gt;H37,CONCATENATE(G37,"% NCB Allowed (Max - 35%)"),"")</f>
        <v/>
      </c>
      <c r="J37" s="946"/>
      <c r="K37" s="946"/>
      <c r="L37" s="498">
        <v>0</v>
      </c>
      <c r="M37" s="456">
        <f ca="1">IF(AND($C$2="Yes",L37=1),Q37,(-M35/1*G37%))</f>
        <v>-1296.2950000000001</v>
      </c>
      <c r="N37" s="678">
        <v>-121</v>
      </c>
      <c r="O37" s="229"/>
      <c r="P37" s="229"/>
      <c r="Q37" s="488"/>
      <c r="R37" s="242">
        <f>IF(H36+H37&gt;R36,0,1)</f>
        <v>1</v>
      </c>
      <c r="S37" s="242"/>
      <c r="T37" s="231"/>
      <c r="U37" s="231"/>
      <c r="V37" s="231"/>
      <c r="W37" s="141"/>
      <c r="X37" s="141"/>
      <c r="Y37" s="141"/>
      <c r="Z37" s="141"/>
      <c r="AU37" s="536">
        <f t="shared" ref="AU37:AU42" si="3">AU36+1</f>
        <v>1999</v>
      </c>
      <c r="AX37" s="679"/>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3888.8850000000002</v>
      </c>
      <c r="N38" s="237"/>
      <c r="O38" s="243">
        <f ca="1">M35+M36</f>
        <v>5185.18</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9"/>
    </row>
    <row r="39" spans="2:50" s="142" customFormat="1" ht="15" customHeight="1" thickBot="1" x14ac:dyDescent="0.45">
      <c r="B39" s="668" t="str">
        <f>IF(C39=1,"Yes","No")</f>
        <v>Yes</v>
      </c>
      <c r="C39" s="531">
        <v>1</v>
      </c>
      <c r="D39" s="321" t="s">
        <v>284</v>
      </c>
      <c r="E39" s="342" t="s">
        <v>9</v>
      </c>
      <c r="F39" s="267" t="s">
        <v>288</v>
      </c>
      <c r="G39" s="267"/>
      <c r="H39" s="221"/>
      <c r="I39" s="188"/>
      <c r="J39" s="188"/>
      <c r="K39" s="9"/>
      <c r="L39" s="498">
        <v>0</v>
      </c>
      <c r="M39" s="189">
        <f ca="1">IF(AND($C$2="Yes",L39=1),N39,IF(B39="Yes",M19*Rates!K11%,0))</f>
        <v>2100.0000000000005</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9"/>
    </row>
    <row r="40" spans="2:50" s="142" customFormat="1" ht="16" customHeight="1" thickBot="1" x14ac:dyDescent="0.35">
      <c r="B40" s="668" t="str">
        <f>IF(C40=1,"Yes","No")</f>
        <v>Yes</v>
      </c>
      <c r="C40" s="531">
        <v>1</v>
      </c>
      <c r="D40" s="321" t="s">
        <v>284</v>
      </c>
      <c r="E40" s="342" t="s">
        <v>9</v>
      </c>
      <c r="F40" s="267" t="s">
        <v>14</v>
      </c>
      <c r="G40" s="267"/>
      <c r="H40" s="188"/>
      <c r="I40" s="188"/>
      <c r="J40" s="188"/>
      <c r="K40" s="9"/>
      <c r="L40" s="498">
        <v>0</v>
      </c>
      <c r="M40" s="189">
        <f>IF(AND($C$2="Yes",L40=1),N40,(Q38*P38%*H15*U2*Z2*N4))</f>
        <v>3000</v>
      </c>
      <c r="N40" s="236">
        <v>0</v>
      </c>
      <c r="O40" s="938"/>
      <c r="P40" s="938"/>
      <c r="Q40" s="938"/>
      <c r="R40" s="938"/>
      <c r="S40" s="938"/>
      <c r="T40" s="938"/>
      <c r="U40" s="938"/>
      <c r="V40" s="938"/>
      <c r="AA40" s="559"/>
      <c r="AB40" s="559"/>
      <c r="AC40" s="559"/>
      <c r="AD40" s="559"/>
      <c r="AE40" s="559"/>
      <c r="AF40" s="559"/>
      <c r="AG40" s="559"/>
      <c r="AH40" s="559"/>
      <c r="AJ40" s="142">
        <f t="shared" si="2"/>
        <v>375000</v>
      </c>
      <c r="AU40" s="536">
        <f t="shared" si="3"/>
        <v>2002</v>
      </c>
      <c r="AX40" s="679"/>
    </row>
    <row r="41" spans="2:50" s="142" customFormat="1" ht="16" customHeight="1" thickBot="1" x14ac:dyDescent="0.35">
      <c r="B41" s="668" t="str">
        <f>IF(C42=1,"Yes","No")</f>
        <v>Yes</v>
      </c>
      <c r="C41" s="136"/>
      <c r="D41" s="441">
        <f>IF(OR($R$25&gt;1,AA25=1),1,0)</f>
        <v>1</v>
      </c>
      <c r="E41" s="498">
        <v>1</v>
      </c>
      <c r="F41" s="267" t="str">
        <f>IF(AND($C$40=1,D41=1),CONCATENATE("     PAB by SRCC (Rs.",Y42,")"),"")</f>
        <v xml:space="preserve">     PAB by SRCC (Rs.18.75)</v>
      </c>
      <c r="G41" s="498">
        <v>1</v>
      </c>
      <c r="H41" s="442" t="str">
        <f>IF(AND($C$40=1,M30&gt;0),"   Goods Cover by SRCC","")</f>
        <v/>
      </c>
      <c r="I41" s="204"/>
      <c r="J41" s="498">
        <v>1</v>
      </c>
      <c r="K41" s="443" t="str">
        <f>IF(AND($C$40=1,OR(H50&gt;0,H51&gt;0)),"WCT by SRCC","")</f>
        <v/>
      </c>
      <c r="L41" s="498">
        <v>1</v>
      </c>
      <c r="M41" s="189">
        <v>0</v>
      </c>
      <c r="N41" s="236">
        <v>0</v>
      </c>
      <c r="O41" s="938"/>
      <c r="P41" s="938"/>
      <c r="Q41" s="938"/>
      <c r="R41" s="938"/>
      <c r="S41" s="938"/>
      <c r="T41" s="938"/>
      <c r="U41" s="938"/>
      <c r="V41" s="938"/>
      <c r="X41" s="474" t="s">
        <v>19</v>
      </c>
      <c r="Y41" s="474" t="s">
        <v>17</v>
      </c>
      <c r="Z41" s="474" t="s">
        <v>18</v>
      </c>
      <c r="AA41" s="593"/>
      <c r="AB41" s="594" t="s">
        <v>147</v>
      </c>
      <c r="AC41" s="595" t="s">
        <v>150</v>
      </c>
      <c r="AD41" s="596" t="s">
        <v>151</v>
      </c>
      <c r="AE41" s="595" t="s">
        <v>150</v>
      </c>
      <c r="AF41" s="559"/>
      <c r="AG41" s="559" t="s">
        <v>153</v>
      </c>
      <c r="AH41" s="559" t="s">
        <v>152</v>
      </c>
      <c r="AJ41" s="142">
        <f t="shared" si="2"/>
        <v>400000</v>
      </c>
      <c r="AU41" s="536">
        <f t="shared" si="3"/>
        <v>2003</v>
      </c>
    </row>
    <row r="42" spans="2:50" s="142" customFormat="1" ht="18.75" customHeight="1" thickBot="1" x14ac:dyDescent="0.35">
      <c r="B42" s="118"/>
      <c r="C42" s="680">
        <f>IF(Quote!T20="No",0,1)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750</v>
      </c>
      <c r="N42" s="681">
        <v>0</v>
      </c>
      <c r="O42" s="490"/>
      <c r="Q42" s="467" t="str">
        <f>IF(G41=1,"Yes","No")</f>
        <v>Yes</v>
      </c>
      <c r="R42" s="468"/>
      <c r="T42" s="244" t="str">
        <f>IF(E41=1,"Yes","No")</f>
        <v>Yes</v>
      </c>
      <c r="U42" s="460"/>
      <c r="W42" s="234" t="str">
        <f>IF(J41=1,"Yes","No")</f>
        <v>Yes</v>
      </c>
      <c r="X42" s="245">
        <f>IF(AND(B40="Yes",Q42="Yes",C30="Yes"),H30*Rates!Q8%,0)*Z49*O31</f>
        <v>0</v>
      </c>
      <c r="Y42" s="245">
        <f>IF(AND(B40="Yes",T42="Yes"),AE42,0)</f>
        <v>18.75</v>
      </c>
      <c r="Z42" s="245">
        <f>IF(AND(B40="Yes",W42="Yes"),(M50+M51)*Rates!Q9%,0)</f>
        <v>0</v>
      </c>
      <c r="AA42" s="597"/>
      <c r="AB42" s="598">
        <f>IF(Y48="Commercial Vehicle Policy",1,0)</f>
        <v>1</v>
      </c>
      <c r="AC42" s="598">
        <f>IF(OR(Y48="Private car policy",Y48="Motor Cycle Policy"),1,0)</f>
        <v>0</v>
      </c>
      <c r="AD42" s="559">
        <f>IF(AND(M8=Administration!C10,H9=Administration!C23),1,0)</f>
        <v>0</v>
      </c>
      <c r="AE42" s="559">
        <f>IF(AC42=1,I26*L25*Rates!Q6%,AF42)</f>
        <v>18.75</v>
      </c>
      <c r="AF42" s="559">
        <f>AG42+AH42</f>
        <v>18.75</v>
      </c>
      <c r="AG42" s="559">
        <f>Z28*I26*Rates!Q6%</f>
        <v>0</v>
      </c>
      <c r="AH42" s="559">
        <f>IF(AD42=1,(L25-Z28)*Z25*Rates!Q7%,(L25-Z28)*Z25*Rates!Q6%)</f>
        <v>18.75</v>
      </c>
      <c r="AJ42" s="142">
        <f>AJ41+25000</f>
        <v>425000</v>
      </c>
      <c r="AU42" s="536">
        <f t="shared" si="3"/>
        <v>2004</v>
      </c>
      <c r="AX42" s="679"/>
    </row>
    <row r="43" spans="2:50" s="142" customFormat="1" ht="16" customHeight="1" x14ac:dyDescent="0.3">
      <c r="B43" s="118"/>
      <c r="C43" s="136"/>
      <c r="D43" s="313"/>
      <c r="E43" s="498">
        <v>0</v>
      </c>
      <c r="F43" s="267" t="str">
        <f>IF(AND($C$40=1,C42=1,D41=1),CONCATENATE("     PAB by TC (Rs.",Y43,")"),"")</f>
        <v xml:space="preserve">     PAB by TC (Rs.0)</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7"/>
      <c r="AB43" s="598"/>
      <c r="AC43" s="598"/>
      <c r="AD43" s="559"/>
      <c r="AE43" s="559">
        <f>IF(AC42=1,I26*L25*Rates!R6%,AF43)</f>
        <v>6.25</v>
      </c>
      <c r="AF43" s="559">
        <f>AG43+AH43</f>
        <v>6.25</v>
      </c>
      <c r="AG43" s="559">
        <f>Z28*I26*Rates!R4%</f>
        <v>0</v>
      </c>
      <c r="AH43" s="559">
        <f>IF(AD42=1,Rates!R7,(L25-Z28)*Z25*Rates!R5%)</f>
        <v>6.25</v>
      </c>
      <c r="AJ43" s="142">
        <f t="shared" si="2"/>
        <v>450000</v>
      </c>
      <c r="AU43" s="536">
        <f t="shared" ref="AU43:AU84" ca="1" si="4">IF(AU42&gt;=$AW$46,"",AU42+1)</f>
        <v>2005</v>
      </c>
      <c r="AX43" s="679"/>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6300.0000000000009</v>
      </c>
      <c r="N44" s="682">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9"/>
    </row>
    <row r="45" spans="2:50" s="142" customFormat="1" ht="15" customHeight="1" thickBot="1" x14ac:dyDescent="0.35">
      <c r="B45" s="118" t="str">
        <f>IF(C47=1,"Yes","No")</f>
        <v>No</v>
      </c>
      <c r="C45" s="583">
        <v>0</v>
      </c>
      <c r="D45" s="321" t="s">
        <v>284</v>
      </c>
      <c r="E45" s="342" t="s">
        <v>9</v>
      </c>
      <c r="F45" s="267" t="s">
        <v>450</v>
      </c>
      <c r="G45" s="267"/>
      <c r="H45" s="188"/>
      <c r="I45" s="188"/>
      <c r="J45" s="188"/>
      <c r="K45" s="9"/>
      <c r="L45" s="498">
        <v>0</v>
      </c>
      <c r="M45" s="189"/>
      <c r="N45" s="683">
        <v>0</v>
      </c>
      <c r="O45" s="584">
        <f>C45</f>
        <v>0</v>
      </c>
      <c r="P45" s="585"/>
      <c r="Q45" s="585"/>
      <c r="R45" s="586">
        <f>IF(Rates!M15="Free",0,1)</f>
        <v>1</v>
      </c>
      <c r="S45" s="586"/>
      <c r="T45" s="587"/>
      <c r="U45" s="587"/>
      <c r="V45" s="231"/>
      <c r="W45" s="141"/>
      <c r="X45" s="141"/>
      <c r="Y45" s="141"/>
      <c r="AA45" s="559"/>
      <c r="AB45" s="559"/>
      <c r="AC45" s="559"/>
      <c r="AD45" s="590"/>
      <c r="AE45" s="590"/>
      <c r="AF45" s="590"/>
      <c r="AG45" s="590"/>
      <c r="AH45" s="590"/>
      <c r="AI45" s="141"/>
      <c r="AJ45" s="142">
        <f>IF(AJ44=500000,"",AJ44+25000)</f>
        <v>500000</v>
      </c>
      <c r="AK45" s="141"/>
      <c r="AL45" s="141"/>
      <c r="AN45" s="141"/>
      <c r="AO45" s="141"/>
      <c r="AP45" s="141"/>
      <c r="AQ45" s="141"/>
      <c r="AR45" s="141"/>
      <c r="AS45" s="141"/>
      <c r="AU45" s="536">
        <f t="shared" ca="1" si="4"/>
        <v>2007</v>
      </c>
      <c r="AX45" s="679"/>
    </row>
    <row r="46" spans="2:50" s="142" customFormat="1" ht="15.75" customHeight="1" thickBot="1" x14ac:dyDescent="0.35">
      <c r="B46" s="668" t="str">
        <f>IF(C46=1,"Yes","No")</f>
        <v>No</v>
      </c>
      <c r="C46" s="600">
        <v>0</v>
      </c>
      <c r="D46" s="321" t="s">
        <v>284</v>
      </c>
      <c r="E46" s="342" t="s">
        <v>9</v>
      </c>
      <c r="F46" s="267" t="s">
        <v>279</v>
      </c>
      <c r="G46" s="267"/>
      <c r="H46" s="926" t="str">
        <f>IF(U57=1,"Free Cover",IF(AND(B46="Yes",Q48=1,Q46=0,U46=0),"Only for Private Dual Purpose Vehicles",""))</f>
        <v/>
      </c>
      <c r="I46" s="926"/>
      <c r="J46" s="926"/>
      <c r="K46" s="926"/>
      <c r="L46" s="498">
        <v>0</v>
      </c>
      <c r="M46" s="189">
        <f ca="1">IF(AND($C$2="Yes",L46=1),N46,(M19*Rates!K19%*T46))</f>
        <v>0</v>
      </c>
      <c r="N46" s="684">
        <v>0</v>
      </c>
      <c r="O46" s="559">
        <f>IF(B46="Yes",1,0)</f>
        <v>0</v>
      </c>
      <c r="P46" s="559"/>
      <c r="Q46" s="559">
        <f>IF(AND(M8=Administration!C9,H9=Administration!C20),1,U46)</f>
        <v>0</v>
      </c>
      <c r="R46" s="588">
        <f>O46+Q46</f>
        <v>0</v>
      </c>
      <c r="S46" s="588"/>
      <c r="T46" s="588">
        <f>IF(R46=2,1,0)</f>
        <v>0</v>
      </c>
      <c r="U46" s="588">
        <f>IF(AND(Rates!O19="Yes",Q48=1),1,0)</f>
        <v>0</v>
      </c>
      <c r="V46" s="241"/>
      <c r="W46" s="141"/>
      <c r="X46" s="141"/>
      <c r="Y46" s="141"/>
      <c r="Z46" s="141"/>
      <c r="AA46" s="559"/>
      <c r="AB46" s="559"/>
      <c r="AC46" s="559"/>
      <c r="AD46" s="590"/>
      <c r="AE46" s="590"/>
      <c r="AF46" s="590"/>
      <c r="AG46" s="590"/>
      <c r="AH46" s="590"/>
      <c r="AI46" s="141"/>
      <c r="AK46" s="141"/>
      <c r="AL46" s="141"/>
      <c r="AN46" s="141"/>
      <c r="AO46" s="141"/>
      <c r="AP46" s="141"/>
      <c r="AQ46" s="141"/>
      <c r="AR46" s="141"/>
      <c r="AS46" s="141"/>
      <c r="AU46" s="536">
        <f t="shared" ca="1" si="4"/>
        <v>2008</v>
      </c>
      <c r="AW46" s="142">
        <f ca="1">YEAR(F69)</f>
        <v>2024</v>
      </c>
      <c r="AX46" s="679"/>
    </row>
    <row r="47" spans="2:50" s="142" customFormat="1" ht="15.75" customHeight="1" thickBot="1" x14ac:dyDescent="0.35">
      <c r="B47" s="118"/>
      <c r="C47" s="136"/>
      <c r="D47" s="321" t="s">
        <v>284</v>
      </c>
      <c r="E47" s="342" t="s">
        <v>9</v>
      </c>
      <c r="F47" s="267" t="s">
        <v>448</v>
      </c>
      <c r="G47" s="267"/>
      <c r="H47" s="720">
        <v>300000</v>
      </c>
      <c r="I47" s="188" t="s">
        <v>110</v>
      </c>
      <c r="J47" s="188"/>
      <c r="K47" s="617">
        <f>IF(AND(H47&gt;0,T47=0),"Not Applicable",0)</f>
        <v>0</v>
      </c>
      <c r="L47" s="498">
        <v>1</v>
      </c>
      <c r="M47" s="187">
        <v>0</v>
      </c>
      <c r="N47" s="684">
        <v>0</v>
      </c>
      <c r="O47" s="589">
        <f>IF(H47&gt;0,1,0)</f>
        <v>1</v>
      </c>
      <c r="P47" s="589"/>
      <c r="Q47" s="585"/>
      <c r="R47" s="586"/>
      <c r="S47" s="586"/>
      <c r="T47" s="590">
        <f>IF(OR(M8=Administration!C13,M8=Administration!C14,),0,1)</f>
        <v>1</v>
      </c>
      <c r="U47" s="586"/>
      <c r="V47" s="231"/>
      <c r="W47" s="141"/>
      <c r="X47" s="141"/>
      <c r="Y47" s="141"/>
      <c r="Z47" s="141"/>
      <c r="AA47" s="590"/>
      <c r="AB47" s="590"/>
      <c r="AC47" s="590"/>
      <c r="AD47" s="590"/>
      <c r="AE47" s="590"/>
      <c r="AF47" s="590"/>
      <c r="AG47" s="590"/>
      <c r="AH47" s="590"/>
      <c r="AI47" s="141"/>
      <c r="AK47" s="141"/>
      <c r="AL47" s="141"/>
      <c r="AN47" s="141"/>
      <c r="AO47" s="141"/>
      <c r="AP47" s="141"/>
      <c r="AQ47" s="141"/>
      <c r="AR47" s="141"/>
      <c r="AS47" s="141"/>
      <c r="AU47" s="536">
        <f t="shared" ca="1" si="4"/>
        <v>2009</v>
      </c>
      <c r="AX47" s="679"/>
    </row>
    <row r="48" spans="2:50" s="142" customFormat="1" ht="16" customHeight="1" thickBot="1" x14ac:dyDescent="0.35">
      <c r="B48" s="118"/>
      <c r="C48" s="136"/>
      <c r="D48" s="321" t="s">
        <v>284</v>
      </c>
      <c r="E48" s="342" t="s">
        <v>9</v>
      </c>
      <c r="F48" s="267" t="s">
        <v>6</v>
      </c>
      <c r="G48" s="267"/>
      <c r="H48" s="697">
        <f>IF(Quote!R33&lt;&gt;"",Quote!R33,100000)</f>
        <v>500000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1100</v>
      </c>
      <c r="N48" s="684">
        <v>0</v>
      </c>
      <c r="O48" s="589">
        <f>IF(H48&gt;1,1,0)</f>
        <v>1</v>
      </c>
      <c r="P48" s="589"/>
      <c r="Q48" s="591">
        <f>IF(O57+Q57=1,0,1)</f>
        <v>1</v>
      </c>
      <c r="R48" s="586">
        <f>IF(AND(H48&gt;=100000,Q48=1),1,0)</f>
        <v>1</v>
      </c>
      <c r="S48" s="586"/>
      <c r="T48" s="590">
        <f>IF(OR(Q48=0,H48&gt;0),1,0)</f>
        <v>1</v>
      </c>
      <c r="U48" s="586"/>
      <c r="V48" s="231"/>
      <c r="W48" s="141"/>
      <c r="X48" s="141">
        <f>IF(O57+Q57=1,0,1)</f>
        <v>1</v>
      </c>
      <c r="Y48" s="141" t="str">
        <f>IF(X48=0,"Private Car Policy",Z48)</f>
        <v>Commercial Vehicle Policy</v>
      </c>
      <c r="Z48" s="141" t="str">
        <f>IF(T47=0,"Motor Cycle Policy",AA48)</f>
        <v>Commercial Vehicle Policy</v>
      </c>
      <c r="AA48" s="590" t="str">
        <f>IF(M8=Administration!C19,"Trade Plate Policy","Commercial Vehicle Policy")</f>
        <v>Commercial Vehicle Policy</v>
      </c>
      <c r="AB48" s="590"/>
      <c r="AC48" s="590"/>
      <c r="AD48" s="590"/>
      <c r="AE48" s="590"/>
      <c r="AF48" s="590"/>
      <c r="AG48" s="590"/>
      <c r="AH48" s="590"/>
      <c r="AI48" s="141"/>
      <c r="AK48" s="141"/>
      <c r="AL48" s="141"/>
      <c r="AN48" s="141"/>
      <c r="AO48" s="141"/>
      <c r="AP48" s="141"/>
      <c r="AQ48" s="141"/>
      <c r="AR48" s="141"/>
      <c r="AS48" s="141"/>
      <c r="AU48" s="536">
        <f t="shared" ca="1" si="4"/>
        <v>2010</v>
      </c>
      <c r="AX48" s="679"/>
    </row>
    <row r="49" spans="2:52" s="142" customFormat="1" ht="15" customHeight="1" thickBot="1" x14ac:dyDescent="0.35">
      <c r="B49" s="118"/>
      <c r="C49" s="136"/>
      <c r="D49" s="321" t="s">
        <v>284</v>
      </c>
      <c r="E49" s="342" t="s">
        <v>9</v>
      </c>
      <c r="F49" s="267" t="s">
        <v>12</v>
      </c>
      <c r="G49" s="267"/>
      <c r="H49" s="697">
        <f>Quote!R35</f>
        <v>0</v>
      </c>
      <c r="I49" s="940" t="str">
        <f>IF(Q49&gt;0,CONCATENATE("Free Cover of Rs.",Q49,"/-"),"")</f>
        <v>Free Cover of Rs.1000/-</v>
      </c>
      <c r="J49" s="941"/>
      <c r="K49" s="941"/>
      <c r="L49" s="498">
        <v>0</v>
      </c>
      <c r="M49" s="187">
        <f>IF(AND($C$2="Yes",L49=1),N49,((H49*Rates!K32%-R49)*U2*R15*Y2*Z2))*N3</f>
        <v>0</v>
      </c>
      <c r="N49" s="684">
        <v>0</v>
      </c>
      <c r="O49" s="592">
        <f>IF(H49&gt;=Rates!B36,1,0)</f>
        <v>0</v>
      </c>
      <c r="P49" s="592"/>
      <c r="Q49" s="586">
        <f>IF(T47=0,Rates!C38,Rates!B36)</f>
        <v>1000</v>
      </c>
      <c r="R49" s="586">
        <f>IF(H49&lt;=Q49,H49*Rates!K32%,Q49*Rates!K32%)</f>
        <v>0</v>
      </c>
      <c r="S49" s="586"/>
      <c r="T49" s="586"/>
      <c r="U49" s="590"/>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9"/>
    </row>
    <row r="50" spans="2:52" s="142" customFormat="1" ht="15.75" customHeight="1" thickBot="1" x14ac:dyDescent="0.35">
      <c r="B50" s="118"/>
      <c r="C50" s="136"/>
      <c r="D50" s="321" t="s">
        <v>284</v>
      </c>
      <c r="E50" s="342" t="s">
        <v>9</v>
      </c>
      <c r="F50" s="302" t="s">
        <v>112</v>
      </c>
      <c r="G50" s="302"/>
      <c r="H50" s="610">
        <v>0</v>
      </c>
      <c r="I50" s="188" t="s">
        <v>21</v>
      </c>
      <c r="J50" s="188"/>
      <c r="K50" s="616"/>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9"/>
    </row>
    <row r="51" spans="2:52" s="142" customFormat="1" ht="1.5" customHeight="1" thickBot="1" x14ac:dyDescent="0.35">
      <c r="B51" s="118"/>
      <c r="C51" s="136"/>
      <c r="D51" s="321" t="s">
        <v>284</v>
      </c>
      <c r="E51" s="342" t="s">
        <v>9</v>
      </c>
      <c r="F51" s="267" t="s">
        <v>20</v>
      </c>
      <c r="G51" s="267"/>
      <c r="H51" s="611">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9"/>
    </row>
    <row r="52" spans="2:52" s="142" customFormat="1" ht="20.25" customHeight="1" thickBot="1" x14ac:dyDescent="0.35">
      <c r="B52" s="685" t="str">
        <f>Rates!M21</f>
        <v>Charge</v>
      </c>
      <c r="C52" s="136"/>
      <c r="D52" s="321" t="s">
        <v>284</v>
      </c>
      <c r="E52" s="342" t="s">
        <v>9</v>
      </c>
      <c r="F52" s="267" t="s">
        <v>449</v>
      </c>
      <c r="G52" s="612">
        <v>1</v>
      </c>
      <c r="H52" s="615">
        <v>7500</v>
      </c>
      <c r="I52" s="942" t="str">
        <f>IF(AND(G52=0,K50&gt;0),"Enter Number of Air Bags",IF(AND(K50&gt;0,T47=0),"Not Applicable",IF(AND(Q52=0,T47=1,K50&gt;0),"Free Cover",IF(R52=0,"Free Cover - Front Seat Bags","Value of 2 Front Dashboard Airbgs"))))</f>
        <v>Value of 2 Front Dashboard Airbgs</v>
      </c>
      <c r="J52" s="942"/>
      <c r="K52" s="942"/>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9"/>
      <c r="AY52" s="141"/>
      <c r="AZ52" s="141"/>
    </row>
    <row r="53" spans="2:52" s="142" customFormat="1" ht="18" customHeight="1" thickBot="1" x14ac:dyDescent="0.35">
      <c r="B53" s="686"/>
      <c r="C53" s="136"/>
      <c r="D53" s="321"/>
      <c r="E53" s="375"/>
      <c r="F53" s="267"/>
      <c r="G53" s="687">
        <v>0</v>
      </c>
      <c r="H53" s="688">
        <v>0</v>
      </c>
      <c r="I53" s="654"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9">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9"/>
      <c r="AY54" s="141"/>
      <c r="AZ54" s="141"/>
    </row>
    <row r="55" spans="2:52" s="142" customFormat="1" ht="15" customHeight="1" thickBot="1" x14ac:dyDescent="0.35">
      <c r="B55" s="668" t="str">
        <f>IF(C55=1,"Yes","No")</f>
        <v>No</v>
      </c>
      <c r="C55" s="600">
        <v>0</v>
      </c>
      <c r="D55" s="321" t="s">
        <v>284</v>
      </c>
      <c r="E55" s="342" t="s">
        <v>9</v>
      </c>
      <c r="F55" s="725" t="s">
        <v>534</v>
      </c>
      <c r="G55" s="267"/>
      <c r="H55" s="188"/>
      <c r="I55" s="188"/>
      <c r="J55" s="188"/>
      <c r="K55" s="9"/>
      <c r="L55" s="498">
        <v>0</v>
      </c>
      <c r="M55" s="187">
        <v>1090</v>
      </c>
      <c r="N55" s="690">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9"/>
      <c r="AY55" s="141"/>
      <c r="AZ55" s="141"/>
    </row>
    <row r="56" spans="2:52" s="142" customFormat="1" ht="21.75" customHeight="1" thickBot="1" x14ac:dyDescent="0.35">
      <c r="B56" s="668" t="str">
        <f>IF(C56=1,"Yes","No")</f>
        <v>No</v>
      </c>
      <c r="C56" s="600">
        <v>0</v>
      </c>
      <c r="D56" s="321" t="s">
        <v>284</v>
      </c>
      <c r="E56" s="342" t="s">
        <v>9</v>
      </c>
      <c r="F56" s="267" t="s">
        <v>133</v>
      </c>
      <c r="G56" s="267"/>
      <c r="H56" s="188"/>
      <c r="I56" s="303" t="str">
        <f>IF(AND(Rates!D43="No",B56="Yes"),"Provided only for Private Cars","")</f>
        <v/>
      </c>
      <c r="J56" s="303"/>
      <c r="K56" s="9"/>
      <c r="L56" s="498">
        <v>0</v>
      </c>
      <c r="M56" s="189">
        <f ca="1">IF(AND($C$2="Yes",L56=1),N56,(M19*O56*R56%*Q61))</f>
        <v>0</v>
      </c>
      <c r="N56" s="690">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9"/>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90">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9"/>
      <c r="AY57" s="141"/>
      <c r="AZ57" s="141"/>
    </row>
    <row r="58" spans="2:52" s="142" customFormat="1" ht="20.25" hidden="1" customHeight="1" thickBot="1" x14ac:dyDescent="0.35">
      <c r="B58" s="118"/>
      <c r="C58" s="531">
        <v>0</v>
      </c>
      <c r="D58" s="6"/>
      <c r="E58" s="343" t="s">
        <v>9</v>
      </c>
      <c r="F58" s="954"/>
      <c r="G58" s="954"/>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9"/>
      <c r="AY58" s="141"/>
      <c r="AZ58" s="141"/>
    </row>
    <row r="59" spans="2:52" s="142" customFormat="1" ht="17.25" hidden="1" customHeight="1" thickBot="1" x14ac:dyDescent="0.35">
      <c r="B59" s="118"/>
      <c r="C59" s="531">
        <v>0</v>
      </c>
      <c r="D59" s="6"/>
      <c r="E59" s="343" t="s">
        <v>9</v>
      </c>
      <c r="F59" s="954"/>
      <c r="G59" s="954"/>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9"/>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IF(AND(XXWorking!H8="Three Wheeler",XXWorking!B12="Above 5 yrs",Rates!D81="Yes",C60=1,N60&gt;Rates!F81,H13&lt;2009),N60,IF(AND(XXWorking!H8="Three Wheeler",XXWorking!B12="Above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9"/>
      <c r="AY60" s="141"/>
      <c r="AZ60" s="141"/>
    </row>
    <row r="61" spans="2:52" s="142" customFormat="1" ht="19.5" customHeight="1" x14ac:dyDescent="0.3">
      <c r="B61" s="118"/>
      <c r="C61" s="136"/>
      <c r="D61" s="6"/>
      <c r="E61" s="948"/>
      <c r="F61" s="949"/>
      <c r="G61" s="9"/>
      <c r="H61" s="73" t="s">
        <v>10</v>
      </c>
      <c r="I61" s="295"/>
      <c r="J61" s="73"/>
      <c r="K61" s="184"/>
      <c r="L61" s="185"/>
      <c r="M61" s="438">
        <f ca="1">SUM(M38:M60)*C69*U2</f>
        <v>18228.885000000002</v>
      </c>
      <c r="N61" s="207"/>
      <c r="O61" s="306">
        <f ca="1">M61-M40-M42-M41-M43</f>
        <v>14478.885000000002</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9"/>
      <c r="AY61" s="141"/>
      <c r="AZ61" s="141"/>
    </row>
    <row r="62" spans="2:52" s="142" customFormat="1" ht="15.75" customHeight="1" x14ac:dyDescent="0.3">
      <c r="B62" s="118"/>
      <c r="C62" s="136"/>
      <c r="D62" s="6"/>
      <c r="E62" s="948"/>
      <c r="F62" s="949"/>
      <c r="G62" s="9"/>
      <c r="H62" s="74" t="s">
        <v>134</v>
      </c>
      <c r="I62" s="295"/>
      <c r="J62" s="74"/>
      <c r="K62" s="78">
        <f>Rates!D19</f>
        <v>2.5</v>
      </c>
      <c r="L62" s="186" t="s">
        <v>56</v>
      </c>
      <c r="M62" s="257">
        <f ca="1">M61*Rates!D19%</f>
        <v>455.72212500000006</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9"/>
      <c r="AY62" s="141"/>
      <c r="AZ62" s="141"/>
    </row>
    <row r="63" spans="2:52" s="142" customFormat="1" ht="15.75" hidden="1" customHeight="1" x14ac:dyDescent="0.35">
      <c r="B63" s="118"/>
      <c r="C63" s="136"/>
      <c r="D63" s="6"/>
      <c r="E63" s="948"/>
      <c r="F63" s="949"/>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9"/>
      <c r="AY63" s="141"/>
      <c r="AZ63" s="141"/>
    </row>
    <row r="64" spans="2:52" s="142" customFormat="1" ht="15.75" customHeight="1" x14ac:dyDescent="0.3">
      <c r="B64" s="118"/>
      <c r="C64" s="136"/>
      <c r="D64" s="6"/>
      <c r="E64" s="948"/>
      <c r="F64" s="949"/>
      <c r="G64" s="9"/>
      <c r="H64" s="74" t="s">
        <v>173</v>
      </c>
      <c r="I64" s="295"/>
      <c r="J64" s="74"/>
      <c r="K64" s="78">
        <f>Rates!G20</f>
        <v>0</v>
      </c>
      <c r="L64" s="186" t="s">
        <v>56</v>
      </c>
      <c r="M64" s="187">
        <f ca="1">M61*Rates!G20%</f>
        <v>0</v>
      </c>
      <c r="N64" s="208"/>
      <c r="O64" s="229"/>
      <c r="P64" s="229"/>
      <c r="Q64" s="234"/>
      <c r="R64" s="618">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9"/>
      <c r="AY64" s="141"/>
      <c r="AZ64" s="141"/>
    </row>
    <row r="65" spans="1:52" s="142" customFormat="1" ht="15.5" thickBot="1" x14ac:dyDescent="0.35">
      <c r="B65" s="118"/>
      <c r="C65" s="136"/>
      <c r="D65" s="6"/>
      <c r="E65" s="948"/>
      <c r="F65" s="949"/>
      <c r="G65" s="9"/>
      <c r="H65" s="74" t="s">
        <v>1</v>
      </c>
      <c r="I65" s="295"/>
      <c r="J65" s="74"/>
      <c r="K65" s="78">
        <f>Rates!D21</f>
        <v>15</v>
      </c>
      <c r="L65" s="186" t="s">
        <v>56</v>
      </c>
      <c r="M65" s="187">
        <f ca="1">SUM(M61:M64)*Rates!D21%</f>
        <v>2802.6910687500003</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9"/>
      <c r="AY65" s="141"/>
      <c r="AZ65" s="141"/>
    </row>
    <row r="66" spans="1:52" s="142" customFormat="1" ht="25.5" customHeight="1" thickTop="1" thickBot="1" x14ac:dyDescent="0.35">
      <c r="B66" s="118"/>
      <c r="C66" s="308">
        <f>Administration!I3</f>
        <v>45413</v>
      </c>
      <c r="D66" s="6"/>
      <c r="E66" s="950"/>
      <c r="F66" s="951"/>
      <c r="G66" s="9"/>
      <c r="H66" s="73" t="s">
        <v>381</v>
      </c>
      <c r="I66" s="295"/>
      <c r="J66" s="73"/>
      <c r="K66" s="9"/>
      <c r="L66" s="185"/>
      <c r="M66" s="114">
        <f ca="1">SUM(M61:M65)*C69*U2</f>
        <v>21487.298193750001</v>
      </c>
      <c r="N66" s="943"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944"/>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9"/>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9"/>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9"/>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939"/>
      <c r="N69" s="691"/>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9"/>
      <c r="AY69" s="141"/>
      <c r="AZ69" s="141"/>
    </row>
    <row r="70" spans="1:52" s="142" customFormat="1" ht="6.75" customHeight="1" x14ac:dyDescent="0.45">
      <c r="B70" s="118"/>
      <c r="C70" s="136"/>
      <c r="D70" s="6"/>
      <c r="E70" s="14"/>
      <c r="F70" s="952" t="str">
        <f>IF(O70=1,"Hiring",IF(O70=3,"Rent A Vehicle",IF(O70=0,"Private")))</f>
        <v>Private</v>
      </c>
      <c r="G70" s="952"/>
      <c r="H70" s="952"/>
      <c r="I70" s="14"/>
      <c r="J70" s="14"/>
      <c r="K70" s="14"/>
      <c r="L70" s="14"/>
      <c r="M70" s="939"/>
      <c r="N70" s="691"/>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9"/>
      <c r="AY70" s="141"/>
      <c r="AZ70" s="141"/>
    </row>
    <row r="71" spans="1:52" s="142" customFormat="1" ht="13.5" customHeight="1" thickBot="1" x14ac:dyDescent="0.35">
      <c r="B71" s="118"/>
      <c r="C71" s="136"/>
      <c r="D71" s="181"/>
      <c r="E71" s="182"/>
      <c r="F71" s="953"/>
      <c r="G71" s="953"/>
      <c r="H71" s="953"/>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9"/>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9"/>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IF(AND(Y15&gt;10,Y15&lt;15),Rates!K59,IF(AND(Y15&gt;=15,Y15&lt;20),Rates!K60,IF(Y15&lt;11,0,XXWorking!I20)))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IF(OR(H9=Administration!C21,XXWorking!H9=Administration!C22),Rates!K61,0)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IF(M8=Administration!C13,Rates!K66,IF(XXWorking!M8=Administration!C14,Rates!K67,0))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2"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2" t="str">
        <f>Administration!J6</f>
        <v>Abans Finance PLC</v>
      </c>
      <c r="G94" s="142"/>
      <c r="H94" s="142"/>
      <c r="I94" s="142"/>
      <c r="J94" s="142"/>
      <c r="K94" s="142"/>
      <c r="L94" s="219"/>
      <c r="M94" s="537" t="s">
        <v>234</v>
      </c>
      <c r="N94" s="519" t="s">
        <v>269</v>
      </c>
      <c r="O94" s="519"/>
      <c r="P94" s="519"/>
      <c r="Q94" s="519"/>
      <c r="R94" s="937" t="str">
        <f>IF(X43&gt;0,MAX(H30*Rates!K68%,Rates!L68),"")</f>
        <v/>
      </c>
      <c r="S94" s="937"/>
      <c r="T94" s="937"/>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2"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2"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2"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2"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2"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2"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2"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2"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2"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2"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2"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2"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2"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2"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2"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2"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2"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2"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2"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2"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2"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2"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2" t="str">
        <f>Administration!J29</f>
        <v>Softlogic Finance PLC</v>
      </c>
      <c r="O117" s="139"/>
      <c r="Q117" s="219"/>
      <c r="AJ117" s="142"/>
      <c r="AM117" s="219"/>
      <c r="AU117" s="142" t="e">
        <f t="shared" ca="1" si="6"/>
        <v>#VALUE!</v>
      </c>
      <c r="AX117" s="487"/>
    </row>
    <row r="118" spans="1:50" s="138" customFormat="1" hidden="1" x14ac:dyDescent="0.3">
      <c r="A118" s="142"/>
      <c r="B118" s="4"/>
      <c r="F118" s="692" t="str">
        <f>Administration!J30</f>
        <v>Thamalu Enterprises</v>
      </c>
      <c r="O118" s="139"/>
      <c r="Q118" s="219"/>
      <c r="AJ118" s="142"/>
      <c r="AM118" s="219"/>
      <c r="AU118" s="142" t="e">
        <f t="shared" ca="1" si="6"/>
        <v>#VALUE!</v>
      </c>
      <c r="AX118" s="487"/>
    </row>
    <row r="119" spans="1:50" s="138" customFormat="1" hidden="1" x14ac:dyDescent="0.3">
      <c r="A119" s="142"/>
      <c r="B119" s="4"/>
      <c r="F119" s="692" t="str">
        <f>Administration!J31</f>
        <v>Trade Finance</v>
      </c>
      <c r="O119" s="139"/>
      <c r="Q119" s="219"/>
      <c r="AJ119" s="142"/>
      <c r="AM119" s="219"/>
      <c r="AU119" s="142" t="e">
        <f t="shared" ca="1" si="6"/>
        <v>#VALUE!</v>
      </c>
      <c r="AX119" s="487"/>
    </row>
    <row r="120" spans="1:50" s="138" customFormat="1" hidden="1" x14ac:dyDescent="0.3">
      <c r="A120" s="142"/>
      <c r="B120" s="4"/>
      <c r="F120" s="692" t="str">
        <f>Administration!J32</f>
        <v>UB Finance</v>
      </c>
      <c r="O120" s="139"/>
      <c r="Q120" s="219"/>
      <c r="AJ120" s="142"/>
      <c r="AM120" s="219"/>
      <c r="AU120" s="142" t="e">
        <f t="shared" ca="1" si="6"/>
        <v>#VALUE!</v>
      </c>
      <c r="AX120" s="487"/>
    </row>
    <row r="121" spans="1:50" s="138" customFormat="1" hidden="1" x14ac:dyDescent="0.3">
      <c r="A121" s="142"/>
      <c r="B121" s="4"/>
      <c r="F121" s="692" t="str">
        <f>Administration!J33</f>
        <v>Vallibel Finance PLC</v>
      </c>
      <c r="O121" s="139"/>
      <c r="Q121" s="219"/>
      <c r="AJ121" s="142"/>
      <c r="AM121" s="219"/>
      <c r="AU121" s="142" t="e">
        <f t="shared" ca="1" si="6"/>
        <v>#VALUE!</v>
      </c>
      <c r="AX121" s="487"/>
    </row>
    <row r="122" spans="1:50" s="138" customFormat="1" hidden="1" x14ac:dyDescent="0.3">
      <c r="A122" s="142"/>
      <c r="B122" s="4"/>
      <c r="F122" s="692">
        <f>Administration!J34</f>
        <v>0</v>
      </c>
      <c r="O122" s="139"/>
      <c r="Q122" s="219"/>
      <c r="AJ122" s="142"/>
      <c r="AM122" s="219"/>
      <c r="AU122" s="142" t="e">
        <f t="shared" ca="1" si="6"/>
        <v>#VALUE!</v>
      </c>
      <c r="AX122" s="487"/>
    </row>
    <row r="123" spans="1:50" s="138" customFormat="1" hidden="1" x14ac:dyDescent="0.3">
      <c r="A123" s="142"/>
      <c r="B123" s="4"/>
      <c r="F123" s="692">
        <f>Administration!J35</f>
        <v>0</v>
      </c>
      <c r="O123" s="139"/>
      <c r="Q123" s="219"/>
      <c r="AJ123" s="142"/>
      <c r="AM123" s="219"/>
      <c r="AU123" s="142" t="e">
        <f t="shared" ca="1" si="6"/>
        <v>#VALUE!</v>
      </c>
      <c r="AX123" s="487"/>
    </row>
    <row r="124" spans="1:50" s="138" customFormat="1" hidden="1" x14ac:dyDescent="0.3">
      <c r="A124" s="142"/>
      <c r="B124" s="4"/>
      <c r="F124" s="692">
        <f>Administration!J36</f>
        <v>0</v>
      </c>
      <c r="O124" s="139"/>
      <c r="Q124" s="219"/>
      <c r="AJ124" s="142"/>
      <c r="AM124" s="219"/>
      <c r="AU124" s="142" t="e">
        <f t="shared" ca="1" si="6"/>
        <v>#VALUE!</v>
      </c>
      <c r="AX124" s="487"/>
    </row>
    <row r="125" spans="1:50" s="138" customFormat="1" hidden="1" x14ac:dyDescent="0.3">
      <c r="A125" s="142"/>
      <c r="B125" s="4"/>
      <c r="F125" s="692">
        <f>Administration!J37</f>
        <v>0</v>
      </c>
      <c r="O125" s="139"/>
      <c r="Q125" s="219"/>
      <c r="AJ125" s="142"/>
      <c r="AM125" s="219"/>
      <c r="AU125" s="142" t="e">
        <f t="shared" ca="1" si="6"/>
        <v>#VALUE!</v>
      </c>
      <c r="AX125" s="487"/>
    </row>
    <row r="126" spans="1:50" s="138" customFormat="1" hidden="1" x14ac:dyDescent="0.3">
      <c r="A126" s="142"/>
      <c r="B126" s="4"/>
      <c r="F126" s="692">
        <f>Administration!J38</f>
        <v>0</v>
      </c>
      <c r="O126" s="139"/>
      <c r="Q126" s="219"/>
      <c r="AJ126" s="142"/>
      <c r="AM126" s="219"/>
      <c r="AU126" s="142" t="e">
        <f t="shared" ca="1" si="6"/>
        <v>#VALUE!</v>
      </c>
      <c r="AX126" s="487"/>
    </row>
    <row r="127" spans="1:50" s="138" customFormat="1" hidden="1" x14ac:dyDescent="0.3">
      <c r="A127" s="142"/>
      <c r="B127" s="4"/>
      <c r="F127" s="692">
        <f>Administration!J39</f>
        <v>0</v>
      </c>
      <c r="O127" s="139"/>
      <c r="Q127" s="219"/>
      <c r="AJ127" s="142"/>
      <c r="AM127" s="219"/>
      <c r="AU127" s="142" t="e">
        <f t="shared" ca="1" si="6"/>
        <v>#VALUE!</v>
      </c>
      <c r="AX127" s="487"/>
    </row>
    <row r="128" spans="1:50" s="138" customFormat="1" hidden="1" x14ac:dyDescent="0.3">
      <c r="A128" s="142"/>
      <c r="B128" s="4"/>
      <c r="F128" s="692">
        <f>Administration!J40</f>
        <v>0</v>
      </c>
      <c r="O128" s="139"/>
      <c r="Q128" s="219"/>
      <c r="AJ128" s="142"/>
      <c r="AM128" s="219"/>
      <c r="AU128" s="142" t="e">
        <f t="shared" ca="1" si="6"/>
        <v>#VALUE!</v>
      </c>
      <c r="AX128" s="487"/>
    </row>
    <row r="129" spans="1:50" s="138" customFormat="1" hidden="1" x14ac:dyDescent="0.3">
      <c r="A129" s="142"/>
      <c r="B129" s="4"/>
      <c r="F129" s="692">
        <f>Administration!J41</f>
        <v>0</v>
      </c>
      <c r="O129" s="139"/>
      <c r="Q129" s="219"/>
      <c r="AJ129" s="142"/>
      <c r="AM129" s="219"/>
      <c r="AU129" s="142" t="e">
        <f t="shared" ca="1" si="6"/>
        <v>#VALUE!</v>
      </c>
      <c r="AX129" s="487"/>
    </row>
    <row r="130" spans="1:50" s="138" customFormat="1" hidden="1" x14ac:dyDescent="0.3">
      <c r="A130" s="142"/>
      <c r="B130" s="4"/>
      <c r="F130" s="692">
        <f>Administration!J42</f>
        <v>0</v>
      </c>
      <c r="O130" s="139"/>
      <c r="Q130" s="219"/>
      <c r="AJ130" s="142"/>
      <c r="AM130" s="219"/>
      <c r="AU130" s="142" t="e">
        <f t="shared" ca="1" si="6"/>
        <v>#VALUE!</v>
      </c>
      <c r="AX130" s="487"/>
    </row>
    <row r="131" spans="1:50" s="138" customFormat="1" hidden="1" x14ac:dyDescent="0.3">
      <c r="A131" s="142"/>
      <c r="B131" s="4"/>
      <c r="F131" s="692">
        <f>Administration!J43</f>
        <v>0</v>
      </c>
      <c r="O131" s="139"/>
      <c r="Q131" s="219"/>
      <c r="AJ131" s="142"/>
      <c r="AM131" s="219"/>
      <c r="AU131" s="142" t="e">
        <f t="shared" ca="1" si="6"/>
        <v>#VALUE!</v>
      </c>
      <c r="AX131" s="487"/>
    </row>
    <row r="132" spans="1:50" s="138" customFormat="1" hidden="1" x14ac:dyDescent="0.3">
      <c r="A132" s="142"/>
      <c r="B132" s="4"/>
      <c r="F132" s="692">
        <f>Administration!J44</f>
        <v>0</v>
      </c>
      <c r="O132" s="139"/>
      <c r="Q132" s="219"/>
      <c r="AJ132" s="142"/>
      <c r="AM132" s="219"/>
      <c r="AU132" s="142" t="e">
        <f t="shared" ca="1" si="6"/>
        <v>#VALUE!</v>
      </c>
      <c r="AX132" s="487"/>
    </row>
    <row r="133" spans="1:50" s="138" customFormat="1" hidden="1" x14ac:dyDescent="0.3">
      <c r="A133" s="142"/>
      <c r="B133" s="4"/>
      <c r="F133" s="692">
        <f>Administration!J45</f>
        <v>0</v>
      </c>
      <c r="O133" s="139"/>
      <c r="Q133" s="219"/>
      <c r="AJ133" s="142"/>
      <c r="AM133" s="219"/>
      <c r="AU133" s="142" t="e">
        <f t="shared" ca="1" si="6"/>
        <v>#VALUE!</v>
      </c>
      <c r="AX133" s="487"/>
    </row>
    <row r="134" spans="1:50" s="138" customFormat="1" hidden="1" x14ac:dyDescent="0.3">
      <c r="A134" s="142"/>
      <c r="B134" s="4"/>
      <c r="F134" s="692">
        <f>Administration!J46</f>
        <v>0</v>
      </c>
      <c r="O134" s="139"/>
      <c r="Q134" s="219"/>
      <c r="AJ134" s="142"/>
      <c r="AM134" s="219"/>
      <c r="AU134" s="142" t="e">
        <f t="shared" ca="1" si="6"/>
        <v>#VALUE!</v>
      </c>
      <c r="AX134" s="487"/>
    </row>
    <row r="135" spans="1:50" s="138" customFormat="1" hidden="1" x14ac:dyDescent="0.3">
      <c r="A135" s="142"/>
      <c r="B135" s="4"/>
      <c r="F135" s="692">
        <f>Administration!J47</f>
        <v>0</v>
      </c>
      <c r="O135" s="139"/>
      <c r="Q135" s="219"/>
      <c r="AJ135" s="142"/>
      <c r="AM135" s="219"/>
      <c r="AU135" s="142" t="e">
        <f t="shared" ca="1" si="6"/>
        <v>#VALUE!</v>
      </c>
      <c r="AX135" s="487"/>
    </row>
    <row r="136" spans="1:50" s="138" customFormat="1" hidden="1" x14ac:dyDescent="0.3">
      <c r="A136" s="142"/>
      <c r="B136" s="4"/>
      <c r="F136" s="692">
        <f>Administration!J48</f>
        <v>0</v>
      </c>
      <c r="O136" s="139"/>
      <c r="Q136" s="219"/>
      <c r="AJ136" s="142"/>
      <c r="AM136" s="219"/>
      <c r="AU136" s="142" t="e">
        <f t="shared" ca="1" si="6"/>
        <v>#VALUE!</v>
      </c>
      <c r="AX136" s="487"/>
    </row>
    <row r="137" spans="1:50" s="138" customFormat="1" hidden="1" x14ac:dyDescent="0.3">
      <c r="A137" s="142"/>
      <c r="B137" s="4"/>
      <c r="F137" s="692">
        <f>Administration!J49</f>
        <v>0</v>
      </c>
      <c r="O137" s="139"/>
      <c r="Q137" s="219"/>
      <c r="AJ137" s="142"/>
      <c r="AM137" s="219"/>
      <c r="AU137" s="142" t="e">
        <f t="shared" ca="1" si="6"/>
        <v>#VALUE!</v>
      </c>
      <c r="AX137" s="487"/>
    </row>
    <row r="138" spans="1:50" s="138" customFormat="1" hidden="1" x14ac:dyDescent="0.3">
      <c r="A138" s="142"/>
      <c r="B138" s="4"/>
      <c r="F138" s="692">
        <f>Administration!J50</f>
        <v>0</v>
      </c>
      <c r="O138" s="139"/>
      <c r="Q138" s="219"/>
      <c r="AJ138" s="142"/>
      <c r="AM138" s="219"/>
      <c r="AU138" s="142" t="e">
        <f t="shared" ca="1" si="6"/>
        <v>#VALUE!</v>
      </c>
      <c r="AX138" s="487"/>
    </row>
    <row r="139" spans="1:50" s="138" customFormat="1" hidden="1" x14ac:dyDescent="0.3">
      <c r="A139" s="142"/>
      <c r="B139" s="4"/>
      <c r="F139" s="692">
        <f>Administration!J51</f>
        <v>0</v>
      </c>
      <c r="O139" s="139"/>
      <c r="Q139" s="219"/>
      <c r="AJ139" s="142"/>
      <c r="AM139" s="219"/>
      <c r="AU139" s="142" t="e">
        <f t="shared" ca="1" si="6"/>
        <v>#VALUE!</v>
      </c>
      <c r="AX139" s="487"/>
    </row>
    <row r="140" spans="1:50" s="138" customFormat="1" hidden="1" x14ac:dyDescent="0.3">
      <c r="A140" s="142"/>
      <c r="B140" s="4"/>
      <c r="F140" s="692">
        <f>Administration!J52</f>
        <v>0</v>
      </c>
      <c r="O140" s="139"/>
      <c r="Q140" s="219"/>
      <c r="AJ140" s="142"/>
      <c r="AM140" s="219"/>
      <c r="AU140" s="142" t="e">
        <f t="shared" ca="1" si="6"/>
        <v>#VALUE!</v>
      </c>
      <c r="AX140" s="487"/>
    </row>
    <row r="141" spans="1:50" s="138" customFormat="1" hidden="1" x14ac:dyDescent="0.3">
      <c r="A141" s="142"/>
      <c r="B141" s="4"/>
      <c r="F141" s="692">
        <f>Administration!J53</f>
        <v>0</v>
      </c>
      <c r="O141" s="139"/>
      <c r="Q141" s="219"/>
      <c r="AJ141" s="142"/>
      <c r="AM141" s="219"/>
      <c r="AU141" s="142" t="e">
        <f t="shared" ca="1" si="6"/>
        <v>#VALUE!</v>
      </c>
      <c r="AX141" s="487"/>
    </row>
    <row r="142" spans="1:50" s="138" customFormat="1" hidden="1" x14ac:dyDescent="0.3">
      <c r="A142" s="142"/>
      <c r="B142" s="4"/>
      <c r="F142" s="692">
        <f>Administration!J54</f>
        <v>0</v>
      </c>
      <c r="O142" s="139"/>
      <c r="Q142" s="219"/>
      <c r="AJ142" s="142"/>
      <c r="AM142" s="219"/>
      <c r="AU142" s="142" t="e">
        <f t="shared" ca="1" si="6"/>
        <v>#VALUE!</v>
      </c>
      <c r="AX142" s="487"/>
    </row>
    <row r="143" spans="1:50" s="138" customFormat="1" hidden="1" x14ac:dyDescent="0.3">
      <c r="A143" s="142"/>
      <c r="B143" s="4"/>
      <c r="F143" s="692">
        <f>Administration!J55</f>
        <v>0</v>
      </c>
      <c r="O143" s="139"/>
      <c r="Q143" s="219"/>
      <c r="AJ143" s="142"/>
      <c r="AM143" s="219"/>
      <c r="AU143" s="142" t="e">
        <f t="shared" ca="1" si="6"/>
        <v>#VALUE!</v>
      </c>
      <c r="AX143" s="487"/>
    </row>
    <row r="144" spans="1:50" s="138" customFormat="1" hidden="1" x14ac:dyDescent="0.3">
      <c r="A144" s="142"/>
      <c r="B144" s="4"/>
      <c r="F144" s="692">
        <f>Administration!J56</f>
        <v>0</v>
      </c>
      <c r="O144" s="139"/>
      <c r="Q144" s="219"/>
      <c r="AJ144" s="142"/>
      <c r="AM144" s="219"/>
      <c r="AU144" s="142" t="e">
        <f t="shared" ca="1" si="6"/>
        <v>#VALUE!</v>
      </c>
      <c r="AX144" s="487"/>
    </row>
    <row r="145" spans="1:50" s="138" customFormat="1" hidden="1" x14ac:dyDescent="0.3">
      <c r="A145" s="142"/>
      <c r="B145" s="4"/>
      <c r="F145" s="692">
        <f>Administration!J57</f>
        <v>0</v>
      </c>
      <c r="O145" s="139"/>
      <c r="Q145" s="219"/>
      <c r="AJ145" s="142"/>
      <c r="AM145" s="219"/>
      <c r="AU145" s="142" t="e">
        <f t="shared" ca="1" si="6"/>
        <v>#VALUE!</v>
      </c>
      <c r="AX145" s="487"/>
    </row>
    <row r="146" spans="1:50" s="138" customFormat="1" hidden="1" x14ac:dyDescent="0.3">
      <c r="A146" s="142"/>
      <c r="B146" s="4"/>
      <c r="F146" s="692">
        <f>Administration!J58</f>
        <v>0</v>
      </c>
      <c r="O146" s="139"/>
      <c r="Q146" s="219"/>
      <c r="AJ146" s="142"/>
      <c r="AM146" s="219"/>
      <c r="AU146" s="142" t="e">
        <f t="shared" ca="1" si="6"/>
        <v>#VALUE!</v>
      </c>
      <c r="AX146" s="487"/>
    </row>
    <row r="147" spans="1:50" s="138" customFormat="1" hidden="1" x14ac:dyDescent="0.3">
      <c r="A147" s="142"/>
      <c r="B147" s="4"/>
      <c r="F147" s="692">
        <f>Administration!J59</f>
        <v>0</v>
      </c>
      <c r="O147" s="139"/>
      <c r="Q147" s="219"/>
      <c r="AJ147" s="142"/>
      <c r="AM147" s="219"/>
      <c r="AU147" s="142" t="e">
        <f t="shared" ca="1" si="6"/>
        <v>#VALUE!</v>
      </c>
      <c r="AX147" s="487"/>
    </row>
    <row r="148" spans="1:50" s="138" customFormat="1" hidden="1" x14ac:dyDescent="0.3">
      <c r="A148" s="142"/>
      <c r="B148" s="4"/>
      <c r="F148" s="692">
        <f>Administration!J60</f>
        <v>0</v>
      </c>
      <c r="O148" s="139"/>
      <c r="Q148" s="219"/>
      <c r="AJ148" s="142"/>
      <c r="AM148" s="219"/>
      <c r="AU148" s="142" t="e">
        <f t="shared" ca="1" si="6"/>
        <v>#VALUE!</v>
      </c>
      <c r="AX148" s="487"/>
    </row>
    <row r="149" spans="1:50" s="138" customFormat="1" hidden="1" x14ac:dyDescent="0.3">
      <c r="A149" s="142"/>
      <c r="B149" s="4"/>
      <c r="F149" s="692">
        <f>Administration!J61</f>
        <v>0</v>
      </c>
      <c r="O149" s="139"/>
      <c r="Q149" s="219"/>
      <c r="AJ149" s="142"/>
      <c r="AM149" s="219"/>
      <c r="AU149" s="142" t="e">
        <f t="shared" ca="1" si="6"/>
        <v>#VALUE!</v>
      </c>
      <c r="AX149" s="487"/>
    </row>
    <row r="150" spans="1:50" s="138" customFormat="1" hidden="1" x14ac:dyDescent="0.3">
      <c r="A150" s="142"/>
      <c r="B150" s="4"/>
      <c r="F150" s="692">
        <f>Administration!J62</f>
        <v>0</v>
      </c>
      <c r="O150" s="139"/>
      <c r="Q150" s="219"/>
      <c r="AJ150" s="142"/>
      <c r="AM150" s="219"/>
      <c r="AU150" s="142" t="e">
        <f t="shared" ca="1" si="6"/>
        <v>#VALUE!</v>
      </c>
      <c r="AX150" s="487"/>
    </row>
    <row r="151" spans="1:50" s="138" customFormat="1" hidden="1" x14ac:dyDescent="0.3">
      <c r="A151" s="142"/>
      <c r="B151" s="4"/>
      <c r="F151" s="692">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selectLockedCells="1" selectUnlockedCells="1"/>
  <dataConsolidate/>
  <mergeCells count="45">
    <mergeCell ref="I28:K28"/>
    <mergeCell ref="E61:F66"/>
    <mergeCell ref="F70:H71"/>
    <mergeCell ref="F58:G58"/>
    <mergeCell ref="F59:G59"/>
    <mergeCell ref="I30:J30"/>
    <mergeCell ref="N33:O34"/>
    <mergeCell ref="R94:T94"/>
    <mergeCell ref="O40:V41"/>
    <mergeCell ref="H46:K46"/>
    <mergeCell ref="M69:M70"/>
    <mergeCell ref="I49:K49"/>
    <mergeCell ref="I52:K52"/>
    <mergeCell ref="N66:O66"/>
    <mergeCell ref="I37:K37"/>
    <mergeCell ref="I36:K36"/>
    <mergeCell ref="N17:O18"/>
    <mergeCell ref="H9:I9"/>
    <mergeCell ref="H15:I15"/>
    <mergeCell ref="H10:I10"/>
    <mergeCell ref="E16:H17"/>
    <mergeCell ref="E10:F10"/>
    <mergeCell ref="I16:M17"/>
    <mergeCell ref="E15:F15"/>
    <mergeCell ref="I13:K13"/>
    <mergeCell ref="J12:L12"/>
    <mergeCell ref="H11:I11"/>
    <mergeCell ref="K14:M14"/>
    <mergeCell ref="H12:I12"/>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s>
  <phoneticPr fontId="0" type="noConversion"/>
  <conditionalFormatting sqref="E54 E50">
    <cfRule type="expression" dxfId="111" priority="13" stopIfTrue="1">
      <formula>H50&gt;0</formula>
    </cfRule>
  </conditionalFormatting>
  <conditionalFormatting sqref="E56 E45">
    <cfRule type="expression" dxfId="110" priority="14" stopIfTrue="1">
      <formula>O45=1</formula>
    </cfRule>
  </conditionalFormatting>
  <conditionalFormatting sqref="E55">
    <cfRule type="expression" dxfId="109" priority="16" stopIfTrue="1">
      <formula>Q55=1</formula>
    </cfRule>
  </conditionalFormatting>
  <conditionalFormatting sqref="F56:G56">
    <cfRule type="expression" dxfId="108" priority="17" stopIfTrue="1">
      <formula>O56=1</formula>
    </cfRule>
  </conditionalFormatting>
  <conditionalFormatting sqref="F55:G55 G40">
    <cfRule type="expression" dxfId="107" priority="18" stopIfTrue="1">
      <formula>Q40=1</formula>
    </cfRule>
  </conditionalFormatting>
  <conditionalFormatting sqref="E44">
    <cfRule type="expression" dxfId="106" priority="19" stopIfTrue="1">
      <formula>M44&gt;1</formula>
    </cfRule>
  </conditionalFormatting>
  <conditionalFormatting sqref="E46">
    <cfRule type="expression" dxfId="105" priority="20" stopIfTrue="1">
      <formula>OR(T46=1,Q48=0)</formula>
    </cfRule>
  </conditionalFormatting>
  <conditionalFormatting sqref="F46:G46">
    <cfRule type="expression" dxfId="104" priority="21" stopIfTrue="1">
      <formula>OR(T46=1,Q48=0)</formula>
    </cfRule>
  </conditionalFormatting>
  <conditionalFormatting sqref="F39:G39">
    <cfRule type="expression" dxfId="103" priority="24" stopIfTrue="1">
      <formula>B39="Yes"</formula>
    </cfRule>
  </conditionalFormatting>
  <conditionalFormatting sqref="E39">
    <cfRule type="expression" dxfId="102" priority="25" stopIfTrue="1">
      <formula>B39="Yes"</formula>
    </cfRule>
  </conditionalFormatting>
  <conditionalFormatting sqref="F23">
    <cfRule type="expression" dxfId="101" priority="26" stopIfTrue="1">
      <formula>M23&lt;0</formula>
    </cfRule>
  </conditionalFormatting>
  <conditionalFormatting sqref="E23">
    <cfRule type="expression" dxfId="100" priority="27" stopIfTrue="1">
      <formula>M23&lt;0</formula>
    </cfRule>
  </conditionalFormatting>
  <conditionalFormatting sqref="F48:G48">
    <cfRule type="expression" dxfId="99" priority="28" stopIfTrue="1">
      <formula>T48=1</formula>
    </cfRule>
  </conditionalFormatting>
  <conditionalFormatting sqref="E48">
    <cfRule type="expression" dxfId="98" priority="29" stopIfTrue="1">
      <formula>T48=1</formula>
    </cfRule>
  </conditionalFormatting>
  <conditionalFormatting sqref="F44:G44">
    <cfRule type="expression" dxfId="97" priority="31" stopIfTrue="1">
      <formula>AND(O45=1,R45=1)</formula>
    </cfRule>
  </conditionalFormatting>
  <conditionalFormatting sqref="F45:G45">
    <cfRule type="expression" dxfId="96" priority="32" stopIfTrue="1">
      <formula>AND(O45=1,R45=1)</formula>
    </cfRule>
  </conditionalFormatting>
  <conditionalFormatting sqref="E20">
    <cfRule type="expression" dxfId="95" priority="33" stopIfTrue="1">
      <formula>H20&gt;0</formula>
    </cfRule>
  </conditionalFormatting>
  <conditionalFormatting sqref="F20:G20">
    <cfRule type="expression" dxfId="94" priority="34" stopIfTrue="1">
      <formula>H20&gt;0</formula>
    </cfRule>
  </conditionalFormatting>
  <conditionalFormatting sqref="F36:F37">
    <cfRule type="expression" dxfId="93" priority="35" stopIfTrue="1">
      <formula>AND(H36&gt;0%,M36&lt;0)</formula>
    </cfRule>
  </conditionalFormatting>
  <conditionalFormatting sqref="E36:E37">
    <cfRule type="expression" dxfId="92" priority="36" stopIfTrue="1">
      <formula>AND(H36&gt;0%,M36&lt;0)</formula>
    </cfRule>
  </conditionalFormatting>
  <conditionalFormatting sqref="E47">
    <cfRule type="expression" dxfId="91" priority="37" stopIfTrue="1">
      <formula>R64=1</formula>
    </cfRule>
  </conditionalFormatting>
  <conditionalFormatting sqref="F51:G51">
    <cfRule type="expression" dxfId="90" priority="39" stopIfTrue="1">
      <formula>AND($H$51&gt;0,Z49=1,Y49=1)</formula>
    </cfRule>
  </conditionalFormatting>
  <conditionalFormatting sqref="E51">
    <cfRule type="expression" dxfId="89" priority="40" stopIfTrue="1">
      <formula>AND($H$51&gt;0,Z49=1,Y49=1)</formula>
    </cfRule>
  </conditionalFormatting>
  <conditionalFormatting sqref="E60">
    <cfRule type="expression" dxfId="88" priority="41" stopIfTrue="1">
      <formula>C60=1</formula>
    </cfRule>
  </conditionalFormatting>
  <conditionalFormatting sqref="M19:M20 M22 M30 M36:M37 M39:M57">
    <cfRule type="expression" dxfId="87" priority="42" stopIfTrue="1">
      <formula>L19=1</formula>
    </cfRule>
  </conditionalFormatting>
  <conditionalFormatting sqref="M29 M23 M25">
    <cfRule type="expression" dxfId="86" priority="43" stopIfTrue="1">
      <formula>O23=1</formula>
    </cfRule>
  </conditionalFormatting>
  <conditionalFormatting sqref="E58:E59">
    <cfRule type="expression" dxfId="85" priority="45" stopIfTrue="1">
      <formula>O58=1</formula>
    </cfRule>
  </conditionalFormatting>
  <conditionalFormatting sqref="E21">
    <cfRule type="expression" dxfId="84" priority="48" stopIfTrue="1">
      <formula>OR(B21="Free",Q21=1)</formula>
    </cfRule>
  </conditionalFormatting>
  <conditionalFormatting sqref="E25">
    <cfRule type="expression" dxfId="83" priority="50" stopIfTrue="1">
      <formula>OR($R$25&gt;1,AA25=1)</formula>
    </cfRule>
  </conditionalFormatting>
  <conditionalFormatting sqref="I36">
    <cfRule type="expression" dxfId="82" priority="51" stopIfTrue="1">
      <formula>OR(H36&gt;R36,I36="NCB Not Allowed")</formula>
    </cfRule>
  </conditionalFormatting>
  <conditionalFormatting sqref="E57">
    <cfRule type="expression" dxfId="81" priority="54" stopIfTrue="1">
      <formula>M57&gt;1</formula>
    </cfRule>
  </conditionalFormatting>
  <conditionalFormatting sqref="H53">
    <cfRule type="expression" dxfId="80" priority="55" stopIfTrue="1">
      <formula>T48=0</formula>
    </cfRule>
  </conditionalFormatting>
  <conditionalFormatting sqref="F25">
    <cfRule type="expression" dxfId="79" priority="56" stopIfTrue="1">
      <formula>OR($R$25&gt;1,AA25=1)</formula>
    </cfRule>
  </conditionalFormatting>
  <conditionalFormatting sqref="F26">
    <cfRule type="expression" dxfId="78" priority="57" stopIfTrue="1">
      <formula>H25&gt;0</formula>
    </cfRule>
  </conditionalFormatting>
  <conditionalFormatting sqref="H26">
    <cfRule type="expression" dxfId="77" priority="58" stopIfTrue="1">
      <formula>H25&gt;0</formula>
    </cfRule>
  </conditionalFormatting>
  <conditionalFormatting sqref="K26">
    <cfRule type="expression" dxfId="76" priority="59" stopIfTrue="1">
      <formula>H25&gt;0</formula>
    </cfRule>
  </conditionalFormatting>
  <conditionalFormatting sqref="I29:J29">
    <cfRule type="expression" dxfId="75" priority="60" stopIfTrue="1">
      <formula>M29=0</formula>
    </cfRule>
  </conditionalFormatting>
  <conditionalFormatting sqref="I27">
    <cfRule type="expression" dxfId="74" priority="62" stopIfTrue="1">
      <formula>OR($R$25&gt;1,AA25=1)</formula>
    </cfRule>
  </conditionalFormatting>
  <conditionalFormatting sqref="L25">
    <cfRule type="expression" dxfId="73" priority="63" stopIfTrue="1">
      <formula>OR($R$25&gt;1,AA25=1)</formula>
    </cfRule>
  </conditionalFormatting>
  <conditionalFormatting sqref="G42">
    <cfRule type="expression" dxfId="72" priority="64" stopIfTrue="1">
      <formula>AND(R41=1,R40=1)</formula>
    </cfRule>
  </conditionalFormatting>
  <conditionalFormatting sqref="E40">
    <cfRule type="expression" dxfId="71" priority="65" stopIfTrue="1">
      <formula>Q38=1</formula>
    </cfRule>
  </conditionalFormatting>
  <conditionalFormatting sqref="F40">
    <cfRule type="expression" dxfId="70" priority="66" stopIfTrue="1">
      <formula>Q38=1</formula>
    </cfRule>
  </conditionalFormatting>
  <conditionalFormatting sqref="E42">
    <cfRule type="expression" dxfId="69" priority="67" stopIfTrue="1">
      <formula>AND(Q39=1,Q38=1)</formula>
    </cfRule>
  </conditionalFormatting>
  <conditionalFormatting sqref="F42">
    <cfRule type="expression" dxfId="68" priority="68" stopIfTrue="1">
      <formula>AND(Q39=1,Q38=1)</formula>
    </cfRule>
  </conditionalFormatting>
  <conditionalFormatting sqref="E53">
    <cfRule type="expression" dxfId="67" priority="79" stopIfTrue="1">
      <formula>AND(H53&gt;1000,T48=1,Z50=1,O53=1)</formula>
    </cfRule>
  </conditionalFormatting>
  <conditionalFormatting sqref="G4">
    <cfRule type="expression" dxfId="66" priority="86" stopIfTrue="1">
      <formula>D3=1</formula>
    </cfRule>
  </conditionalFormatting>
  <conditionalFormatting sqref="H4">
    <cfRule type="expression" dxfId="65" priority="87" stopIfTrue="1">
      <formula>D3=1</formula>
    </cfRule>
  </conditionalFormatting>
  <conditionalFormatting sqref="I4:J4">
    <cfRule type="expression" dxfId="64" priority="88" stopIfTrue="1">
      <formula>D3=1</formula>
    </cfRule>
  </conditionalFormatting>
  <conditionalFormatting sqref="G5">
    <cfRule type="expression" dxfId="63" priority="89" stopIfTrue="1">
      <formula>D3=1</formula>
    </cfRule>
  </conditionalFormatting>
  <conditionalFormatting sqref="I5:J5">
    <cfRule type="expression" dxfId="62" priority="90" stopIfTrue="1">
      <formula>D3=1</formula>
    </cfRule>
  </conditionalFormatting>
  <conditionalFormatting sqref="H5">
    <cfRule type="expression" dxfId="61" priority="91" stopIfTrue="1">
      <formula>D3=1</formula>
    </cfRule>
  </conditionalFormatting>
  <conditionalFormatting sqref="M5">
    <cfRule type="expression" dxfId="60" priority="92" stopIfTrue="1">
      <formula>D3=1</formula>
    </cfRule>
  </conditionalFormatting>
  <conditionalFormatting sqref="I3:J3">
    <cfRule type="expression" dxfId="59" priority="93" stopIfTrue="1">
      <formula>D3=1</formula>
    </cfRule>
  </conditionalFormatting>
  <conditionalFormatting sqref="E22">
    <cfRule type="expression" dxfId="58" priority="94" stopIfTrue="1">
      <formula>I22&gt;1000</formula>
    </cfRule>
  </conditionalFormatting>
  <conditionalFormatting sqref="F22">
    <cfRule type="expression" dxfId="57" priority="96" stopIfTrue="1">
      <formula>I22&gt;1</formula>
    </cfRule>
  </conditionalFormatting>
  <conditionalFormatting sqref="K8">
    <cfRule type="expression" dxfId="56" priority="85" stopIfTrue="1">
      <formula>M8=L8</formula>
    </cfRule>
  </conditionalFormatting>
  <conditionalFormatting sqref="I24:J24">
    <cfRule type="expression" dxfId="55" priority="178" stopIfTrue="1">
      <formula>AND(C24=1,U23=0)</formula>
    </cfRule>
  </conditionalFormatting>
  <conditionalFormatting sqref="F49:G49">
    <cfRule type="expression" dxfId="54" priority="22" stopIfTrue="1">
      <formula>OR(Q49&gt;0,H49&gt;0)</formula>
    </cfRule>
  </conditionalFormatting>
  <conditionalFormatting sqref="F47:G47">
    <cfRule type="expression" dxfId="53" priority="38" stopIfTrue="1">
      <formula>AND(H47&gt;1,T47=1,Z49=1)</formula>
    </cfRule>
  </conditionalFormatting>
  <conditionalFormatting sqref="F21:G21">
    <cfRule type="expression" dxfId="52" priority="49" stopIfTrue="1">
      <formula>OR(B21="Free",Q21=1)</formula>
    </cfRule>
  </conditionalFormatting>
  <conditionalFormatting sqref="E29">
    <cfRule type="expression" dxfId="51" priority="52" stopIfTrue="1">
      <formula>AND(R29&gt;1,Z49=1,Y49=1)</formula>
    </cfRule>
  </conditionalFormatting>
  <conditionalFormatting sqref="F29:G29">
    <cfRule type="expression" dxfId="50" priority="53" stopIfTrue="1">
      <formula>AND(R29&gt;1,Z49=1,Y49=1)</formula>
    </cfRule>
  </conditionalFormatting>
  <conditionalFormatting sqref="E41">
    <cfRule type="expression" dxfId="49" priority="184" stopIfTrue="1">
      <formula>AND($C$40=1,D41=1)</formula>
    </cfRule>
  </conditionalFormatting>
  <conditionalFormatting sqref="G41">
    <cfRule type="expression" dxfId="48" priority="185" stopIfTrue="1">
      <formula>AND($C$40=1,M30&gt;0)</formula>
    </cfRule>
  </conditionalFormatting>
  <conditionalFormatting sqref="F41">
    <cfRule type="expression" dxfId="47" priority="186" stopIfTrue="1">
      <formula>E41=1</formula>
    </cfRule>
  </conditionalFormatting>
  <conditionalFormatting sqref="K41">
    <cfRule type="expression" dxfId="46" priority="187" stopIfTrue="1">
      <formula>AND(Z42&gt;0,J41=1)</formula>
    </cfRule>
  </conditionalFormatting>
  <conditionalFormatting sqref="J41">
    <cfRule type="expression" dxfId="45" priority="188" stopIfTrue="1">
      <formula>AND($C$40=1,OR(H50&gt;0,H51&gt;0))</formula>
    </cfRule>
  </conditionalFormatting>
  <conditionalFormatting sqref="F43 K43">
    <cfRule type="expression" dxfId="44" priority="189" stopIfTrue="1">
      <formula>AND(E43=1,E41=1)</formula>
    </cfRule>
  </conditionalFormatting>
  <conditionalFormatting sqref="G43">
    <cfRule type="expression" dxfId="43" priority="190" stopIfTrue="1">
      <formula>AND($C$40=1,$C$42=1,M30&gt;0)</formula>
    </cfRule>
  </conditionalFormatting>
  <conditionalFormatting sqref="E43">
    <cfRule type="expression" dxfId="42" priority="191" stopIfTrue="1">
      <formula>AND($C$40=1,$C$42=1,D41=1)</formula>
    </cfRule>
  </conditionalFormatting>
  <conditionalFormatting sqref="J43">
    <cfRule type="expression" dxfId="41" priority="192" stopIfTrue="1">
      <formula>AND($C$40=1,$C$42=1,OR(H50&gt;0,H51&gt;0))</formula>
    </cfRule>
  </conditionalFormatting>
  <conditionalFormatting sqref="H58:H59">
    <cfRule type="expression" dxfId="40" priority="195" stopIfTrue="1">
      <formula>AND(C58=1,F58="")</formula>
    </cfRule>
  </conditionalFormatting>
  <conditionalFormatting sqref="H24">
    <cfRule type="expression" dxfId="39" priority="196" stopIfTrue="1">
      <formula>U23=0</formula>
    </cfRule>
  </conditionalFormatting>
  <conditionalFormatting sqref="I16:M17">
    <cfRule type="expression" dxfId="38" priority="200" stopIfTrue="1">
      <formula>R15=0</formula>
    </cfRule>
  </conditionalFormatting>
  <conditionalFormatting sqref="H41">
    <cfRule type="expression" dxfId="37" priority="209" stopIfTrue="1">
      <formula>AND($C$40=1,M30&gt;0,G41=1)</formula>
    </cfRule>
  </conditionalFormatting>
  <conditionalFormatting sqref="H43">
    <cfRule type="expression" dxfId="36" priority="210" stopIfTrue="1">
      <formula>AND($C$40=1,M30&gt;0,G43=1,G41=1)</formula>
    </cfRule>
  </conditionalFormatting>
  <conditionalFormatting sqref="O25 L22 L36:L37 L30 O23 L19:L20 O29 L39:L59">
    <cfRule type="expression" dxfId="35" priority="101" stopIfTrue="1">
      <formula>$C$2="Yes"</formula>
    </cfRule>
  </conditionalFormatting>
  <conditionalFormatting sqref="I41">
    <cfRule type="expression" dxfId="34" priority="82" stopIfTrue="1">
      <formula>AND(B40="Yes",T42="Yes",H25&gt;0,L27&gt;0)</formula>
    </cfRule>
  </conditionalFormatting>
  <conditionalFormatting sqref="I43">
    <cfRule type="expression" dxfId="33" priority="83" stopIfTrue="1">
      <formula>AND(B40="Yes",T42="Yes",H25&gt;0,L27&gt;0,B41="Yes",T43="Yes")</formula>
    </cfRule>
  </conditionalFormatting>
  <conditionalFormatting sqref="E30">
    <cfRule type="expression" dxfId="32" priority="98" stopIfTrue="1">
      <formula>AND(H30&gt;1,C30="Yes",AA2=1,Z49=1,Y49=1)</formula>
    </cfRule>
  </conditionalFormatting>
  <conditionalFormatting sqref="H42 I49:J49 H44 K42 K44">
    <cfRule type="cellIs" dxfId="31" priority="105" stopIfTrue="1" operator="equal">
      <formula>0</formula>
    </cfRule>
  </conditionalFormatting>
  <conditionalFormatting sqref="K47">
    <cfRule type="cellIs" dxfId="30" priority="100" stopIfTrue="1" operator="equal">
      <formula>0</formula>
    </cfRule>
  </conditionalFormatting>
  <conditionalFormatting sqref="F54:G54">
    <cfRule type="expression" dxfId="29" priority="103" stopIfTrue="1">
      <formula>$H$54&gt;0</formula>
    </cfRule>
  </conditionalFormatting>
  <conditionalFormatting sqref="F50:G50">
    <cfRule type="expression" dxfId="28" priority="104" stopIfTrue="1">
      <formula>$H$50&gt;0</formula>
    </cfRule>
  </conditionalFormatting>
  <conditionalFormatting sqref="F57:G60">
    <cfRule type="cellIs" dxfId="27" priority="106" stopIfTrue="1" operator="equal">
      <formula>"."</formula>
    </cfRule>
  </conditionalFormatting>
  <conditionalFormatting sqref="K48">
    <cfRule type="cellIs" dxfId="26" priority="107" stopIfTrue="1" operator="equal">
      <formula>0</formula>
    </cfRule>
  </conditionalFormatting>
  <conditionalFormatting sqref="I52:K53">
    <cfRule type="cellIs" dxfId="25" priority="116" stopIfTrue="1" operator="equal">
      <formula>"Enter Number of Air Bags"</formula>
    </cfRule>
  </conditionalFormatting>
  <conditionalFormatting sqref="K15">
    <cfRule type="cellIs" dxfId="24" priority="222" stopIfTrue="1" operator="equal">
      <formula>"Chinese Vehicles Covered"</formula>
    </cfRule>
  </conditionalFormatting>
  <conditionalFormatting sqref="K9:M9">
    <cfRule type="expression" dxfId="23" priority="114" stopIfTrue="1">
      <formula>OR($T$2=3,$W$2=0)</formula>
    </cfRule>
  </conditionalFormatting>
  <conditionalFormatting sqref="G22:G23">
    <cfRule type="expression" dxfId="22" priority="95" stopIfTrue="1">
      <formula>#REF!&gt;1</formula>
    </cfRule>
  </conditionalFormatting>
  <conditionalFormatting sqref="N25 N19:N20 N22:N23 N29:N30 N36:N37 N39:N57">
    <cfRule type="expression" dxfId="21" priority="102" stopIfTrue="1">
      <formula>$C$2="Yes"</formula>
    </cfRule>
  </conditionalFormatting>
  <conditionalFormatting sqref="H19">
    <cfRule type="cellIs" dxfId="20" priority="108" stopIfTrue="1" operator="equal">
      <formula>"This Quotation system is not valid anymore"</formula>
    </cfRule>
  </conditionalFormatting>
  <conditionalFormatting sqref="E26 G26 L26">
    <cfRule type="expression" dxfId="19" priority="109" stopIfTrue="1">
      <formula>$H$25&gt;0</formula>
    </cfRule>
  </conditionalFormatting>
  <conditionalFormatting sqref="I31:I34">
    <cfRule type="expression" dxfId="18" priority="112" stopIfTrue="1">
      <formula>$H$30=0</formula>
    </cfRule>
  </conditionalFormatting>
  <conditionalFormatting sqref="E32:E34">
    <cfRule type="expression" dxfId="17" priority="113" stopIfTrue="1">
      <formula>AND($H$30&gt;0,$O$31=1)</formula>
    </cfRule>
  </conditionalFormatting>
  <conditionalFormatting sqref="K22">
    <cfRule type="expression" dxfId="16" priority="117" stopIfTrue="1">
      <formula>$C$2="Yes"</formula>
    </cfRule>
  </conditionalFormatting>
  <conditionalFormatting sqref="K14:M14">
    <cfRule type="expression" dxfId="15" priority="233" stopIfTrue="1">
      <formula>$H$14="Yes"</formula>
    </cfRule>
  </conditionalFormatting>
  <conditionalFormatting sqref="K30">
    <cfRule type="expression" dxfId="14" priority="234" stopIfTrue="1">
      <formula>AND($H$30&gt;0,$O$31&gt;0)</formula>
    </cfRule>
  </conditionalFormatting>
  <conditionalFormatting sqref="F30">
    <cfRule type="expression" dxfId="13" priority="235" stopIfTrue="1">
      <formula>AND(H30&gt;1,C30="Yes",AA2=1,Z49=1,Y49=1)</formula>
    </cfRule>
  </conditionalFormatting>
  <conditionalFormatting sqref="I30:J30">
    <cfRule type="expression" dxfId="12" priority="236" stopIfTrue="1">
      <formula>AND($H$30&gt;0,$O$31&gt;0)</formula>
    </cfRule>
  </conditionalFormatting>
  <conditionalFormatting sqref="I25:K25">
    <cfRule type="expression" dxfId="11" priority="12" stopIfTrue="1">
      <formula>$H$25=0</formula>
    </cfRule>
  </conditionalFormatting>
  <conditionalFormatting sqref="E16:H17">
    <cfRule type="notContainsBlanks" dxfId="10" priority="238" stopIfTrue="1">
      <formula>LEN(TRIM(E16))&gt;0</formula>
    </cfRule>
  </conditionalFormatting>
  <conditionalFormatting sqref="E15:F15">
    <cfRule type="cellIs" dxfId="9" priority="10" stopIfTrue="1" operator="equal">
      <formula>"SUM COVERED - Above Retention"</formula>
    </cfRule>
  </conditionalFormatting>
  <conditionalFormatting sqref="M13">
    <cfRule type="expression" dxfId="8" priority="239" stopIfTrue="1">
      <formula>OR(L13="",L13=0)</formula>
    </cfRule>
  </conditionalFormatting>
  <conditionalFormatting sqref="AA1">
    <cfRule type="expression" dxfId="7" priority="7" stopIfTrue="1">
      <formula>AND($H$12="HYBRID",$H$14="No")</formula>
    </cfRule>
  </conditionalFormatting>
  <conditionalFormatting sqref="M12">
    <cfRule type="expression" dxfId="6" priority="3" stopIfTrue="1">
      <formula>AND(H12="Hybrid",H14="No")</formula>
    </cfRule>
  </conditionalFormatting>
  <conditionalFormatting sqref="M12">
    <cfRule type="expression" dxfId="5" priority="2" stopIfTrue="1">
      <formula>AND(H12="Hybrid",H14="No")</formula>
    </cfRule>
  </conditionalFormatting>
  <conditionalFormatting sqref="M12">
    <cfRule type="expression" dxfId="4" priority="1" stopIfTrue="1">
      <formula>H8="Motor Cycle"</formula>
    </cfRule>
  </conditionalFormatting>
  <conditionalFormatting sqref="K50">
    <cfRule type="expression" dxfId="3" priority="250" stopIfTrue="1">
      <formula>T47=0</formula>
    </cfRule>
  </conditionalFormatting>
  <conditionalFormatting sqref="F52:F53">
    <cfRule type="expression" dxfId="2" priority="251" stopIfTrue="1">
      <formula>AND($K$50&gt;0,T47=1,Z49=1,O52=1)</formula>
    </cfRule>
  </conditionalFormatting>
  <conditionalFormatting sqref="E52">
    <cfRule type="expression" dxfId="1"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400-000000000000}">
      <formula1>Q49</formula1>
    </dataValidation>
    <dataValidation type="whole" operator="lessThanOrEqual" allowBlank="1" showInputMessage="1" showErrorMessage="1" error="Limit Exceeded._x000a_M/R Not Allowed" sqref="H20" xr:uid="{00000000-0002-0000-0400-000001000000}">
      <formula1>T20</formula1>
    </dataValidation>
    <dataValidation type="whole" showInputMessage="1" showErrorMessage="1" sqref="H30" xr:uid="{00000000-0002-0000-0400-000002000000}">
      <formula1>0</formula1>
      <formula2>U30</formula2>
    </dataValidation>
    <dataValidation type="decimal" operator="lessThanOrEqual" showErrorMessage="1" promptTitle="MAXIMUM NCB ALLOWED" prompt="for Private Cars  - 75%_x000a_for Commercial    - 65%_x000a_for Motor Cycles - 35%" sqref="H36" xr:uid="{00000000-0002-0000-0400-000003000000}">
      <formula1>R36</formula1>
    </dataValidation>
    <dataValidation type="whole" operator="lessThan" showInputMessage="1" showErrorMessage="1" sqref="H18" xr:uid="{00000000-0002-0000-0400-000004000000}">
      <formula1>O16+1</formula1>
    </dataValidation>
    <dataValidation type="decimal" allowBlank="1" showInputMessage="1" showErrorMessage="1" error="MAXIMUM  60%" sqref="I24:J24" xr:uid="{00000000-0002-0000-0400-000005000000}">
      <formula1>0</formula1>
      <formula2>Q23</formula2>
    </dataValidation>
    <dataValidation type="whole" operator="lessThan" showInputMessage="1" showErrorMessage="1" sqref="I18:J18" xr:uid="{00000000-0002-0000-0400-000006000000}">
      <formula1>H15/2</formula1>
    </dataValidation>
    <dataValidation type="whole" operator="lessThan" showInputMessage="1" showErrorMessage="1" sqref="H15" xr:uid="{00000000-0002-0000-0400-000007000000}">
      <formula1>O15+1</formula1>
    </dataValidation>
    <dataValidation type="whole" allowBlank="1" showInputMessage="1" showErrorMessage="1" sqref="K50" xr:uid="{00000000-0002-0000-0400-000008000000}">
      <formula1>-1</formula1>
      <formula2>H15/4</formula2>
    </dataValidation>
    <dataValidation type="whole" errorStyle="warning" allowBlank="1" showInputMessage="1" showErrorMessage="1" error="Enter Value between Rs.2000/- and 50% of vehicle value" sqref="K22" xr:uid="{00000000-0002-0000-0400-000009000000}">
      <formula1>10000</formula1>
      <formula2>H15/2</formula2>
    </dataValidation>
    <dataValidation type="list" operator="lessThan" showInputMessage="1" showErrorMessage="1" sqref="H13" xr:uid="{00000000-0002-0000-0400-00000A000000}">
      <formula1>AU45:AU54</formula1>
    </dataValidation>
    <dataValidation type="decimal" showErrorMessage="1" promptTitle="MAXIMUM NCB ALLOWED" prompt="for Private Cars  - 75%_x000a_for Commercial    - 65%_x000a_for Motor Cycles - 35%" sqref="H37" xr:uid="{00000000-0002-0000-0400-00000B000000}">
      <formula1>0</formula1>
      <formula2>R36</formula2>
    </dataValidation>
    <dataValidation type="whole" allowBlank="1" showInputMessage="1" showErrorMessage="1" sqref="H53" xr:uid="{00000000-0002-0000-0400-00000C000000}">
      <formula1>-1</formula1>
      <formula2>H15/4</formula2>
    </dataValidation>
    <dataValidation type="whole" operator="lessThanOrEqual" allowBlank="1" showInputMessage="1" showErrorMessage="1" error="Should Net Exceed Number of Persons PAB cover required._x000a_" sqref="I27" xr:uid="{00000000-0002-0000-0400-00000D000000}">
      <formula1>L25</formula1>
    </dataValidation>
    <dataValidation type="list" showInputMessage="1" showErrorMessage="1" sqref="H29" xr:uid="{00000000-0002-0000-0400-00000E000000}">
      <formula1>"0,2000,10000,20000,50000,100000,200000,500000"</formula1>
    </dataValidation>
    <dataValidation type="list" showInputMessage="1" showErrorMessage="1" sqref="L13" xr:uid="{00000000-0002-0000-0400-00000F000000}">
      <formula1>"1,2,3,4,5"</formula1>
    </dataValidation>
    <dataValidation type="list" allowBlank="1" showInputMessage="1" showErrorMessage="1" sqref="AA1" xr:uid="{00000000-0002-0000-0400-000010000000}">
      <formula1>"Born Hybrid,non-born Hybrid"</formula1>
    </dataValidation>
    <dataValidation type="list" allowBlank="1" showInputMessage="1" showErrorMessage="1" sqref="O25 C58:C60 C55:C56 G43 E43 J43 E41 C39:C40 G41 L30 L22 O23 L36:L37 O29 E32:E34 L19:L20 L39:L59 J41 C45:C46 C42" xr:uid="{00000000-0002-0000-0400-000011000000}">
      <formula1>"0,1"</formula1>
    </dataValidation>
    <dataValidation type="whole" showInputMessage="1" showErrorMessage="1" error="Should Not Exceed Number of Seats" sqref="G53" xr:uid="{00000000-0002-0000-0400-000012000000}">
      <formula1>0</formula1>
      <formula2>25</formula2>
    </dataValidation>
    <dataValidation type="whole" showInputMessage="1" showErrorMessage="1" error="Should Not Exceed Number of Seats" sqref="G52" xr:uid="{00000000-0002-0000-0400-000013000000}">
      <formula1>0</formula1>
      <formula2>2</formula2>
    </dataValidation>
    <dataValidation type="list" allowBlank="1" showInputMessage="1" showErrorMessage="1" sqref="J11" xr:uid="{00000000-0002-0000-0400-000014000000}">
      <formula1>"BRAND NEW,RECONDITIONED,REGISTERED"</formula1>
    </dataValidation>
    <dataValidation type="whole" allowBlank="1" showInputMessage="1" showErrorMessage="1" sqref="E42 E44:E60 I43 E20:E23 E25 E39:E40 I41 E29:E30 E36:E37 T28:V28 G31:G34" xr:uid="{00000000-0002-0000-0400-000015000000}">
      <formula1>0</formula1>
      <formula2>1</formula2>
    </dataValidation>
    <dataValidation type="list" allowBlank="1" showInputMessage="1" showErrorMessage="1" sqref="B55:B56 Q42:Q43 B46 T42:T43 W42:W43 M5 C30 B39:B41 C2:C5 H14" xr:uid="{00000000-0002-0000-0400-000016000000}">
      <formula1>"Yes,No"</formula1>
    </dataValidation>
    <dataValidation type="decimal" allowBlank="1" showInputMessage="1" showErrorMessage="1" sqref="N58:N60" xr:uid="{00000000-0002-0000-0400-000017000000}">
      <formula1>-100000</formula1>
      <formula2>100000</formula2>
    </dataValidation>
    <dataValidation type="decimal" operator="greaterThanOrEqual" allowBlank="1" showInputMessage="1" showErrorMessage="1" sqref="M49" xr:uid="{00000000-0002-0000-0400-000018000000}">
      <formula1>0</formula1>
    </dataValidation>
    <dataValidation type="whole" showInputMessage="1" showErrorMessage="1" sqref="H54" xr:uid="{00000000-0002-0000-0400-000019000000}">
      <formula1>-1</formula1>
      <formula2>10</formula2>
    </dataValidation>
    <dataValidation type="whole" operator="greaterThan" allowBlank="1" showInputMessage="1" showErrorMessage="1" sqref="H47 H51" xr:uid="{00000000-0002-0000-0400-00001A000000}">
      <formula1>-1</formula1>
    </dataValidation>
    <dataValidation type="list" operator="notBetween" allowBlank="1" showInputMessage="1" showErrorMessage="1" sqref="H48" xr:uid="{00000000-0002-0000-0400-00001B000000}">
      <formula1>"15000,100000,300000,500000,1000000"</formula1>
    </dataValidation>
    <dataValidation type="whole" allowBlank="1" showInputMessage="1" showErrorMessage="1" sqref="H50" xr:uid="{00000000-0002-0000-0400-00001C000000}">
      <formula1>-1</formula1>
      <formula2>10</formula2>
    </dataValidation>
    <dataValidation type="textLength" allowBlank="1" showInputMessage="1" showErrorMessage="1" sqref="F59:G59" xr:uid="{00000000-0002-0000-0400-00001D000000}">
      <formula1>0</formula1>
      <formula2>21</formula2>
    </dataValidation>
    <dataValidation type="textLength" allowBlank="1" showInputMessage="1" showErrorMessage="1" error="Should Enter Between _x000a_2 to 14 Digits only_x000a__x000a_" sqref="L10:M10" xr:uid="{00000000-0002-0000-0400-00001E000000}">
      <formula1>2</formula1>
      <formula2>14</formula2>
    </dataValidation>
    <dataValidation type="textLength" showInputMessage="1" showErrorMessage="1" sqref="L6 E12" xr:uid="{00000000-0002-0000-0400-00001F000000}">
      <formula1>0</formula1>
      <formula2>25</formula2>
    </dataValidation>
    <dataValidation type="list" allowBlank="1" showInputMessage="1" showErrorMessage="1" sqref="H6" xr:uid="{00000000-0002-0000-0400-000020000000}">
      <formula1>"Mr.,Mrs.,Miss,Madam,Sir,Sir/Madam"</formula1>
    </dataValidation>
    <dataValidation type="list" allowBlank="1" showInputMessage="1" showErrorMessage="1" sqref="K8" xr:uid="{00000000-0002-0000-0400-000021000000}">
      <formula1>"1.25%,2%"</formula1>
    </dataValidation>
    <dataValidation type="list" showInputMessage="1" showErrorMessage="1" sqref="H9:I9" xr:uid="{00000000-0002-0000-0400-000022000000}">
      <formula1>$AP$6:$AP$7</formula1>
    </dataValidation>
    <dataValidation type="list" showInputMessage="1" showErrorMessage="1" sqref="H12" xr:uid="{00000000-0002-0000-0400-000023000000}">
      <formula1>"PETROL (non hybrid),DIESEL (non hybrid),HYBRID,ELECTRIC"</formula1>
    </dataValidation>
    <dataValidation type="list" operator="equal" showInputMessage="1" showErrorMessage="1" sqref="H22" xr:uid="{00000000-0002-0000-0400-000024000000}">
      <formula1>"0,2000,5000,10000"</formula1>
    </dataValidation>
    <dataValidation type="list" allowBlank="1" showInputMessage="1" showErrorMessage="1" sqref="I38:J38" xr:uid="{00000000-0002-0000-0400-000025000000}">
      <formula1>"Conceal,Reveal"</formula1>
    </dataValidation>
    <dataValidation type="decimal" allowBlank="1" showInputMessage="1" showErrorMessage="1" sqref="N25 N46:N57 N39:N43 N19:N20 N29:N30" xr:uid="{00000000-0002-0000-0400-000026000000}">
      <formula1>0</formula1>
      <formula2>1000000</formula2>
    </dataValidation>
    <dataValidation allowBlank="1" showInputMessage="1" showErrorMessage="1" error="Should not exceed number of seats _x000a_(excluding driver's seat)_x000a_" sqref="I29:J29" xr:uid="{00000000-0002-0000-0400-000027000000}"/>
    <dataValidation type="list" allowBlank="1" showInputMessage="1" showErrorMessage="1" sqref="B31:C31" xr:uid="{00000000-0002-0000-0400-000028000000}">
      <formula1>"1"</formula1>
    </dataValidation>
    <dataValidation type="list" showInputMessage="1" showErrorMessage="1" sqref="H25" xr:uid="{00000000-0002-0000-0400-000029000000}">
      <formula1>"25000,50000,75000,100000,125000,150000,175000,200000,225000,250000,275000,300000,350000,400000,450000,500000,1000000"</formula1>
    </dataValidation>
    <dataValidation type="list" allowBlank="1" showInputMessage="1" showErrorMessage="1" sqref="B21" xr:uid="{00000000-0002-0000-0400-00002A000000}">
      <formula1>"Yes,No,Free"</formula1>
    </dataValidation>
    <dataValidation type="list" allowBlank="1" showInputMessage="1" showErrorMessage="1" sqref="C21" xr:uid="{00000000-0002-0000-0400-00002B000000}">
      <formula1>"0,1,2"</formula1>
    </dataValidation>
    <dataValidation type="decimal" allowBlank="1" showInputMessage="1" showErrorMessage="1" sqref="N22:N23 N36:N37" xr:uid="{00000000-0002-0000-0400-00002C000000}">
      <formula1>-10000000</formula1>
      <formula2>0</formula2>
    </dataValidation>
    <dataValidation type="list" allowBlank="1" showInputMessage="1" showErrorMessage="1" sqref="E26 L26 G26" xr:uid="{00000000-0002-0000-0400-00002D000000}">
      <formula1>"1,0"</formula1>
    </dataValidation>
    <dataValidation type="list" allowBlank="1" showInputMessage="1" showErrorMessage="1" sqref="H38" xr:uid="{00000000-0002-0000-0400-00002E000000}">
      <formula1>"Earned NCB,Upfront NCB"</formula1>
    </dataValidation>
    <dataValidation type="list" allowBlank="1" showInputMessage="1" showErrorMessage="1" sqref="I4:I5" xr:uid="{00000000-0002-0000-0400-00002F000000}">
      <formula1>"2010,2011,2012,2013,2014,2015"</formula1>
    </dataValidation>
    <dataValidation type="list" allowBlank="1" showInputMessage="1" showErrorMessage="1" sqref="H4:H5" xr:uid="{00000000-0002-0000-0400-000030000000}">
      <formula1>"January,February,March,April,May,June,July,August,September,October,November,December"</formula1>
    </dataValidation>
    <dataValidation type="list" allowBlank="1" showInputMessage="1" showErrorMessage="1" sqref="G4:G5" xr:uid="{00000000-0002-0000-0400-000031000000}">
      <formula1>"1,2,3,4,5,6,7,8,9,10,11,12,13,14,15,16,17,18,19,20,21,22,23,24,25,26,27,28,29,30,31"</formula1>
    </dataValidation>
    <dataValidation type="list" allowBlank="1" showInputMessage="1" showErrorMessage="1" sqref="H3" xr:uid="{00000000-0002-0000-0400-000032000000}">
      <formula1>"One Year,Pro Rata, Short Period"</formula1>
    </dataValidation>
    <dataValidation type="textLength" allowBlank="1" showInputMessage="1" showErrorMessage="1" error="Enter Above 5 letters_x000a_" sqref="F58:G58" xr:uid="{00000000-0002-0000-0400-000033000000}">
      <formula1>5</formula1>
      <formula2>21</formula2>
    </dataValidation>
    <dataValidation type="list" allowBlank="1" showInputMessage="1" showErrorMessage="1" sqref="H11:I11" xr:uid="{00000000-0002-0000-0400-000034000000}">
      <formula1>"NON chinese/korean,CHINESE,KOREAN,JAPAN,INDIA,MALAYSIAN,GERMAN,SRI LANKAN"</formula1>
    </dataValidation>
    <dataValidation type="decimal" allowBlank="1" showInputMessage="1" showErrorMessage="1" sqref="N44:N45" xr:uid="{00000000-0002-0000-0400-000035000000}">
      <formula1>0</formula1>
      <formula2>100</formula2>
    </dataValidation>
    <dataValidation type="list" showInputMessage="1" showErrorMessage="1" sqref="I25" xr:uid="{00000000-0002-0000-0400-000036000000}">
      <formula1>"Full Seating Capacity,Participant Only,Driver Only,Participant &amp; Driver Only"</formula1>
    </dataValidation>
    <dataValidation type="list" showInputMessage="1" showErrorMessage="1" sqref="I30" xr:uid="{00000000-0002-0000-0400-000037000000}">
      <formula1>"Non-Hazardous,Hazardous,Extra Hazardous"</formula1>
    </dataValidation>
    <dataValidation type="list" allowBlank="1" showInputMessage="1" showErrorMessage="1" sqref="K30" xr:uid="{00000000-0002-0000-0400-000038000000}">
      <formula1>"With Fire,Without Fire"</formula1>
    </dataValidation>
    <dataValidation type="list" allowBlank="1" showInputMessage="1" showErrorMessage="1" sqref="H8:I8" xr:uid="{00000000-0002-0000-0400-000039000000}">
      <formula1>"Motor Cycle,Three Wheeler"</formula1>
    </dataValidation>
    <dataValidation type="list" allowBlank="1" showInputMessage="1" showErrorMessage="1" sqref="M12" xr:uid="{00000000-0002-0000-0400-00003A000000}">
      <formula1>"Above 250cc,Below 250cc"</formula1>
    </dataValidation>
    <dataValidation type="list" allowBlank="1" showInputMessage="1" showErrorMessage="1" sqref="K14:M14" xr:uid="{00000000-0002-0000-0400-00003B000000}">
      <formula1>$F$94:$F$121</formula1>
    </dataValidation>
  </dataValidations>
  <hyperlinks>
    <hyperlink ref="AZ78" r:id="rId1" display="mailto:info@amanabank.lk" xr:uid="{00000000-0004-0000-0400-000000000000}"/>
    <hyperlink ref="AZ81" r:id="rId2" display="mailto:boc@boc.lk" xr:uid="{00000000-0004-0000-0400-000001000000}"/>
    <hyperlink ref="AZ84" r:id="rId3" display="mailto:email@combank.net" xr:uid="{00000000-0004-0000-0400-000002000000}"/>
    <hyperlink ref="AZ88" r:id="rId4" display="mailto:info@dfccvardhanabank.com" xr:uid="{00000000-0004-0000-0400-000003000000}"/>
    <hyperlink ref="AZ89" r:id="rId5" display="http://www.dfccvardhanabank.com/" xr:uid="{00000000-0004-0000-0400-000004000000}"/>
    <hyperlink ref="AZ91" r:id="rId6" display="mailto:moreinfo@hnb.net" xr:uid="{00000000-0004-0000-0400-000005000000}"/>
    <hyperlink ref="AZ92" r:id="rId7" display="http://www.hnb.net/" xr:uid="{00000000-0004-0000-0400-000006000000}"/>
    <hyperlink ref="AZ94" r:id="rId8" display="mailto:azfar.nomani@mcb.com.lk" xr:uid="{00000000-0004-0000-0400-000007000000}"/>
    <hyperlink ref="AZ97" r:id="rId9" display="mailto:contact@ndbbank.com" xr:uid="{00000000-0004-0000-0400-000008000000}"/>
    <hyperlink ref="AZ98" r:id="rId10" display="http://www.ndbbank.com/" xr:uid="{00000000-0004-0000-0400-000009000000}"/>
    <hyperlink ref="AZ100" r:id="rId11" display="mailto:info@nationstrust.com" xr:uid="{00000000-0004-0000-0400-00000A000000}"/>
    <hyperlink ref="AZ103" r:id="rId12" display="mailto:pabc@pabcbank.com" xr:uid="{00000000-0004-0000-0400-00000B000000}"/>
    <hyperlink ref="AZ104" r:id="rId13" display="http://www.pabcbank.com/" xr:uid="{00000000-0004-0000-0400-00000C000000}"/>
    <hyperlink ref="AZ106" r:id="rId14" display="mailto:info@peoplesbank.lk" xr:uid="{00000000-0004-0000-0400-00000D000000}"/>
    <hyperlink ref="AZ109" r:id="rId15" display="mailto:oper.mgr@sampath.lk" xr:uid="{00000000-0004-0000-0400-00000E000000}"/>
    <hyperlink ref="AZ112" r:id="rId16" display="mailto:info@seylan.lk" xr:uid="{00000000-0004-0000-0400-00000F000000}"/>
    <hyperlink ref="AZ113" r:id="rId17" display="http://www.eseylan.com/" xr:uid="{00000000-0004-0000-0400-000010000000}"/>
    <hyperlink ref="AZ115" r:id="rId18" display="mailto:ubc@unionb.com" xr:uid="{00000000-0004-0000-0400-000011000000}"/>
    <hyperlink ref="AZ118" r:id="rId19" display="mailto:info@dfccbank.com" xr:uid="{00000000-0004-0000-0400-000012000000}"/>
    <hyperlink ref="AZ121" r:id="rId20" display="mailto:info@lankaputhra.lk" xr:uid="{00000000-0004-0000-0400-000013000000}"/>
    <hyperlink ref="AZ122" r:id="rId21" display="http://www.lankaputhra.lk/" xr:uid="{00000000-0004-0000-0400-000014000000}"/>
    <hyperlink ref="AZ124" r:id="rId22" display="mailto:savingsbank@mbslsavingsbank.com" xr:uid="{00000000-0004-0000-0400-000015000000}"/>
    <hyperlink ref="AZ125" r:id="rId23" display="http://www.mbslsavingsbank.com/" xr:uid="{00000000-0004-0000-0400-000016000000}"/>
    <hyperlink ref="AZ127" r:id="rId24" display="mailto:siriwardener@rdb.lk" xr:uid="{00000000-0004-0000-0400-000017000000}"/>
    <hyperlink ref="AZ128" r:id="rId25" display="http://www.rdb.lk/" xr:uid="{00000000-0004-0000-0400-000018000000}"/>
    <hyperlink ref="AZ130" r:id="rId26" display="mailto:info@sdb.lk" xr:uid="{00000000-0004-0000-0400-000019000000}"/>
    <hyperlink ref="AZ131" r:id="rId27" display="http://www.sdb.lk/" xr:uid="{00000000-0004-0000-0400-00001A000000}"/>
    <hyperlink ref="AZ133" r:id="rId28" display="mailto:slsbl@sltnet.lk" xr:uid="{00000000-0004-0000-0400-00001B000000}"/>
    <hyperlink ref="AZ134" r:id="rId29" display="http://www.sdb.lk/" xr:uid="{00000000-0004-0000-0400-00001C000000}"/>
    <hyperlink ref="AZ136" r:id="rId30" display="mailto:aban@abansgroup.com" xr:uid="{00000000-0004-0000-0400-00001D000000}"/>
    <hyperlink ref="AZ137" r:id="rId31" display="http://www.abansgroup.com/" xr:uid="{00000000-0004-0000-0400-00001E000000}"/>
    <hyperlink ref="AZ139" r:id="rId32" display="mailto:info@alliancefinance.lk" xr:uid="{00000000-0004-0000-0400-00001F000000}"/>
    <hyperlink ref="AZ140" r:id="rId33" display="http://www.alliancefinance.lk/" xr:uid="{00000000-0004-0000-0400-000020000000}"/>
    <hyperlink ref="AZ143" r:id="rId34" display="http://www.amwltd.lk/" xr:uid="{00000000-0004-0000-0400-000021000000}"/>
    <hyperlink ref="AZ145" r:id="rId35" display="mailto:bedej@arpicofinance.com" xr:uid="{00000000-0004-0000-0400-000022000000}"/>
    <hyperlink ref="AZ146" r:id="rId36" display="http://www.arpicofinance.lk/" xr:uid="{00000000-0004-0000-0400-000023000000}"/>
    <hyperlink ref="AZ148" r:id="rId37" display="mailto:info@asiaassetfinance.lk" xr:uid="{00000000-0004-0000-0400-000024000000}"/>
    <hyperlink ref="AZ151" r:id="rId38" display="mailto:afl@asianfinance.lk" xr:uid="{00000000-0004-0000-0400-000025000000}"/>
    <hyperlink ref="AZ154" r:id="rId39" display="mailto:amfcoltd@sltnet.lk" xr:uid="{00000000-0004-0000-0400-000026000000}"/>
    <hyperlink ref="AZ157" r:id="rId40" display="mailto:bartfsl@bartleet.com" xr:uid="{00000000-0004-0000-0400-000027000000}"/>
    <hyperlink ref="AZ158" r:id="rId41" display="http://www.batrleetgroup.com/" xr:uid="{00000000-0004-0000-0400-000028000000}"/>
    <hyperlink ref="AZ160" r:id="rId42" display="mailto:bimputhlanka@daya-group.com" xr:uid="{00000000-0004-0000-0400-000029000000}"/>
    <hyperlink ref="AZ161" r:id="rId43" display="http://www.dayagroupofcompanies.com/" xr:uid="{00000000-0004-0000-0400-00002A000000}"/>
    <hyperlink ref="AZ163" r:id="rId44" display="mailto:silvereenkandy@sltnet.lk" xr:uid="{00000000-0004-0000-0400-00002B000000}"/>
    <hyperlink ref="AZ164" r:id="rId45" display="http://www.cbsl.gov.lk/htm/english/05_fss/popup/" xr:uid="{00000000-0004-0000-0400-00002C000000}"/>
    <hyperlink ref="AZ166" r:id="rId46" display="mailto:cenfin@cf.lk" xr:uid="{00000000-0004-0000-0400-00002D000000}"/>
    <hyperlink ref="AZ167" r:id="rId47" display="http://www.cf.lk/" xr:uid="{00000000-0004-0000-0400-00002E000000}"/>
    <hyperlink ref="AZ169" r:id="rId48" display="mailto:cifl@cifl.lk" xr:uid="{00000000-0004-0000-0400-00002F000000}"/>
    <hyperlink ref="AZ170" r:id="rId49" display="http://www.cifl.lk/" xr:uid="{00000000-0004-0000-0400-000030000000}"/>
    <hyperlink ref="AZ172" r:id="rId50" display="mailto:chifinco@gmail.com" xr:uid="{00000000-0004-0000-0400-000031000000}"/>
    <hyperlink ref="AZ175" r:id="rId51" display="mailto:cdb@cdb.lk" xr:uid="{00000000-0004-0000-0400-000032000000}"/>
    <hyperlink ref="AZ176" r:id="rId52" display="http://www.cdb.lk/" xr:uid="{00000000-0004-0000-0400-000033000000}"/>
    <hyperlink ref="AZ178" r:id="rId53" display="mailto:infoifl@infinltd.lk" xr:uid="{00000000-0004-0000-0400-000034000000}"/>
    <hyperlink ref="AZ179" r:id="rId54" display="http://www.ifl.lk/" xr:uid="{00000000-0004-0000-0400-000035000000}"/>
    <hyperlink ref="AZ181" r:id="rId55" display="mailto:ccl@cclk.lk" xr:uid="{00000000-0004-0000-0400-000036000000}"/>
    <hyperlink ref="AZ182" r:id="rId56" display="http://www.cclk.lk/" xr:uid="{00000000-0004-0000-0400-000037000000}"/>
    <hyperlink ref="AZ184" r:id="rId57" display="mailto:clc@.lk" xr:uid="{00000000-0004-0000-0400-000038000000}"/>
    <hyperlink ref="AZ185" r:id="rId58" display="http://www.clc.lk/" xr:uid="{00000000-0004-0000-0400-000039000000}"/>
    <hyperlink ref="AZ187" r:id="rId59" display="mailto:info@divasafinance.lk" xr:uid="{00000000-0004-0000-0400-00003A000000}"/>
    <hyperlink ref="AZ188" r:id="rId60" display="http://www.divasafinance.lk/" xr:uid="{00000000-0004-0000-0400-00003B000000}"/>
    <hyperlink ref="AZ190" r:id="rId61" display="mailto:info@eti.lk" xr:uid="{00000000-0004-0000-0400-00003C000000}"/>
    <hyperlink ref="AZ191" r:id="rId62" display="http://www.eti.lk/" xr:uid="{00000000-0004-0000-0400-00003D000000}"/>
    <hyperlink ref="AZ193" r:id="rId63" display="mailto:chandrin@kanrich.lk" xr:uid="{00000000-0004-0000-0400-00003E000000}"/>
    <hyperlink ref="AZ194" r:id="rId64" display="http://www.kanrich.lk/" xr:uid="{00000000-0004-0000-0400-00003F000000}"/>
    <hyperlink ref="AZ196" r:id="rId65" display="mailto:mail@lbfinance.lk" xr:uid="{00000000-0004-0000-0400-000040000000}"/>
    <hyperlink ref="AZ197" r:id="rId66" display="http://www.lbfinance.com/" xr:uid="{00000000-0004-0000-0400-000041000000}"/>
    <hyperlink ref="AZ199" r:id="rId67" display="mailto:lofin@lankaorix.com" xr:uid="{00000000-0004-0000-0400-000042000000}"/>
    <hyperlink ref="AZ200" r:id="rId68" display="http://www.lankaorix.com/" xr:uid="{00000000-0004-0000-0400-000043000000}"/>
    <hyperlink ref="AZ202" r:id="rId69" display="mailto:mercantile@mi.com.lk" xr:uid="{00000000-0004-0000-0400-000044000000}"/>
    <hyperlink ref="AZ203" r:id="rId70" display="http://www.mi.com.lk/" xr:uid="{00000000-0004-0000-0400-000045000000}"/>
    <hyperlink ref="AZ205" r:id="rId71" display="mailto:mcsl@mbslbank.com" xr:uid="{00000000-0004-0000-0400-000046000000}"/>
    <hyperlink ref="AZ206" r:id="rId72" display="http://www.mcsl.lk/" xr:uid="{00000000-0004-0000-0400-000047000000}"/>
    <hyperlink ref="AZ208" r:id="rId73" display="mailto:info@themultifinance.com" xr:uid="{00000000-0004-0000-0400-000048000000}"/>
    <hyperlink ref="AZ209" r:id="rId74" display="http://www.mcsl.lk/" xr:uid="{00000000-0004-0000-0400-000049000000}"/>
    <hyperlink ref="AZ211" r:id="rId75" display="mailto:info@nifl.lk" xr:uid="{00000000-0004-0000-0400-00004A000000}"/>
    <hyperlink ref="AZ214" r:id="rId76" display="mailto:bede@nflplc.com" xr:uid="{00000000-0004-0000-0400-00004B000000}"/>
    <hyperlink ref="AZ215" r:id="rId77" display="http://www.cbsl.gov.lk/htm/english/05_fss/popup/www.nflplc.lk/" xr:uid="{00000000-0004-0000-0400-00004C000000}"/>
    <hyperlink ref="AZ217" r:id="rId78" display="mailto:dinindus@plc.lk" xr:uid="{00000000-0004-0000-0400-00004D000000}"/>
    <hyperlink ref="AZ220" r:id="rId79" display="mailto:senk@senfin.com" xr:uid="{00000000-0004-0000-0400-00004E000000}"/>
    <hyperlink ref="AZ221" r:id="rId80" display="http://www.senfin.com/" xr:uid="{00000000-0004-0000-0400-00004F000000}"/>
    <hyperlink ref="AZ223" r:id="rId81" display="mailto:financecompany@singersl.com" xr:uid="{00000000-0004-0000-0400-000050000000}"/>
    <hyperlink ref="AZ224" r:id="rId82" display="http://www.singersl.com/" xr:uid="{00000000-0004-0000-0400-000051000000}"/>
    <hyperlink ref="AZ226" r:id="rId83" display="mailto:info@sinhaputhra.lk" xr:uid="{00000000-0004-0000-0400-000052000000}"/>
    <hyperlink ref="AZ227" r:id="rId84" display="http://www.sinhaputhra.lk/" xr:uid="{00000000-0004-0000-0400-000053000000}"/>
    <hyperlink ref="AZ229" r:id="rId85" display="mailto:info@softlogicfinance.lk" xr:uid="{00000000-0004-0000-0400-000054000000}"/>
    <hyperlink ref="AZ230" r:id="rId86" display="http://www.softlogicfinance.lk/" xr:uid="{00000000-0004-0000-0400-000055000000}"/>
    <hyperlink ref="AZ232" r:id="rId87" display="mailto:info@sfs.lk" xr:uid="{00000000-0004-0000-0400-000056000000}"/>
    <hyperlink ref="AZ233" r:id="rId88" display="http://www.sfs.lk/" xr:uid="{00000000-0004-0000-0400-000057000000}"/>
    <hyperlink ref="AZ235" r:id="rId89" display="mailto:info@fglk.com" xr:uid="{00000000-0004-0000-0400-000058000000}"/>
    <hyperlink ref="AZ236" r:id="rId90" display="http://www.fglk.com/" xr:uid="{00000000-0004-0000-0400-000059000000}"/>
    <hyperlink ref="AZ238" r:id="rId91" display="mailto:smi@thefinance.lk" xr:uid="{00000000-0004-0000-0400-00005A000000}"/>
    <hyperlink ref="AZ239" r:id="rId92" display="http://www.thefinance.lk/" xr:uid="{00000000-0004-0000-0400-00005B000000}"/>
    <hyperlink ref="AZ242" r:id="rId93" display="mailto:infomail@cir.lk" xr:uid="{00000000-0004-0000-0400-00005C000000}"/>
    <hyperlink ref="AZ245" r:id="rId94" display="mailto:tradefi@lankabiz.net" xr:uid="{00000000-0004-0000-0400-00005D000000}"/>
    <hyperlink ref="AZ248" r:id="rId95" display="mailto:info@vallibelfinance.com" xr:uid="{00000000-0004-0000-0400-00005E000000}"/>
    <hyperlink ref="AZ251" r:id="rId96" display="mailto:kushantha@dpmco.com" xr:uid="{00000000-0004-0000-0400-00005F000000}"/>
    <hyperlink ref="AZ252" r:id="rId97" display="http://www.assetline.lk/" xr:uid="{00000000-0004-0000-0400-000060000000}"/>
    <hyperlink ref="AZ254" r:id="rId98" display="mailto:%20ceylease@ceylease.lk" xr:uid="{00000000-0004-0000-0400-000061000000}"/>
    <hyperlink ref="AZ257" r:id="rId99" display="mailto:info@cooplease.com" xr:uid="{00000000-0004-0000-0400-000062000000}"/>
    <hyperlink ref="AZ258" r:id="rId100" display="http://www.cooplease.com./" xr:uid="{00000000-0004-0000-0400-000063000000}"/>
    <hyperlink ref="AZ260" r:id="rId101" display="mailto:indrafinance@sltnet.lk" xr:uid="{00000000-0004-0000-0400-000064000000}"/>
    <hyperlink ref="AZ263" r:id="rId102" display="mailto:lmewijesuriya@gmail.lk" xr:uid="{00000000-0004-0000-0400-000065000000}"/>
    <hyperlink ref="AZ266" r:id="rId103" display="mailto:koshilea@sltnet.lk" xr:uid="{00000000-0004-0000-0400-000066000000}"/>
    <hyperlink ref="AZ269" r:id="rId104" display="mailto:lisvin@lisvin.com" xr:uid="{00000000-0004-0000-0400-000067000000}"/>
    <hyperlink ref="AZ272" r:id="rId105" display="mailto:chrishathi@lankaorix.com" xr:uid="{00000000-0004-0000-0400-000068000000}"/>
    <hyperlink ref="AZ275" r:id="rId106" display="mailto:mbslbank@mbslbank.com" xr:uid="{00000000-0004-0000-0400-000069000000}"/>
    <hyperlink ref="AZ278" r:id="rId107" display="mailto:orientleasing@sltnet.lk" xr:uid="{00000000-0004-0000-0400-00006A000000}"/>
    <hyperlink ref="AZ281" r:id="rId108" display="mailto:dpkumarage@plc.lk" xr:uid="{00000000-0004-0000-0400-00006B000000}"/>
    <hyperlink ref="AZ284" r:id="rId109" display="mailto:info@pmb.lk" xr:uid="{00000000-0004-0000-0400-00006C000000}"/>
    <hyperlink ref="AZ285" r:id="rId110" display="http://www.peoplesmerchantbank.lk/" xr:uid="{00000000-0004-0000-0400-00006D000000}"/>
    <hyperlink ref="AZ287" r:id="rId111" display="mailto:roshan@sampath-slfl.lk" xr:uid="{00000000-0004-0000-0400-00006E000000}"/>
    <hyperlink ref="AZ290" r:id="rId112" display="mailto:smbhed@sltnet.lk" xr:uid="{00000000-0004-0000-0400-00006F000000}"/>
    <hyperlink ref="AZ291" r:id="rId113" display="http://www.smblk.com/" xr:uid="{00000000-0004-0000-0400-000070000000}"/>
    <hyperlink ref="AZ293" r:id="rId114" display="mailto:credit@softlogicfinance.lk" xr:uid="{00000000-0004-0000-04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3"/>
  <sheetViews>
    <sheetView showGridLines="0" workbookViewId="0">
      <selection activeCell="C12" sqref="C12"/>
    </sheetView>
  </sheetViews>
  <sheetFormatPr defaultColWidth="7.26953125" defaultRowHeight="12.5" zeroHeight="1" x14ac:dyDescent="0.25"/>
  <cols>
    <col min="1" max="1" width="9.1796875" customWidth="1"/>
    <col min="2" max="2" width="15.26953125" customWidth="1"/>
    <col min="3" max="3" width="16.7265625" customWidth="1"/>
    <col min="4" max="6" width="9.1796875" customWidth="1"/>
    <col min="7" max="7" width="18.7265625" bestFit="1" customWidth="1"/>
    <col min="8" max="8" width="10.81640625" bestFit="1" customWidth="1"/>
    <col min="9" max="9" width="32.81640625" customWidth="1"/>
    <col min="10" max="10" width="15.7265625" customWidth="1"/>
    <col min="11" max="17" width="9.1796875" customWidth="1"/>
    <col min="18" max="18" width="13.54296875" customWidth="1"/>
    <col min="19" max="19" width="13.1796875" customWidth="1"/>
    <col min="20" max="255" width="9.1796875" customWidth="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538</v>
      </c>
      <c r="H2" s="741">
        <f>C4*1.75%</f>
        <v>21000.000000000004</v>
      </c>
      <c r="I2" s="739"/>
      <c r="J2" s="739"/>
      <c r="K2" s="739"/>
      <c r="L2" s="739" t="s">
        <v>38</v>
      </c>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-1.1122448979591958E-2</v>
      </c>
      <c r="G3" s="740" t="s">
        <v>30</v>
      </c>
      <c r="H3" s="741">
        <f>H4-H2</f>
        <v>-233.57142857143117</v>
      </c>
      <c r="I3" s="739"/>
      <c r="J3" s="739"/>
      <c r="K3" s="739"/>
      <c r="L3" s="739">
        <v>2000</v>
      </c>
      <c r="M3" s="739">
        <v>6</v>
      </c>
      <c r="N3" s="739"/>
      <c r="O3" s="739"/>
      <c r="P3" s="739"/>
      <c r="Q3" s="739"/>
      <c r="R3" s="957" t="s">
        <v>548</v>
      </c>
      <c r="S3" s="957"/>
      <c r="T3" s="739"/>
      <c r="U3" s="739"/>
      <c r="V3" s="739"/>
      <c r="W3" s="739"/>
      <c r="X3" s="739"/>
      <c r="Y3" s="739"/>
      <c r="Z3" s="739"/>
      <c r="AA3" s="739"/>
      <c r="AB3" s="739"/>
      <c r="AC3" s="739"/>
      <c r="AD3" s="739"/>
      <c r="AE3" s="739"/>
    </row>
    <row r="4" spans="1:31" ht="15.5" x14ac:dyDescent="0.25">
      <c r="A4" s="739"/>
      <c r="B4" s="743" t="s">
        <v>539</v>
      </c>
      <c r="C4" s="761">
        <f>Quote!Q16</f>
        <v>1200000</v>
      </c>
      <c r="D4" s="739"/>
      <c r="E4" s="739"/>
      <c r="F4" s="739"/>
      <c r="G4" s="740"/>
      <c r="H4" s="744">
        <f>H8-H7-H5-H6</f>
        <v>20766.428571428572</v>
      </c>
      <c r="I4" s="739"/>
      <c r="J4" s="739"/>
      <c r="K4" s="739">
        <v>100</v>
      </c>
      <c r="L4" s="739">
        <v>10000</v>
      </c>
      <c r="M4" s="739">
        <v>12</v>
      </c>
      <c r="N4" s="739"/>
      <c r="O4" s="739"/>
      <c r="P4" s="739"/>
      <c r="Q4" s="739"/>
      <c r="R4" s="745">
        <v>300000</v>
      </c>
      <c r="S4" s="767">
        <v>1750</v>
      </c>
      <c r="T4" s="739"/>
      <c r="U4" s="739"/>
      <c r="V4" s="739"/>
      <c r="W4" s="739"/>
      <c r="X4" s="739"/>
      <c r="Y4" s="739"/>
      <c r="Z4" s="739"/>
      <c r="AA4" s="739"/>
      <c r="AB4" s="739"/>
      <c r="AC4" s="739"/>
      <c r="AD4" s="739"/>
      <c r="AE4" s="739"/>
    </row>
    <row r="5" spans="1:31" ht="15.5" x14ac:dyDescent="0.25">
      <c r="A5" s="739"/>
      <c r="B5" s="743"/>
      <c r="C5" s="743"/>
      <c r="D5" s="739"/>
      <c r="E5" s="739"/>
      <c r="F5" s="774">
        <f>Quote!R36</f>
        <v>100000</v>
      </c>
      <c r="G5" s="740" t="s">
        <v>38</v>
      </c>
      <c r="H5" s="756">
        <f>VLOOKUP(F5,L3:M10,2,FALSE)*3</f>
        <v>165</v>
      </c>
      <c r="I5" s="746"/>
      <c r="J5" s="739"/>
      <c r="K5" s="739">
        <v>25</v>
      </c>
      <c r="L5" s="739">
        <v>20000</v>
      </c>
      <c r="M5" s="739">
        <v>20</v>
      </c>
      <c r="N5" s="739"/>
      <c r="O5" s="739"/>
      <c r="P5" s="739"/>
      <c r="Q5" s="739"/>
      <c r="R5" s="745">
        <v>400000</v>
      </c>
      <c r="S5" s="767">
        <v>2000</v>
      </c>
      <c r="T5" s="739"/>
      <c r="U5" s="739"/>
      <c r="V5" s="739"/>
      <c r="W5" s="739"/>
      <c r="X5" s="739"/>
      <c r="Y5" s="739"/>
      <c r="Z5" s="739"/>
      <c r="AA5" s="739"/>
      <c r="AB5" s="739"/>
      <c r="AC5" s="739"/>
      <c r="AD5" s="739"/>
      <c r="AE5" s="739"/>
    </row>
    <row r="6" spans="1:31" ht="15.5" x14ac:dyDescent="0.25">
      <c r="A6" s="739"/>
      <c r="B6" s="743" t="s">
        <v>540</v>
      </c>
      <c r="C6" s="747">
        <f ca="1">H18*Administration!IR9</f>
        <v>14953</v>
      </c>
      <c r="D6" s="739"/>
      <c r="E6" s="739"/>
      <c r="G6" s="740" t="s">
        <v>17</v>
      </c>
      <c r="H6" s="756">
        <f>XXWorking!M25</f>
        <v>220</v>
      </c>
      <c r="J6" s="739"/>
      <c r="K6" s="739">
        <v>75</v>
      </c>
      <c r="L6" s="739">
        <v>50000</v>
      </c>
      <c r="M6" s="739">
        <v>30</v>
      </c>
      <c r="N6" s="739"/>
      <c r="O6" s="739"/>
      <c r="P6" s="739"/>
      <c r="Q6" s="739"/>
      <c r="R6" s="745">
        <v>500000</v>
      </c>
      <c r="S6" s="767">
        <v>2000</v>
      </c>
      <c r="T6" s="739"/>
      <c r="U6" s="739"/>
      <c r="V6" s="739"/>
      <c r="W6" s="739"/>
      <c r="X6" s="739"/>
      <c r="Y6" s="739"/>
      <c r="Z6" s="739"/>
      <c r="AA6" s="739"/>
      <c r="AB6" s="739"/>
      <c r="AC6" s="739"/>
      <c r="AD6" s="739"/>
      <c r="AE6" s="739"/>
    </row>
    <row r="7" spans="1:31" ht="15.5" x14ac:dyDescent="0.25">
      <c r="A7" s="739"/>
      <c r="B7" s="743" t="s">
        <v>541</v>
      </c>
      <c r="C7" s="748">
        <f ca="1">(MAX(750,C6*2.5%))+250</f>
        <v>1000</v>
      </c>
      <c r="D7" s="739"/>
      <c r="E7" s="739"/>
      <c r="F7" s="742">
        <f>H7/(H4+H5+H6)</f>
        <v>-0.64999999999999991</v>
      </c>
      <c r="G7" s="740" t="s">
        <v>0</v>
      </c>
      <c r="H7" s="741">
        <f>-H8/35*65</f>
        <v>-13748.428571428571</v>
      </c>
      <c r="I7" s="739"/>
      <c r="J7" s="739"/>
      <c r="K7" s="739"/>
      <c r="L7" s="739">
        <v>100000</v>
      </c>
      <c r="M7" s="739">
        <v>55</v>
      </c>
      <c r="N7" s="739"/>
      <c r="O7" s="739"/>
      <c r="P7" s="739"/>
      <c r="Q7" s="739"/>
      <c r="R7" s="745">
        <v>550000</v>
      </c>
      <c r="S7" s="767">
        <v>2000</v>
      </c>
      <c r="T7" s="739"/>
      <c r="U7" s="739"/>
      <c r="V7" s="739"/>
      <c r="W7" s="739"/>
      <c r="X7" s="739"/>
      <c r="Y7" s="739"/>
      <c r="Z7" s="739"/>
      <c r="AA7" s="739"/>
      <c r="AB7" s="739"/>
      <c r="AC7" s="739"/>
      <c r="AD7" s="739"/>
      <c r="AE7" s="739"/>
    </row>
    <row r="8" spans="1:31" ht="15.5" x14ac:dyDescent="0.25">
      <c r="A8" s="763">
        <f ca="1">C8/C6</f>
        <v>0.13375242426268977</v>
      </c>
      <c r="B8" s="762" t="s">
        <v>547</v>
      </c>
      <c r="C8" s="764">
        <f ca="1">MIN(D8,2000)</f>
        <v>2000</v>
      </c>
      <c r="D8" s="739">
        <f ca="1">ROUNDDOWN((C6*33%)/50,0)*50</f>
        <v>4900</v>
      </c>
      <c r="E8" s="739"/>
      <c r="F8" s="739"/>
      <c r="G8" s="740"/>
      <c r="H8" s="744">
        <f>H18-SUM(H10:H16)</f>
        <v>7403</v>
      </c>
      <c r="I8" s="739"/>
      <c r="J8" s="739"/>
      <c r="K8" s="739"/>
      <c r="L8" s="739">
        <v>200000</v>
      </c>
      <c r="M8" s="739">
        <v>105</v>
      </c>
      <c r="N8" s="739"/>
      <c r="O8" s="739"/>
      <c r="P8" s="739"/>
      <c r="Q8" s="739"/>
      <c r="R8" s="745"/>
      <c r="S8" s="767"/>
      <c r="T8" s="739"/>
      <c r="U8" s="739"/>
      <c r="V8" s="739"/>
      <c r="W8" s="739"/>
      <c r="X8" s="739"/>
      <c r="Y8" s="739"/>
      <c r="Z8" s="739"/>
      <c r="AA8" s="739"/>
      <c r="AB8" s="739"/>
      <c r="AC8" s="739"/>
      <c r="AD8" s="739"/>
      <c r="AE8" s="739"/>
    </row>
    <row r="9" spans="1:31" ht="15.5" x14ac:dyDescent="0.25">
      <c r="A9" s="763">
        <v>2.5000000000000001E-2</v>
      </c>
      <c r="B9" s="762" t="s">
        <v>555</v>
      </c>
      <c r="C9" s="748">
        <f ca="1">SUM(C6:C8)*A9</f>
        <v>448.82500000000005</v>
      </c>
      <c r="D9" s="739"/>
      <c r="E9" s="739"/>
      <c r="F9" s="739"/>
      <c r="G9" s="740"/>
      <c r="H9" s="744"/>
      <c r="I9" s="739"/>
      <c r="J9" s="739"/>
      <c r="K9" s="739"/>
      <c r="L9" s="739">
        <v>500000</v>
      </c>
      <c r="M9" s="739">
        <v>295</v>
      </c>
      <c r="N9" s="739"/>
      <c r="O9" s="739"/>
      <c r="P9" s="739"/>
      <c r="Q9" s="739"/>
      <c r="R9" s="745"/>
      <c r="S9" s="767"/>
      <c r="T9" s="739"/>
      <c r="U9" s="739"/>
      <c r="V9" s="739"/>
      <c r="W9" s="739"/>
      <c r="X9" s="739"/>
      <c r="Y9" s="739"/>
      <c r="Z9" s="739"/>
      <c r="AA9" s="739"/>
      <c r="AB9" s="739"/>
      <c r="AC9" s="739"/>
      <c r="AD9" s="739"/>
      <c r="AE9" s="739"/>
    </row>
    <row r="10" spans="1:31" ht="15.5" x14ac:dyDescent="0.25">
      <c r="A10" s="775">
        <v>0.18</v>
      </c>
      <c r="B10" s="743" t="s">
        <v>1</v>
      </c>
      <c r="C10" s="747">
        <f ca="1">(C6+C7+C9+C8)*18%</f>
        <v>3312.3285000000001</v>
      </c>
      <c r="D10" s="739"/>
      <c r="E10" s="739"/>
      <c r="F10" s="739"/>
      <c r="G10" s="740" t="s">
        <v>542</v>
      </c>
      <c r="H10" s="741">
        <f>C4*0.25%</f>
        <v>3000</v>
      </c>
      <c r="I10" s="739"/>
      <c r="J10" s="739"/>
      <c r="K10" s="739"/>
      <c r="L10" s="739">
        <v>1000000</v>
      </c>
      <c r="M10" s="739">
        <v>550</v>
      </c>
      <c r="N10" s="739"/>
      <c r="O10" s="739"/>
      <c r="P10" s="739"/>
      <c r="Q10" s="739"/>
      <c r="R10" s="745"/>
      <c r="S10" s="757">
        <v>1.1347131445170661E-2</v>
      </c>
      <c r="T10" s="739"/>
      <c r="U10" s="739"/>
      <c r="V10" s="739"/>
      <c r="W10" s="739"/>
      <c r="X10" s="739"/>
      <c r="Y10" s="739"/>
      <c r="Z10" s="739"/>
      <c r="AA10" s="739"/>
      <c r="AB10" s="739"/>
      <c r="AC10" s="739"/>
      <c r="AD10" s="739"/>
      <c r="AE10" s="739"/>
    </row>
    <row r="11" spans="1:31" ht="14" x14ac:dyDescent="0.25">
      <c r="A11" s="739"/>
      <c r="B11" s="743" t="s">
        <v>544</v>
      </c>
      <c r="C11" s="749">
        <f ca="1">SUM(C6:C10)*Administration!IR9</f>
        <v>21714.1535</v>
      </c>
      <c r="D11" s="739"/>
      <c r="E11" s="739"/>
      <c r="F11" s="739"/>
      <c r="G11" s="740" t="s">
        <v>543</v>
      </c>
      <c r="H11" s="741">
        <f>C4*0.0625%</f>
        <v>750</v>
      </c>
      <c r="I11" s="739"/>
      <c r="J11" s="739"/>
      <c r="K11" s="739"/>
      <c r="L11" s="739" t="s">
        <v>17</v>
      </c>
      <c r="M11" s="739"/>
      <c r="N11" s="739"/>
      <c r="O11" s="739"/>
      <c r="P11" s="739"/>
      <c r="Q11" s="739"/>
      <c r="R11" s="739"/>
      <c r="S11" s="739"/>
      <c r="T11" s="739"/>
      <c r="U11" s="739"/>
      <c r="V11" s="739"/>
      <c r="W11" s="739"/>
      <c r="X11" s="739"/>
      <c r="Y11" s="739"/>
      <c r="Z11" s="739"/>
      <c r="AA11" s="739"/>
      <c r="AB11" s="739"/>
      <c r="AC11" s="739"/>
      <c r="AD11" s="739"/>
      <c r="AE11" s="739"/>
    </row>
    <row r="12" spans="1:31" ht="15.5" x14ac:dyDescent="0.25">
      <c r="A12" s="739"/>
      <c r="B12" s="743"/>
      <c r="C12" s="743"/>
      <c r="D12" s="739"/>
      <c r="E12" s="739"/>
      <c r="F12" s="739"/>
      <c r="G12" s="740" t="s">
        <v>551</v>
      </c>
      <c r="H12" s="741">
        <f>IF(Quote!L35="Yes",600,0)</f>
        <v>600</v>
      </c>
      <c r="J12" s="739"/>
      <c r="K12" s="739"/>
      <c r="L12" s="739">
        <v>300000</v>
      </c>
      <c r="M12" s="739">
        <v>700</v>
      </c>
      <c r="N12" s="739"/>
      <c r="O12" s="739"/>
      <c r="P12" s="739"/>
      <c r="Q12" s="739"/>
      <c r="R12" s="769">
        <f>IF(C4&lt;550000,S13,S12)</f>
        <v>1.2120000000000001E-2</v>
      </c>
      <c r="S12" s="757">
        <v>1.2120000000000001E-2</v>
      </c>
      <c r="T12" s="739"/>
      <c r="U12" s="739"/>
      <c r="V12" s="739"/>
      <c r="W12" s="739"/>
      <c r="X12" s="739"/>
      <c r="Y12" s="739"/>
      <c r="Z12" s="739"/>
      <c r="AA12" s="739"/>
      <c r="AB12" s="739"/>
      <c r="AC12" s="739"/>
      <c r="AD12" s="739"/>
      <c r="AE12" s="739"/>
    </row>
    <row r="13" spans="1:31" x14ac:dyDescent="0.25">
      <c r="A13" s="739"/>
      <c r="B13" s="751"/>
      <c r="C13" s="751"/>
      <c r="D13" s="739"/>
      <c r="E13" s="739"/>
      <c r="F13" s="739"/>
      <c r="G13" s="740" t="s">
        <v>545</v>
      </c>
      <c r="H13" s="741">
        <f>H2*10%</f>
        <v>2100.0000000000005</v>
      </c>
      <c r="I13" s="739"/>
      <c r="J13" s="754" t="s">
        <v>550</v>
      </c>
      <c r="K13" s="739"/>
      <c r="L13" s="739">
        <v>500000</v>
      </c>
      <c r="M13" s="739">
        <v>1100</v>
      </c>
      <c r="N13" s="739"/>
      <c r="O13" s="739"/>
      <c r="P13" s="739"/>
      <c r="Q13" s="739">
        <f>IF(C4&lt;550000,(550000-C4)/10000,0)</f>
        <v>0</v>
      </c>
      <c r="R13" s="765">
        <f>IF(C4&lt;550000,(1.212%*550000)-(100*Q13),0)</f>
        <v>0</v>
      </c>
      <c r="S13" s="766">
        <f>R13/C4</f>
        <v>0</v>
      </c>
      <c r="T13" s="739"/>
      <c r="U13" s="739"/>
      <c r="V13" s="739"/>
      <c r="W13" s="739"/>
      <c r="X13" s="739"/>
      <c r="Y13" s="739"/>
      <c r="Z13" s="739"/>
      <c r="AA13" s="739"/>
      <c r="AB13" s="739"/>
      <c r="AC13" s="739"/>
      <c r="AD13" s="739"/>
      <c r="AE13" s="739"/>
    </row>
    <row r="14" spans="1:31" ht="13" x14ac:dyDescent="0.25">
      <c r="A14" s="739"/>
      <c r="B14" s="739"/>
      <c r="C14" s="739"/>
      <c r="D14" s="739"/>
      <c r="E14" s="739"/>
      <c r="G14" s="740" t="s">
        <v>546</v>
      </c>
      <c r="H14" s="741"/>
      <c r="I14" s="758" t="s">
        <v>549</v>
      </c>
      <c r="J14" s="768">
        <f>(C4*R12)+B16</f>
        <v>14544</v>
      </c>
      <c r="K14" s="739"/>
      <c r="L14" s="739">
        <v>1000000</v>
      </c>
      <c r="M14" s="739">
        <v>2200</v>
      </c>
      <c r="N14" s="739"/>
      <c r="O14" s="739"/>
      <c r="P14" s="739"/>
      <c r="Q14" s="739"/>
      <c r="R14" s="739"/>
      <c r="S14" s="739"/>
      <c r="T14" s="739"/>
      <c r="U14" s="739"/>
      <c r="V14" s="739"/>
      <c r="W14" s="739"/>
      <c r="X14" s="739"/>
      <c r="Y14" s="739"/>
      <c r="Z14" s="739"/>
      <c r="AA14" s="739"/>
      <c r="AB14" s="739"/>
      <c r="AC14" s="739"/>
      <c r="AD14" s="739"/>
      <c r="AE14" s="739"/>
    </row>
    <row r="15" spans="1:31" x14ac:dyDescent="0.25">
      <c r="A15" s="739"/>
      <c r="B15" s="739"/>
      <c r="C15" s="739"/>
      <c r="D15" s="739"/>
      <c r="E15" s="739"/>
      <c r="F15" s="739"/>
      <c r="G15" s="740" t="s">
        <v>37</v>
      </c>
      <c r="H15" s="750">
        <f>VLOOKUP(Quote!R33,'Pre-Working'!L12:M14,2,FALSE)</f>
        <v>1100</v>
      </c>
      <c r="I15" s="739"/>
      <c r="J15" s="739"/>
      <c r="K15" s="739"/>
      <c r="L15" s="739"/>
      <c r="M15" s="739"/>
      <c r="N15" s="739"/>
      <c r="O15" s="739"/>
      <c r="P15" s="739"/>
      <c r="Q15" s="739"/>
      <c r="R15" s="739"/>
      <c r="S15" s="739"/>
      <c r="T15" s="739"/>
      <c r="U15" s="739"/>
      <c r="V15" s="739"/>
      <c r="W15" s="739"/>
      <c r="X15" s="739"/>
      <c r="Y15" s="739"/>
      <c r="Z15" s="739"/>
      <c r="AA15" s="739"/>
      <c r="AB15" s="739"/>
      <c r="AC15" s="739"/>
      <c r="AD15" s="739"/>
      <c r="AE15" s="739"/>
    </row>
    <row r="16" spans="1:31" ht="14" x14ac:dyDescent="0.3">
      <c r="A16" s="771">
        <f ca="1">TODAY()</f>
        <v>45346</v>
      </c>
      <c r="B16" s="770"/>
      <c r="C16" s="739"/>
      <c r="D16" s="739"/>
      <c r="E16" s="739"/>
      <c r="F16" s="739"/>
      <c r="G16" s="740" t="s">
        <v>547</v>
      </c>
      <c r="H16" s="750"/>
      <c r="I16" s="739"/>
      <c r="J16" s="746"/>
      <c r="K16" s="739"/>
      <c r="L16" s="739"/>
      <c r="M16" s="739"/>
      <c r="N16" s="739"/>
      <c r="O16" s="739"/>
      <c r="P16" s="739"/>
      <c r="Q16" s="739"/>
      <c r="R16" s="739"/>
      <c r="S16" s="739"/>
      <c r="T16" s="739"/>
      <c r="U16" s="739"/>
      <c r="V16" s="739"/>
      <c r="W16" s="739"/>
      <c r="X16" s="739"/>
      <c r="Y16" s="739"/>
      <c r="Z16" s="739"/>
      <c r="AA16" s="739"/>
      <c r="AB16" s="739"/>
      <c r="AC16" s="739"/>
      <c r="AD16" s="739"/>
      <c r="AE16" s="739"/>
    </row>
    <row r="17" spans="1:31" x14ac:dyDescent="0.25">
      <c r="A17" s="739"/>
      <c r="B17" s="739"/>
      <c r="C17" s="739"/>
      <c r="D17" s="739"/>
      <c r="E17" s="739"/>
      <c r="G17" s="740"/>
      <c r="I17" s="739"/>
      <c r="J17" s="739"/>
      <c r="K17" s="739"/>
      <c r="L17" s="739"/>
      <c r="M17" s="739"/>
      <c r="N17" s="739"/>
      <c r="O17" s="739"/>
      <c r="P17" s="739"/>
      <c r="Q17" s="739"/>
      <c r="R17" s="739"/>
      <c r="S17" s="739"/>
      <c r="T17" s="739"/>
      <c r="U17" s="739"/>
      <c r="V17" s="739"/>
      <c r="W17" s="739"/>
      <c r="X17" s="739"/>
      <c r="Y17" s="739"/>
      <c r="Z17" s="739"/>
      <c r="AA17" s="739"/>
      <c r="AB17" s="739"/>
      <c r="AC17" s="739"/>
      <c r="AD17" s="739"/>
      <c r="AE17" s="739"/>
    </row>
    <row r="18" spans="1:31" x14ac:dyDescent="0.25">
      <c r="A18" s="739"/>
      <c r="B18" s="739"/>
      <c r="C18" s="739"/>
      <c r="D18" s="739"/>
      <c r="E18" s="739"/>
      <c r="F18" s="739"/>
      <c r="G18" s="740"/>
      <c r="H18" s="752">
        <f>J14+(H15-700)+H6+H5+H12-976+B16</f>
        <v>14953</v>
      </c>
      <c r="I18" s="739"/>
      <c r="J18" s="739"/>
      <c r="K18" s="739"/>
      <c r="L18" s="739"/>
      <c r="M18" s="739"/>
      <c r="N18" s="739"/>
      <c r="O18" s="739"/>
      <c r="P18" s="739"/>
      <c r="Q18" s="739"/>
      <c r="R18" s="739"/>
      <c r="S18" s="739"/>
      <c r="T18" s="739"/>
      <c r="U18" s="739"/>
      <c r="V18" s="739"/>
      <c r="W18" s="739"/>
      <c r="X18" s="739"/>
      <c r="Y18" s="739"/>
      <c r="Z18" s="739"/>
      <c r="AA18" s="739"/>
      <c r="AB18" s="739"/>
      <c r="AC18" s="739"/>
      <c r="AD18" s="739"/>
      <c r="AE18" s="739"/>
    </row>
    <row r="19" spans="1:31" x14ac:dyDescent="0.25">
      <c r="A19" s="739"/>
      <c r="B19" s="739"/>
      <c r="C19" s="739"/>
      <c r="D19" s="739"/>
      <c r="E19" s="739"/>
      <c r="F19" s="739"/>
      <c r="G19" s="743" t="s">
        <v>544</v>
      </c>
      <c r="H19" s="753">
        <f ca="1">C11</f>
        <v>21714.1535</v>
      </c>
      <c r="I19" s="739"/>
      <c r="J19" s="739"/>
      <c r="K19" s="739"/>
      <c r="L19" s="739"/>
      <c r="M19" s="739"/>
      <c r="N19" s="739"/>
      <c r="O19" s="739"/>
      <c r="P19" s="739"/>
      <c r="Q19" s="739"/>
      <c r="R19" s="739"/>
      <c r="S19" s="739"/>
      <c r="T19" s="739"/>
      <c r="U19" s="739"/>
      <c r="V19" s="739"/>
      <c r="W19" s="739"/>
      <c r="X19" s="739"/>
      <c r="Y19" s="739"/>
      <c r="Z19" s="739"/>
      <c r="AA19" s="739"/>
      <c r="AB19" s="739"/>
      <c r="AC19" s="739"/>
      <c r="AD19" s="739"/>
      <c r="AE19" s="739"/>
    </row>
    <row r="20" spans="1:31" x14ac:dyDescent="0.25">
      <c r="A20" s="739"/>
      <c r="B20" s="739"/>
      <c r="C20" s="739"/>
      <c r="D20" s="739"/>
      <c r="E20" s="739"/>
      <c r="F20" s="739"/>
      <c r="G20" s="739"/>
      <c r="H20" s="739"/>
      <c r="I20" s="739"/>
      <c r="J20" s="739"/>
      <c r="K20" s="739"/>
      <c r="L20" s="739"/>
      <c r="M20" s="739"/>
      <c r="N20" s="739"/>
      <c r="O20" s="739"/>
      <c r="P20" s="739"/>
      <c r="Q20" s="739"/>
      <c r="R20" s="739"/>
      <c r="S20" s="739"/>
      <c r="T20" s="739"/>
      <c r="U20" s="739"/>
      <c r="V20" s="739"/>
      <c r="W20" s="739"/>
      <c r="X20" s="739"/>
      <c r="Y20" s="739"/>
      <c r="Z20" s="739"/>
      <c r="AA20" s="739"/>
      <c r="AB20" s="739"/>
      <c r="AC20" s="739"/>
      <c r="AD20" s="739"/>
      <c r="AE20" s="739"/>
    </row>
    <row r="21" spans="1:31" hidden="1" x14ac:dyDescent="0.25">
      <c r="A21" s="739"/>
      <c r="B21" s="739"/>
      <c r="C21" s="739"/>
      <c r="D21" s="739"/>
      <c r="E21" s="739"/>
      <c r="F21" s="739"/>
      <c r="G21" s="739"/>
      <c r="H21" s="739"/>
      <c r="I21" s="739"/>
      <c r="J21" s="739"/>
      <c r="K21" s="739"/>
      <c r="L21" s="739"/>
      <c r="M21" s="739"/>
      <c r="N21" s="739"/>
      <c r="O21" s="739"/>
      <c r="P21" s="739"/>
      <c r="Q21" s="739"/>
      <c r="R21" s="739"/>
      <c r="S21" s="739"/>
      <c r="T21" s="739"/>
      <c r="U21" s="739"/>
      <c r="V21" s="739"/>
      <c r="W21" s="739"/>
      <c r="X21" s="739"/>
      <c r="Y21" s="739"/>
      <c r="Z21" s="739"/>
      <c r="AA21" s="739"/>
      <c r="AB21" s="739"/>
      <c r="AC21" s="739"/>
      <c r="AD21" s="739"/>
      <c r="AE21" s="739"/>
    </row>
    <row r="22" spans="1:31" hidden="1" x14ac:dyDescent="0.25">
      <c r="A22" s="739"/>
      <c r="B22" s="739"/>
      <c r="C22" s="739"/>
      <c r="D22" s="739"/>
      <c r="E22" s="739"/>
      <c r="F22" s="739"/>
      <c r="G22" s="739"/>
      <c r="H22" s="739"/>
      <c r="I22" s="739"/>
      <c r="J22" s="739"/>
      <c r="K22" s="739"/>
      <c r="L22" s="739"/>
      <c r="M22" s="739"/>
      <c r="N22" s="739"/>
      <c r="O22" s="739"/>
      <c r="P22" s="739"/>
      <c r="Q22" s="739"/>
      <c r="R22" s="739"/>
      <c r="S22" s="739"/>
      <c r="T22" s="739"/>
      <c r="U22" s="739"/>
      <c r="V22" s="739"/>
      <c r="W22" s="739"/>
      <c r="X22" s="739"/>
      <c r="Y22" s="739"/>
      <c r="Z22" s="739"/>
      <c r="AA22" s="739"/>
      <c r="AB22" s="739"/>
      <c r="AC22" s="739"/>
      <c r="AD22" s="739"/>
      <c r="AE22" s="739"/>
    </row>
    <row r="23" spans="1:31" hidden="1" x14ac:dyDescent="0.25">
      <c r="G23" s="739"/>
      <c r="H23" s="739"/>
    </row>
  </sheetData>
  <sheetProtection algorithmName="SHA-512" hashValue="gVsQEUK+u47umijXjataoOD7gOG2zo/h+JlOmiH8CC6loi7DtLLlIdXSaiGmn85zf5OT0dkvY9dAWEmSn0/cAw==" saltValue="S2Y4dw+G1Dx+2miOO+LXZA==" spinCount="100000" sheet="1" objects="1" scenarios="1"/>
  <mergeCells count="1">
    <mergeCell ref="R3:S3"/>
  </mergeCells>
  <conditionalFormatting sqref="B16">
    <cfRule type="expression" dxfId="0" priority="1" stopIfTrue="1">
      <formula>G17=1</formula>
    </cfRule>
  </conditionalFormatting>
  <dataValidations disablePrompts="1" count="1">
    <dataValidation type="decimal" operator="greaterThanOrEqual" allowBlank="1" showInputMessage="1" showErrorMessage="1" sqref="C4" xr:uid="{00000000-0002-0000-0500-000000000000}">
      <formula1>500000</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Administration</vt:lpstr>
      <vt:lpstr>Rates</vt:lpstr>
      <vt:lpstr>Calculation</vt:lpstr>
      <vt:lpstr>Quote</vt:lpstr>
      <vt:lpstr>XXWorking</vt:lpstr>
      <vt:lpstr>Pre-Working</vt:lpstr>
      <vt:lpstr>Branch</vt:lpstr>
      <vt:lpstr>BRANCHES</vt:lpstr>
      <vt:lpstr>Date</vt:lpstr>
      <vt:lpstr>Month</vt:lpstr>
      <vt:lpstr>PAB</vt:lpstr>
      <vt:lpstr>Administration!Print_Area</vt:lpstr>
      <vt:lpstr>Calculation!Print_Area</vt:lpstr>
      <vt:lpstr>Quote!Print_Area</vt:lpstr>
      <vt:lpstr>Rates!Print_Area</vt:lpstr>
      <vt:lpstr>XXWorking!Print_Area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2023-03-17T11:04:34Z</cp:lastPrinted>
  <dcterms:created xsi:type="dcterms:W3CDTF">2002-11-28T09:30:00Z</dcterms:created>
  <dcterms:modified xsi:type="dcterms:W3CDTF">2024-02-24T17:04:19Z</dcterms:modified>
</cp:coreProperties>
</file>