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s\Documents\8. Cardano StakePool\Cardano Staking\"/>
    </mc:Choice>
  </mc:AlternateContent>
  <xr:revisionPtr revIDLastSave="0" documentId="13_ncr:1_{67CB098C-E026-4C3C-A4C7-6D7951236AA6}" xr6:coauthVersionLast="45" xr6:coauthVersionMax="45" xr10:uidLastSave="{00000000-0000-0000-0000-000000000000}"/>
  <bookViews>
    <workbookView xWindow="-120" yWindow="-120" windowWidth="29040" windowHeight="15840" tabRatio="779" xr2:uid="{0555CF38-D1C2-4BD8-9E20-82DC46488446}"/>
  </bookViews>
  <sheets>
    <sheet name="Rewards_SKY" sheetId="1" r:id="rId1"/>
    <sheet name="SKY" sheetId="33" r:id="rId2"/>
    <sheet name="SKY2" sheetId="36" r:id="rId3"/>
    <sheet name="rho" sheetId="22" r:id="rId4"/>
    <sheet name="Reward mechanism" sheetId="34" r:id="rId5"/>
    <sheet name="2020 Distributions Graph" sheetId="23" r:id="rId6"/>
  </sheets>
  <definedNames>
    <definedName name="ada_price">Rewards_SKY!$C$39</definedName>
    <definedName name="av_epoch_rewards">Rewards_SKY!$C$35</definedName>
    <definedName name="epoch_length">Rewards_SKY!$C$31</definedName>
    <definedName name="fixed_opex">Rewards_SKY!$C$38</definedName>
    <definedName name="nOps">Rewards_SKY!$C$28</definedName>
    <definedName name="op_year">Rewards_SKY!$C$27</definedName>
    <definedName name="performance_fee">Rewards_SKY!$C$41</definedName>
    <definedName name="pledge">Rewards_SKY!$C$42</definedName>
    <definedName name="pool_rewards_AT">Rewards_SKY!$C$44</definedName>
    <definedName name="pool_size">Rewards_SKY!$C$43</definedName>
    <definedName name="poop_performance">Rewards_SKY!$C$40</definedName>
    <definedName name="rho">Rewards_SKY!$C$29</definedName>
    <definedName name="saturation_point">Rewards_SKY!$C$36</definedName>
    <definedName name="staked_ada">Rewards_SKY!$C$34</definedName>
    <definedName name="staking_ratio">Rewards_SKY!$C$33</definedName>
    <definedName name="t.blocks" localSheetId="2">'SKY2'!$C$28</definedName>
    <definedName name="t.blocks">SKY!$C$28</definedName>
    <definedName name="total_supply">Rewards_SKY!$C$32</definedName>
    <definedName name="tr_tax">Rewards_SKY!$C$30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1" l="1"/>
  <c r="C32" i="1"/>
  <c r="C35" i="1"/>
  <c r="C24" i="33" l="1"/>
  <c r="C24" i="36"/>
  <c r="C25" i="36"/>
  <c r="C59" i="1"/>
  <c r="C60" i="1"/>
  <c r="C61" i="1"/>
  <c r="C62" i="1"/>
  <c r="C58" i="1"/>
  <c r="B59" i="1"/>
  <c r="B60" i="1"/>
  <c r="B61" i="1"/>
  <c r="B62" i="1"/>
  <c r="B58" i="1"/>
  <c r="C51" i="1"/>
  <c r="C34" i="1" l="1"/>
  <c r="C52" i="1"/>
  <c r="C53" i="1"/>
  <c r="C54" i="1"/>
  <c r="C55" i="1"/>
  <c r="F4" i="36" l="1"/>
  <c r="G4" i="33"/>
  <c r="F17" i="1"/>
  <c r="C30" i="33" l="1"/>
  <c r="C95" i="33" s="1"/>
  <c r="C48" i="33" l="1"/>
  <c r="C96" i="33"/>
  <c r="C37" i="33"/>
  <c r="C73" i="33"/>
  <c r="C50" i="33"/>
  <c r="C86" i="33"/>
  <c r="C39" i="33"/>
  <c r="C51" i="33"/>
  <c r="C63" i="33"/>
  <c r="C75" i="33"/>
  <c r="C87" i="33"/>
  <c r="C40" i="33"/>
  <c r="C52" i="33"/>
  <c r="C64" i="33"/>
  <c r="C76" i="33"/>
  <c r="C88" i="33"/>
  <c r="C41" i="33"/>
  <c r="C53" i="33"/>
  <c r="C65" i="33"/>
  <c r="C77" i="33"/>
  <c r="C89" i="33"/>
  <c r="C72" i="33"/>
  <c r="C49" i="33"/>
  <c r="C38" i="33"/>
  <c r="C74" i="33"/>
  <c r="C54" i="33"/>
  <c r="C90" i="33"/>
  <c r="C55" i="33"/>
  <c r="C68" i="33"/>
  <c r="C57" i="33"/>
  <c r="C93" i="33"/>
  <c r="C60" i="33"/>
  <c r="C84" i="33"/>
  <c r="C61" i="33"/>
  <c r="C85" i="33"/>
  <c r="C62" i="33"/>
  <c r="C42" i="33"/>
  <c r="C66" i="33"/>
  <c r="C78" i="33"/>
  <c r="C43" i="33"/>
  <c r="C67" i="33"/>
  <c r="C79" i="33"/>
  <c r="C91" i="33"/>
  <c r="C44" i="33"/>
  <c r="C56" i="33"/>
  <c r="C80" i="33"/>
  <c r="C92" i="33"/>
  <c r="C45" i="33"/>
  <c r="C69" i="33"/>
  <c r="C81" i="33"/>
  <c r="C46" i="33"/>
  <c r="C58" i="33"/>
  <c r="C70" i="33"/>
  <c r="C82" i="33"/>
  <c r="C94" i="33"/>
  <c r="C47" i="33"/>
  <c r="C59" i="33"/>
  <c r="C71" i="33"/>
  <c r="C83" i="33"/>
  <c r="C36" i="33"/>
  <c r="D2" i="36"/>
  <c r="E2" i="33" l="1"/>
  <c r="C30" i="36"/>
  <c r="Y21" i="36"/>
  <c r="Q21" i="36"/>
  <c r="R21" i="36" s="1"/>
  <c r="Y20" i="36"/>
  <c r="Q20" i="36"/>
  <c r="R20" i="36" s="1"/>
  <c r="Y19" i="36"/>
  <c r="Q19" i="36"/>
  <c r="R19" i="36" s="1"/>
  <c r="Y18" i="36"/>
  <c r="Y17" i="36"/>
  <c r="Y16" i="36"/>
  <c r="Y15" i="36"/>
  <c r="Y14" i="36"/>
  <c r="Y13" i="36"/>
  <c r="Y12" i="36"/>
  <c r="Y11" i="36"/>
  <c r="Y10" i="36"/>
  <c r="Y9" i="36"/>
  <c r="Y8" i="36"/>
  <c r="Y7" i="36"/>
  <c r="Y6" i="36"/>
  <c r="Y5" i="36"/>
  <c r="V5" i="36"/>
  <c r="V6" i="36" s="1"/>
  <c r="Y4" i="36"/>
  <c r="Q4" i="36"/>
  <c r="R4" i="36" s="1"/>
  <c r="Y3" i="36"/>
  <c r="R3" i="36"/>
  <c r="Q3" i="36"/>
  <c r="Y2" i="36"/>
  <c r="W2" i="36"/>
  <c r="AA2" i="36" s="1"/>
  <c r="R2" i="36"/>
  <c r="Q2" i="36"/>
  <c r="X2" i="36"/>
  <c r="Z2" i="36" l="1"/>
  <c r="Q5" i="36"/>
  <c r="R5" i="36" s="1"/>
  <c r="V7" i="36"/>
  <c r="Q6" i="36"/>
  <c r="R6" i="36" s="1"/>
  <c r="C77" i="36"/>
  <c r="C57" i="36"/>
  <c r="C45" i="36"/>
  <c r="C31" i="36"/>
  <c r="C32" i="36" s="1"/>
  <c r="C33" i="36" s="1"/>
  <c r="C76" i="36"/>
  <c r="C66" i="36"/>
  <c r="C56" i="36"/>
  <c r="C44" i="36"/>
  <c r="C93" i="36"/>
  <c r="C89" i="36"/>
  <c r="C85" i="36"/>
  <c r="C75" i="36"/>
  <c r="C55" i="36"/>
  <c r="C43" i="36"/>
  <c r="C84" i="36"/>
  <c r="C74" i="36"/>
  <c r="C65" i="36"/>
  <c r="C54" i="36"/>
  <c r="C42" i="36"/>
  <c r="C73" i="36"/>
  <c r="C53" i="36"/>
  <c r="C41" i="36"/>
  <c r="C96" i="36"/>
  <c r="C92" i="36"/>
  <c r="C88" i="36"/>
  <c r="C83" i="36"/>
  <c r="C72" i="36"/>
  <c r="C64" i="36"/>
  <c r="C52" i="36"/>
  <c r="C40" i="36"/>
  <c r="C82" i="36"/>
  <c r="C63" i="36"/>
  <c r="C51" i="36"/>
  <c r="C39" i="36"/>
  <c r="C81" i="36"/>
  <c r="C71" i="36"/>
  <c r="C62" i="36"/>
  <c r="C50" i="36"/>
  <c r="C38" i="36"/>
  <c r="C95" i="36"/>
  <c r="C91" i="36"/>
  <c r="C87" i="36"/>
  <c r="C80" i="36"/>
  <c r="C70" i="36"/>
  <c r="C61" i="36"/>
  <c r="C49" i="36"/>
  <c r="C37" i="36"/>
  <c r="C79" i="36"/>
  <c r="C69" i="36"/>
  <c r="C60" i="36"/>
  <c r="C48" i="36"/>
  <c r="C36" i="36"/>
  <c r="C78" i="36"/>
  <c r="C68" i="36"/>
  <c r="C59" i="36"/>
  <c r="C47" i="36"/>
  <c r="C94" i="36"/>
  <c r="C90" i="36"/>
  <c r="C86" i="36"/>
  <c r="C67" i="36"/>
  <c r="C58" i="36"/>
  <c r="C46" i="36"/>
  <c r="V8" i="36" l="1"/>
  <c r="Q7" i="36"/>
  <c r="R7" i="36" s="1"/>
  <c r="V9" i="36" l="1"/>
  <c r="Q8" i="36"/>
  <c r="R8" i="36" s="1"/>
  <c r="V10" i="36" l="1"/>
  <c r="Q9" i="36"/>
  <c r="R9" i="36" s="1"/>
  <c r="V11" i="36" l="1"/>
  <c r="Q10" i="36"/>
  <c r="R10" i="36" s="1"/>
  <c r="C7" i="1"/>
  <c r="V12" i="36" l="1"/>
  <c r="Q11" i="36"/>
  <c r="R11" i="36" s="1"/>
  <c r="V5" i="33"/>
  <c r="V6" i="33" s="1"/>
  <c r="R2" i="33"/>
  <c r="R3" i="33"/>
  <c r="Q4" i="33"/>
  <c r="R4" i="33" s="1"/>
  <c r="Y21" i="33"/>
  <c r="Q19" i="33"/>
  <c r="R19" i="33" s="1"/>
  <c r="Q20" i="33"/>
  <c r="R20" i="33" s="1"/>
  <c r="Q21" i="33"/>
  <c r="R21" i="33"/>
  <c r="Q3" i="33"/>
  <c r="Q2" i="33"/>
  <c r="Y17" i="33"/>
  <c r="Y18" i="33"/>
  <c r="Y19" i="33"/>
  <c r="Y20" i="33"/>
  <c r="X2" i="33"/>
  <c r="Y3" i="33"/>
  <c r="Y4" i="33"/>
  <c r="Y5" i="33"/>
  <c r="Y6" i="33"/>
  <c r="Y7" i="33"/>
  <c r="Y8" i="33"/>
  <c r="Y9" i="33"/>
  <c r="Y10" i="33"/>
  <c r="Y11" i="33"/>
  <c r="Y12" i="33"/>
  <c r="Y13" i="33"/>
  <c r="Y14" i="33"/>
  <c r="Y15" i="33"/>
  <c r="Y16" i="33"/>
  <c r="Y2" i="33"/>
  <c r="V13" i="36" l="1"/>
  <c r="Q12" i="36"/>
  <c r="R12" i="36" s="1"/>
  <c r="Q6" i="33"/>
  <c r="R6" i="33" s="1"/>
  <c r="V7" i="33"/>
  <c r="Q5" i="33"/>
  <c r="R5" i="33" s="1"/>
  <c r="Z2" i="33"/>
  <c r="W2" i="33"/>
  <c r="AA2" i="33" s="1"/>
  <c r="V14" i="36" l="1"/>
  <c r="Q13" i="36"/>
  <c r="R13" i="36" s="1"/>
  <c r="Q7" i="33"/>
  <c r="R7" i="33" s="1"/>
  <c r="V8" i="33"/>
  <c r="Q14" i="36" l="1"/>
  <c r="R14" i="36" s="1"/>
  <c r="V15" i="36"/>
  <c r="V9" i="33"/>
  <c r="Q8" i="33"/>
  <c r="R8" i="33" s="1"/>
  <c r="C7" i="22"/>
  <c r="C8" i="22" s="1"/>
  <c r="C9" i="22" s="1"/>
  <c r="C10" i="22" s="1"/>
  <c r="C11" i="22" s="1"/>
  <c r="C12" i="22" s="1"/>
  <c r="C13" i="22" s="1"/>
  <c r="C14" i="22" s="1"/>
  <c r="C15" i="22" s="1"/>
  <c r="C16" i="22" s="1"/>
  <c r="C17" i="22" s="1"/>
  <c r="C18" i="22" s="1"/>
  <c r="C19" i="22" s="1"/>
  <c r="C20" i="22" s="1"/>
  <c r="C21" i="22" s="1"/>
  <c r="C22" i="22" s="1"/>
  <c r="C23" i="22" s="1"/>
  <c r="C24" i="22" s="1"/>
  <c r="C25" i="22" s="1"/>
  <c r="C26" i="22" s="1"/>
  <c r="C27" i="22" s="1"/>
  <c r="C28" i="22" s="1"/>
  <c r="C29" i="22" s="1"/>
  <c r="C30" i="22" s="1"/>
  <c r="C31" i="22" s="1"/>
  <c r="C32" i="22" s="1"/>
  <c r="C33" i="22" s="1"/>
  <c r="C34" i="22" s="1"/>
  <c r="C35" i="22" s="1"/>
  <c r="C36" i="22" s="1"/>
  <c r="C37" i="22" s="1"/>
  <c r="C38" i="22" s="1"/>
  <c r="C39" i="22" s="1"/>
  <c r="C40" i="22" s="1"/>
  <c r="C41" i="22" s="1"/>
  <c r="C42" i="22" s="1"/>
  <c r="C43" i="22" s="1"/>
  <c r="C44" i="22" s="1"/>
  <c r="C45" i="22" s="1"/>
  <c r="C46" i="22" s="1"/>
  <c r="C47" i="22" s="1"/>
  <c r="C48" i="22" s="1"/>
  <c r="C49" i="22" s="1"/>
  <c r="C50" i="22" s="1"/>
  <c r="C51" i="22" s="1"/>
  <c r="C52" i="22" s="1"/>
  <c r="C53" i="22" s="1"/>
  <c r="C54" i="22" s="1"/>
  <c r="C55" i="22" s="1"/>
  <c r="C56" i="22" s="1"/>
  <c r="C57" i="22" s="1"/>
  <c r="C58" i="22" s="1"/>
  <c r="C59" i="22" s="1"/>
  <c r="C60" i="22" s="1"/>
  <c r="C61" i="22" s="1"/>
  <c r="C62" i="22" s="1"/>
  <c r="C63" i="22" s="1"/>
  <c r="C64" i="22" s="1"/>
  <c r="C65" i="22" s="1"/>
  <c r="C66" i="22" s="1"/>
  <c r="C67" i="22" s="1"/>
  <c r="C68" i="22" s="1"/>
  <c r="C69" i="22" s="1"/>
  <c r="C70" i="22" s="1"/>
  <c r="C71" i="22" s="1"/>
  <c r="C72" i="22" s="1"/>
  <c r="C73" i="22" s="1"/>
  <c r="C74" i="22" s="1"/>
  <c r="C75" i="22" s="1"/>
  <c r="C76" i="22" s="1"/>
  <c r="C77" i="22" s="1"/>
  <c r="C78" i="22" s="1"/>
  <c r="C6" i="22"/>
  <c r="Q15" i="36" l="1"/>
  <c r="R15" i="36" s="1"/>
  <c r="V16" i="36"/>
  <c r="Q9" i="33"/>
  <c r="R9" i="33" s="1"/>
  <c r="V10" i="33"/>
  <c r="F64" i="1"/>
  <c r="F63" i="1"/>
  <c r="F60" i="1"/>
  <c r="F34" i="1"/>
  <c r="F1" i="1"/>
  <c r="Q16" i="36" l="1"/>
  <c r="R16" i="36" s="1"/>
  <c r="V17" i="36"/>
  <c r="V11" i="33"/>
  <c r="Q10" i="33"/>
  <c r="R10" i="33" s="1"/>
  <c r="F3" i="1"/>
  <c r="F4" i="1"/>
  <c r="F37" i="1"/>
  <c r="F36" i="1"/>
  <c r="F62" i="1"/>
  <c r="F38" i="1"/>
  <c r="F5" i="1"/>
  <c r="V18" i="36" l="1"/>
  <c r="Q18" i="36" s="1"/>
  <c r="R18" i="36" s="1"/>
  <c r="Q17" i="36"/>
  <c r="R17" i="36" s="1"/>
  <c r="V12" i="33"/>
  <c r="Q11" i="33"/>
  <c r="R11" i="33" s="1"/>
  <c r="J88" i="22"/>
  <c r="J86" i="22"/>
  <c r="J87" i="22" s="1"/>
  <c r="J85" i="22"/>
  <c r="J84" i="22"/>
  <c r="K84" i="22"/>
  <c r="M84" i="22"/>
  <c r="Q12" i="33" l="1"/>
  <c r="R12" i="33" s="1"/>
  <c r="V13" i="33"/>
  <c r="K89" i="22"/>
  <c r="K94" i="22" s="1"/>
  <c r="C33" i="1"/>
  <c r="V14" i="33" l="1"/>
  <c r="Q13" i="33"/>
  <c r="R13" i="33" s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G66" i="1"/>
  <c r="F84" i="22"/>
  <c r="H5" i="22" s="1"/>
  <c r="H6" i="22" s="1"/>
  <c r="H7" i="22" s="1"/>
  <c r="H8" i="22" s="1"/>
  <c r="H9" i="22" s="1"/>
  <c r="H10" i="22" s="1"/>
  <c r="H11" i="22" s="1"/>
  <c r="H12" i="22" s="1"/>
  <c r="H13" i="22" s="1"/>
  <c r="H14" i="22" s="1"/>
  <c r="H15" i="22" s="1"/>
  <c r="H16" i="22" s="1"/>
  <c r="H17" i="22" s="1"/>
  <c r="H18" i="22" s="1"/>
  <c r="H19" i="22" s="1"/>
  <c r="H20" i="22" s="1"/>
  <c r="H21" i="22" s="1"/>
  <c r="H22" i="22" s="1"/>
  <c r="H23" i="22" s="1"/>
  <c r="H24" i="22" s="1"/>
  <c r="H25" i="22" s="1"/>
  <c r="H26" i="22" s="1"/>
  <c r="H27" i="22" s="1"/>
  <c r="H28" i="22" s="1"/>
  <c r="H29" i="22" s="1"/>
  <c r="H30" i="22" s="1"/>
  <c r="H31" i="22" s="1"/>
  <c r="H32" i="22" s="1"/>
  <c r="H33" i="22" s="1"/>
  <c r="H34" i="22" s="1"/>
  <c r="H35" i="22" s="1"/>
  <c r="H36" i="22" s="1"/>
  <c r="H37" i="22" s="1"/>
  <c r="H38" i="22" s="1"/>
  <c r="H39" i="22" s="1"/>
  <c r="H40" i="22" s="1"/>
  <c r="H41" i="22" s="1"/>
  <c r="H42" i="22" s="1"/>
  <c r="H43" i="22" s="1"/>
  <c r="H44" i="22" s="1"/>
  <c r="H45" i="22" s="1"/>
  <c r="H46" i="22" s="1"/>
  <c r="H47" i="22" s="1"/>
  <c r="H48" i="22" s="1"/>
  <c r="H49" i="22" s="1"/>
  <c r="H50" i="22" s="1"/>
  <c r="H51" i="22" s="1"/>
  <c r="H52" i="22" s="1"/>
  <c r="H53" i="22" s="1"/>
  <c r="H54" i="22" s="1"/>
  <c r="H55" i="22" s="1"/>
  <c r="H56" i="22" s="1"/>
  <c r="H57" i="22" s="1"/>
  <c r="H58" i="22" s="1"/>
  <c r="H59" i="22" s="1"/>
  <c r="H60" i="22" s="1"/>
  <c r="H61" i="22" s="1"/>
  <c r="H62" i="22" s="1"/>
  <c r="H63" i="22" s="1"/>
  <c r="H64" i="22" s="1"/>
  <c r="H65" i="22" s="1"/>
  <c r="H66" i="22" s="1"/>
  <c r="H67" i="22" s="1"/>
  <c r="H68" i="22" s="1"/>
  <c r="H69" i="22" s="1"/>
  <c r="H70" i="22" s="1"/>
  <c r="H71" i="22" s="1"/>
  <c r="H72" i="22" s="1"/>
  <c r="H73" i="22" s="1"/>
  <c r="H74" i="22" s="1"/>
  <c r="H75" i="22" s="1"/>
  <c r="H76" i="22" s="1"/>
  <c r="H77" i="22" s="1"/>
  <c r="H78" i="22" s="1"/>
  <c r="V15" i="33" l="1"/>
  <c r="Q14" i="33"/>
  <c r="R14" i="33" s="1"/>
  <c r="G5" i="22"/>
  <c r="Q15" i="33" l="1"/>
  <c r="R15" i="33" s="1"/>
  <c r="V16" i="33"/>
  <c r="B1" i="22"/>
  <c r="G25" i="1"/>
  <c r="A6" i="22"/>
  <c r="B7" i="22"/>
  <c r="Q16" i="33" l="1"/>
  <c r="R16" i="33" s="1"/>
  <c r="V17" i="33"/>
  <c r="A7" i="22"/>
  <c r="B8" i="22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B42" i="22" s="1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B62" i="22" s="1"/>
  <c r="B63" i="22" s="1"/>
  <c r="B64" i="22" s="1"/>
  <c r="B65" i="22" s="1"/>
  <c r="B66" i="22" s="1"/>
  <c r="B67" i="22" s="1"/>
  <c r="B68" i="22" s="1"/>
  <c r="B69" i="22" s="1"/>
  <c r="B70" i="22" s="1"/>
  <c r="B71" i="22" s="1"/>
  <c r="B72" i="22" s="1"/>
  <c r="B73" i="22" s="1"/>
  <c r="B74" i="22" s="1"/>
  <c r="B75" i="22" s="1"/>
  <c r="B76" i="22" s="1"/>
  <c r="B77" i="22" s="1"/>
  <c r="B78" i="22" s="1"/>
  <c r="Q17" i="33" l="1"/>
  <c r="R17" i="33" s="1"/>
  <c r="V18" i="33"/>
  <c r="Q18" i="33" s="1"/>
  <c r="R18" i="33" s="1"/>
  <c r="A8" i="22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Y56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G29" i="1"/>
  <c r="X25" i="1" l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C22" i="1" l="1"/>
  <c r="C12" i="1" l="1"/>
  <c r="D88" i="22"/>
  <c r="E6" i="22"/>
  <c r="D85" i="22"/>
  <c r="C2" i="33" l="1"/>
  <c r="D3" i="33" s="1"/>
  <c r="C2" i="36"/>
  <c r="D6" i="22"/>
  <c r="E7" i="22" s="1"/>
  <c r="C3" i="36" s="1"/>
  <c r="F8" i="22"/>
  <c r="G6" i="22"/>
  <c r="D86" i="22"/>
  <c r="D87" i="22"/>
  <c r="E88" i="22" s="1"/>
  <c r="P2" i="33" l="1"/>
  <c r="K2" i="33" s="1"/>
  <c r="L2" i="33" s="1"/>
  <c r="D3" i="36"/>
  <c r="P2" i="36"/>
  <c r="K2" i="36" s="1"/>
  <c r="L2" i="36" s="1"/>
  <c r="W3" i="33"/>
  <c r="AA3" i="33" s="1"/>
  <c r="X3" i="33"/>
  <c r="Z3" i="33" s="1"/>
  <c r="D7" i="22"/>
  <c r="E8" i="22" s="1"/>
  <c r="C4" i="36" s="1"/>
  <c r="C3" i="33"/>
  <c r="D4" i="33" s="1"/>
  <c r="E87" i="22"/>
  <c r="E86" i="22"/>
  <c r="G7" i="22"/>
  <c r="F9" i="22"/>
  <c r="N2" i="36" l="1"/>
  <c r="M2" i="36"/>
  <c r="N2" i="33"/>
  <c r="M2" i="33"/>
  <c r="W3" i="36"/>
  <c r="AA3" i="36" s="1"/>
  <c r="D4" i="36"/>
  <c r="X3" i="36"/>
  <c r="Z3" i="36" s="1"/>
  <c r="P3" i="33"/>
  <c r="W4" i="33"/>
  <c r="AA4" i="33" s="1"/>
  <c r="X4" i="33"/>
  <c r="Z4" i="33" s="1"/>
  <c r="D8" i="22"/>
  <c r="E9" i="22" s="1"/>
  <c r="C4" i="33"/>
  <c r="D5" i="33" s="1"/>
  <c r="F10" i="22"/>
  <c r="G8" i="22"/>
  <c r="D5" i="36" l="1"/>
  <c r="W4" i="36"/>
  <c r="AA4" i="36" s="1"/>
  <c r="X4" i="36"/>
  <c r="Z4" i="36" s="1"/>
  <c r="C5" i="33"/>
  <c r="D6" i="33" s="1"/>
  <c r="C5" i="36"/>
  <c r="P3" i="36"/>
  <c r="K3" i="36" s="1"/>
  <c r="L3" i="36" s="1"/>
  <c r="K3" i="33"/>
  <c r="L3" i="33" s="1"/>
  <c r="P4" i="33"/>
  <c r="W5" i="33"/>
  <c r="AA5" i="33" s="1"/>
  <c r="X5" i="33"/>
  <c r="Z5" i="33" s="1"/>
  <c r="F11" i="22"/>
  <c r="G9" i="22"/>
  <c r="D9" i="22"/>
  <c r="N3" i="36" l="1"/>
  <c r="M3" i="36"/>
  <c r="N3" i="33"/>
  <c r="M3" i="33"/>
  <c r="K4" i="33"/>
  <c r="L4" i="33" s="1"/>
  <c r="P4" i="36"/>
  <c r="D6" i="36"/>
  <c r="W5" i="36"/>
  <c r="AA5" i="36" s="1"/>
  <c r="X5" i="36"/>
  <c r="Z5" i="36" s="1"/>
  <c r="P5" i="33"/>
  <c r="X6" i="33"/>
  <c r="Z6" i="33" s="1"/>
  <c r="W6" i="33"/>
  <c r="AA6" i="33" s="1"/>
  <c r="E10" i="22"/>
  <c r="C6" i="36" s="1"/>
  <c r="M4" i="33" l="1"/>
  <c r="N4" i="33"/>
  <c r="K5" i="33"/>
  <c r="L5" i="33" s="1"/>
  <c r="K4" i="36"/>
  <c r="L4" i="36" s="1"/>
  <c r="P5" i="36"/>
  <c r="W6" i="36"/>
  <c r="AA6" i="36" s="1"/>
  <c r="X6" i="36"/>
  <c r="Z6" i="36" s="1"/>
  <c r="D7" i="36"/>
  <c r="D10" i="22"/>
  <c r="E11" i="22" s="1"/>
  <c r="C7" i="36" s="1"/>
  <c r="C6" i="33"/>
  <c r="D7" i="33" s="1"/>
  <c r="F12" i="22"/>
  <c r="G10" i="22"/>
  <c r="N4" i="36" l="1"/>
  <c r="M4" i="36"/>
  <c r="M5" i="33"/>
  <c r="N5" i="33"/>
  <c r="K5" i="36"/>
  <c r="L5" i="36" s="1"/>
  <c r="P6" i="36"/>
  <c r="D8" i="36"/>
  <c r="X7" i="36"/>
  <c r="Z7" i="36" s="1"/>
  <c r="W7" i="36"/>
  <c r="AA7" i="36" s="1"/>
  <c r="P6" i="33"/>
  <c r="D11" i="22"/>
  <c r="E12" i="22" s="1"/>
  <c r="C8" i="36" s="1"/>
  <c r="C7" i="33"/>
  <c r="D8" i="33" s="1"/>
  <c r="X7" i="33"/>
  <c r="Z7" i="33" s="1"/>
  <c r="W7" i="33"/>
  <c r="AA7" i="33" s="1"/>
  <c r="F13" i="22"/>
  <c r="G11" i="22"/>
  <c r="M5" i="36" l="1"/>
  <c r="N5" i="36"/>
  <c r="K6" i="36"/>
  <c r="L6" i="36" s="1"/>
  <c r="K6" i="33"/>
  <c r="L6" i="33" s="1"/>
  <c r="P7" i="36"/>
  <c r="X8" i="36"/>
  <c r="Z8" i="36" s="1"/>
  <c r="D9" i="36"/>
  <c r="W8" i="36"/>
  <c r="AA8" i="36" s="1"/>
  <c r="P7" i="33"/>
  <c r="D12" i="22"/>
  <c r="E13" i="22" s="1"/>
  <c r="C8" i="33"/>
  <c r="D9" i="33" s="1"/>
  <c r="W8" i="33"/>
  <c r="AA8" i="33" s="1"/>
  <c r="X8" i="33"/>
  <c r="Z8" i="33" s="1"/>
  <c r="G12" i="22"/>
  <c r="F14" i="22"/>
  <c r="M6" i="33" l="1"/>
  <c r="N6" i="33"/>
  <c r="N6" i="36"/>
  <c r="M6" i="36"/>
  <c r="K7" i="36"/>
  <c r="L7" i="36" s="1"/>
  <c r="K7" i="33"/>
  <c r="L7" i="33" s="1"/>
  <c r="C9" i="33"/>
  <c r="D10" i="33" s="1"/>
  <c r="C9" i="36"/>
  <c r="D10" i="36" s="1"/>
  <c r="X9" i="36"/>
  <c r="Z9" i="36" s="1"/>
  <c r="W9" i="36"/>
  <c r="AA9" i="36" s="1"/>
  <c r="P8" i="36"/>
  <c r="P8" i="33"/>
  <c r="W9" i="33"/>
  <c r="AA9" i="33" s="1"/>
  <c r="X9" i="33"/>
  <c r="Z9" i="33" s="1"/>
  <c r="G13" i="22"/>
  <c r="F15" i="22"/>
  <c r="D13" i="22"/>
  <c r="M7" i="33" l="1"/>
  <c r="N7" i="33"/>
  <c r="M7" i="36"/>
  <c r="N7" i="36"/>
  <c r="K8" i="33"/>
  <c r="L8" i="33" s="1"/>
  <c r="K8" i="36"/>
  <c r="L8" i="36" s="1"/>
  <c r="X10" i="36"/>
  <c r="Z10" i="36" s="1"/>
  <c r="W10" i="36"/>
  <c r="AA10" i="36" s="1"/>
  <c r="P9" i="36"/>
  <c r="P9" i="33"/>
  <c r="W10" i="33"/>
  <c r="AA10" i="33" s="1"/>
  <c r="X10" i="33"/>
  <c r="Z10" i="33" s="1"/>
  <c r="E14" i="22"/>
  <c r="C10" i="36" s="1"/>
  <c r="D11" i="36" s="1"/>
  <c r="N8" i="36" l="1"/>
  <c r="M8" i="36"/>
  <c r="M8" i="33"/>
  <c r="N8" i="33"/>
  <c r="K9" i="33"/>
  <c r="L9" i="33" s="1"/>
  <c r="K9" i="36"/>
  <c r="L9" i="36" s="1"/>
  <c r="P10" i="36"/>
  <c r="X11" i="36"/>
  <c r="Z11" i="36" s="1"/>
  <c r="W11" i="36"/>
  <c r="AA11" i="36" s="1"/>
  <c r="D14" i="22"/>
  <c r="E15" i="22" s="1"/>
  <c r="C11" i="36" s="1"/>
  <c r="D12" i="36" s="1"/>
  <c r="C10" i="33"/>
  <c r="D11" i="33" s="1"/>
  <c r="F16" i="22"/>
  <c r="G14" i="22"/>
  <c r="M9" i="33" l="1"/>
  <c r="N9" i="33"/>
  <c r="N9" i="36"/>
  <c r="M9" i="36"/>
  <c r="K10" i="36"/>
  <c r="L10" i="36" s="1"/>
  <c r="P11" i="36"/>
  <c r="X12" i="36"/>
  <c r="Z12" i="36" s="1"/>
  <c r="W12" i="36"/>
  <c r="AA12" i="36" s="1"/>
  <c r="P10" i="33"/>
  <c r="D15" i="22"/>
  <c r="E16" i="22" s="1"/>
  <c r="C12" i="36" s="1"/>
  <c r="D13" i="36" s="1"/>
  <c r="C11" i="33"/>
  <c r="D12" i="33" s="1"/>
  <c r="X11" i="33"/>
  <c r="Z11" i="33" s="1"/>
  <c r="W11" i="33"/>
  <c r="AA11" i="33" s="1"/>
  <c r="G15" i="22"/>
  <c r="F17" i="22"/>
  <c r="N10" i="36" l="1"/>
  <c r="M10" i="36"/>
  <c r="K10" i="33"/>
  <c r="L10" i="33" s="1"/>
  <c r="K11" i="36"/>
  <c r="L11" i="36" s="1"/>
  <c r="P12" i="36"/>
  <c r="W13" i="36"/>
  <c r="AA13" i="36" s="1"/>
  <c r="X13" i="36"/>
  <c r="Z13" i="36" s="1"/>
  <c r="P11" i="33"/>
  <c r="D16" i="22"/>
  <c r="E17" i="22" s="1"/>
  <c r="C12" i="33"/>
  <c r="D13" i="33" s="1"/>
  <c r="W12" i="33"/>
  <c r="AA12" i="33" s="1"/>
  <c r="X12" i="33"/>
  <c r="Z12" i="33" s="1"/>
  <c r="G16" i="22"/>
  <c r="F18" i="22"/>
  <c r="N11" i="36" l="1"/>
  <c r="M11" i="36"/>
  <c r="M10" i="33"/>
  <c r="N10" i="33"/>
  <c r="K12" i="36"/>
  <c r="L12" i="36" s="1"/>
  <c r="K11" i="33"/>
  <c r="L11" i="33" s="1"/>
  <c r="C13" i="33"/>
  <c r="D14" i="33" s="1"/>
  <c r="C13" i="36"/>
  <c r="D14" i="36" s="1"/>
  <c r="P12" i="33"/>
  <c r="W13" i="33"/>
  <c r="AA13" i="33" s="1"/>
  <c r="X13" i="33"/>
  <c r="Z13" i="33" s="1"/>
  <c r="F19" i="22"/>
  <c r="G17" i="22"/>
  <c r="D17" i="22"/>
  <c r="M11" i="33" l="1"/>
  <c r="N11" i="33"/>
  <c r="N12" i="36"/>
  <c r="M12" i="36"/>
  <c r="K12" i="33"/>
  <c r="L12" i="33" s="1"/>
  <c r="P13" i="36"/>
  <c r="W14" i="36"/>
  <c r="AA14" i="36" s="1"/>
  <c r="X14" i="36"/>
  <c r="Z14" i="36" s="1"/>
  <c r="P13" i="33"/>
  <c r="W14" i="33"/>
  <c r="AA14" i="33" s="1"/>
  <c r="X14" i="33"/>
  <c r="Z14" i="33" s="1"/>
  <c r="E18" i="22"/>
  <c r="C14" i="36" s="1"/>
  <c r="D15" i="36" s="1"/>
  <c r="M12" i="33" l="1"/>
  <c r="N12" i="33"/>
  <c r="K13" i="36"/>
  <c r="L13" i="36" s="1"/>
  <c r="N13" i="36" s="1"/>
  <c r="K13" i="33"/>
  <c r="L13" i="33" s="1"/>
  <c r="X15" i="36"/>
  <c r="Z15" i="36" s="1"/>
  <c r="W15" i="36"/>
  <c r="AA15" i="36" s="1"/>
  <c r="P14" i="36"/>
  <c r="D18" i="22"/>
  <c r="E19" i="22" s="1"/>
  <c r="C14" i="33"/>
  <c r="D15" i="33" s="1"/>
  <c r="G18" i="22"/>
  <c r="F20" i="22"/>
  <c r="M13" i="33" l="1"/>
  <c r="N13" i="33"/>
  <c r="M13" i="36"/>
  <c r="K14" i="36"/>
  <c r="L14" i="36" s="1"/>
  <c r="C15" i="33"/>
  <c r="D16" i="33" s="1"/>
  <c r="C15" i="36"/>
  <c r="D16" i="36" s="1"/>
  <c r="P14" i="33"/>
  <c r="X15" i="33"/>
  <c r="Z15" i="33" s="1"/>
  <c r="W15" i="33"/>
  <c r="AA15" i="33" s="1"/>
  <c r="F21" i="22"/>
  <c r="G19" i="22"/>
  <c r="D19" i="22"/>
  <c r="N14" i="36" l="1"/>
  <c r="M14" i="36"/>
  <c r="K14" i="33"/>
  <c r="L14" i="33" s="1"/>
  <c r="P15" i="36"/>
  <c r="X16" i="36"/>
  <c r="Z16" i="36" s="1"/>
  <c r="W16" i="36"/>
  <c r="AA16" i="36" s="1"/>
  <c r="P15" i="33"/>
  <c r="W16" i="33"/>
  <c r="AA16" i="33" s="1"/>
  <c r="X16" i="33"/>
  <c r="Z16" i="33" s="1"/>
  <c r="E20" i="22"/>
  <c r="M14" i="33" l="1"/>
  <c r="N14" i="33"/>
  <c r="K15" i="33"/>
  <c r="L15" i="33" s="1"/>
  <c r="K15" i="36"/>
  <c r="L15" i="36" s="1"/>
  <c r="C16" i="33"/>
  <c r="D17" i="33" s="1"/>
  <c r="X17" i="33" s="1"/>
  <c r="Z17" i="33" s="1"/>
  <c r="C16" i="36"/>
  <c r="D17" i="36" s="1"/>
  <c r="F22" i="22"/>
  <c r="G20" i="22"/>
  <c r="D20" i="22"/>
  <c r="M15" i="33" l="1"/>
  <c r="N15" i="33"/>
  <c r="N15" i="36"/>
  <c r="M15" i="36"/>
  <c r="W17" i="33"/>
  <c r="AA17" i="33" s="1"/>
  <c r="P16" i="33"/>
  <c r="W17" i="36"/>
  <c r="AA17" i="36" s="1"/>
  <c r="X17" i="36"/>
  <c r="Z17" i="36" s="1"/>
  <c r="P16" i="36"/>
  <c r="E21" i="22"/>
  <c r="C17" i="36" s="1"/>
  <c r="D18" i="36" s="1"/>
  <c r="K16" i="33" l="1"/>
  <c r="L16" i="33" s="1"/>
  <c r="K16" i="36"/>
  <c r="L16" i="36" s="1"/>
  <c r="X18" i="36"/>
  <c r="Z18" i="36" s="1"/>
  <c r="W18" i="36"/>
  <c r="AA18" i="36" s="1"/>
  <c r="P17" i="36"/>
  <c r="D21" i="22"/>
  <c r="E22" i="22" s="1"/>
  <c r="C17" i="33"/>
  <c r="G21" i="22"/>
  <c r="F23" i="22"/>
  <c r="N16" i="36" l="1"/>
  <c r="M16" i="36"/>
  <c r="M16" i="33"/>
  <c r="N16" i="33"/>
  <c r="K17" i="36"/>
  <c r="L17" i="36" s="1"/>
  <c r="C18" i="33"/>
  <c r="C18" i="36"/>
  <c r="D19" i="36" s="1"/>
  <c r="D18" i="33"/>
  <c r="P17" i="33"/>
  <c r="G22" i="22"/>
  <c r="F24" i="22"/>
  <c r="D22" i="22"/>
  <c r="N17" i="36" l="1"/>
  <c r="M17" i="36"/>
  <c r="K17" i="33"/>
  <c r="L17" i="33" s="1"/>
  <c r="P18" i="36"/>
  <c r="X19" i="36"/>
  <c r="Z19" i="36" s="1"/>
  <c r="W19" i="36"/>
  <c r="AA19" i="36" s="1"/>
  <c r="W18" i="33"/>
  <c r="AA18" i="33" s="1"/>
  <c r="D19" i="33"/>
  <c r="X18" i="33"/>
  <c r="Z18" i="33" s="1"/>
  <c r="E23" i="22"/>
  <c r="M17" i="33" l="1"/>
  <c r="N17" i="33"/>
  <c r="K18" i="36"/>
  <c r="L18" i="36" s="1"/>
  <c r="C19" i="33"/>
  <c r="D20" i="33" s="1"/>
  <c r="C19" i="36"/>
  <c r="D20" i="36" s="1"/>
  <c r="P18" i="33"/>
  <c r="W19" i="33"/>
  <c r="AA19" i="33" s="1"/>
  <c r="X19" i="33"/>
  <c r="Z19" i="33" s="1"/>
  <c r="G23" i="22"/>
  <c r="F25" i="22"/>
  <c r="D23" i="22"/>
  <c r="N18" i="36" l="1"/>
  <c r="M18" i="36"/>
  <c r="K18" i="33"/>
  <c r="L18" i="33" s="1"/>
  <c r="P19" i="36"/>
  <c r="X20" i="36"/>
  <c r="Z20" i="36" s="1"/>
  <c r="W20" i="36"/>
  <c r="AA20" i="36" s="1"/>
  <c r="P19" i="33"/>
  <c r="X20" i="33"/>
  <c r="Z20" i="33" s="1"/>
  <c r="W20" i="33"/>
  <c r="AA20" i="33" s="1"/>
  <c r="E24" i="22"/>
  <c r="M18" i="33" l="1"/>
  <c r="N18" i="33"/>
  <c r="K19" i="33"/>
  <c r="L19" i="33" s="1"/>
  <c r="K19" i="36"/>
  <c r="L19" i="36" s="1"/>
  <c r="C20" i="33"/>
  <c r="D21" i="33" s="1"/>
  <c r="W21" i="33" s="1"/>
  <c r="AA21" i="33" s="1"/>
  <c r="C20" i="36"/>
  <c r="D21" i="36" s="1"/>
  <c r="F26" i="22"/>
  <c r="G24" i="22"/>
  <c r="D24" i="22"/>
  <c r="N19" i="36" l="1"/>
  <c r="M19" i="36"/>
  <c r="M19" i="33"/>
  <c r="N19" i="33"/>
  <c r="P20" i="33"/>
  <c r="X21" i="33"/>
  <c r="Z21" i="33" s="1"/>
  <c r="P20" i="36"/>
  <c r="X21" i="36"/>
  <c r="Z21" i="36" s="1"/>
  <c r="W21" i="36"/>
  <c r="AA21" i="36" s="1"/>
  <c r="E25" i="22"/>
  <c r="K20" i="36" l="1"/>
  <c r="L20" i="36" s="1"/>
  <c r="K20" i="33"/>
  <c r="L20" i="33" s="1"/>
  <c r="C21" i="33"/>
  <c r="P21" i="33" s="1"/>
  <c r="C21" i="36"/>
  <c r="P21" i="36" s="1"/>
  <c r="F27" i="22"/>
  <c r="G25" i="22"/>
  <c r="D25" i="22"/>
  <c r="M20" i="33" l="1"/>
  <c r="N20" i="33"/>
  <c r="N20" i="36"/>
  <c r="M20" i="36"/>
  <c r="K21" i="33"/>
  <c r="L21" i="33" s="1"/>
  <c r="M21" i="33" s="1"/>
  <c r="K21" i="36"/>
  <c r="L21" i="36" s="1"/>
  <c r="E26" i="22"/>
  <c r="D26" i="22" s="1"/>
  <c r="M21" i="36" l="1"/>
  <c r="N21" i="36"/>
  <c r="N21" i="33"/>
  <c r="E27" i="22"/>
  <c r="D27" i="22" s="1"/>
  <c r="F28" i="22"/>
  <c r="G26" i="22"/>
  <c r="E28" i="22" l="1"/>
  <c r="D28" i="22" s="1"/>
  <c r="F29" i="22"/>
  <c r="G27" i="22"/>
  <c r="E29" i="22" l="1"/>
  <c r="G28" i="22"/>
  <c r="F30" i="22"/>
  <c r="F31" i="22" l="1"/>
  <c r="G29" i="22"/>
  <c r="D29" i="22"/>
  <c r="E30" i="22" l="1"/>
  <c r="D30" i="22" s="1"/>
  <c r="E31" i="22" l="1"/>
  <c r="F32" i="22"/>
  <c r="G30" i="22"/>
  <c r="F33" i="22" l="1"/>
  <c r="G31" i="22"/>
  <c r="D31" i="22"/>
  <c r="E32" i="22" l="1"/>
  <c r="D32" i="22" s="1"/>
  <c r="E33" i="22" l="1"/>
  <c r="D33" i="22" s="1"/>
  <c r="F34" i="22"/>
  <c r="G32" i="22"/>
  <c r="E34" i="22" l="1"/>
  <c r="F35" i="22"/>
  <c r="G33" i="22"/>
  <c r="F36" i="22" l="1"/>
  <c r="G34" i="22"/>
  <c r="D34" i="22"/>
  <c r="E35" i="22" l="1"/>
  <c r="F37" i="22" l="1"/>
  <c r="G35" i="22"/>
  <c r="D35" i="22"/>
  <c r="E36" i="22" l="1"/>
  <c r="D36" i="22" s="1"/>
  <c r="E37" i="22" l="1"/>
  <c r="D37" i="22" s="1"/>
  <c r="G36" i="22"/>
  <c r="F38" i="22"/>
  <c r="E38" i="22" l="1"/>
  <c r="D38" i="22" s="1"/>
  <c r="G37" i="22"/>
  <c r="F39" i="22"/>
  <c r="E39" i="22" l="1"/>
  <c r="G38" i="22"/>
  <c r="F40" i="22"/>
  <c r="F41" i="22" l="1"/>
  <c r="G39" i="22"/>
  <c r="D39" i="22"/>
  <c r="E40" i="22" l="1"/>
  <c r="D40" i="22" s="1"/>
  <c r="E41" i="22" l="1"/>
  <c r="G40" i="22"/>
  <c r="F42" i="22"/>
  <c r="F43" i="22" l="1"/>
  <c r="G41" i="22"/>
  <c r="D41" i="22"/>
  <c r="E42" i="22" l="1"/>
  <c r="F44" i="22" l="1"/>
  <c r="G42" i="22"/>
  <c r="D42" i="22"/>
  <c r="E43" i="22" l="1"/>
  <c r="G43" i="22" l="1"/>
  <c r="F45" i="22"/>
  <c r="D43" i="22"/>
  <c r="E44" i="22" l="1"/>
  <c r="D44" i="22" s="1"/>
  <c r="E45" i="22" l="1"/>
  <c r="D45" i="22" s="1"/>
  <c r="G44" i="22"/>
  <c r="F46" i="22"/>
  <c r="E46" i="22" l="1"/>
  <c r="F47" i="22"/>
  <c r="G45" i="22"/>
  <c r="F48" i="22" l="1"/>
  <c r="G46" i="22"/>
  <c r="D46" i="22"/>
  <c r="E47" i="22" l="1"/>
  <c r="D47" i="22" s="1"/>
  <c r="E48" i="22" l="1"/>
  <c r="D48" i="22" s="1"/>
  <c r="G47" i="22"/>
  <c r="F49" i="22"/>
  <c r="E49" i="22" l="1"/>
  <c r="F50" i="22"/>
  <c r="G48" i="22"/>
  <c r="F51" i="22" l="1"/>
  <c r="G49" i="22"/>
  <c r="D49" i="22"/>
  <c r="E50" i="22" l="1"/>
  <c r="D50" i="22" s="1"/>
  <c r="E51" i="22" l="1"/>
  <c r="D51" i="22" s="1"/>
  <c r="F52" i="22"/>
  <c r="G50" i="22"/>
  <c r="E52" i="22" l="1"/>
  <c r="D52" i="22" s="1"/>
  <c r="F53" i="22"/>
  <c r="G51" i="22"/>
  <c r="E53" i="22" l="1"/>
  <c r="G52" i="22"/>
  <c r="F54" i="22"/>
  <c r="G53" i="22" l="1"/>
  <c r="F55" i="22"/>
  <c r="D53" i="22"/>
  <c r="E54" i="22" l="1"/>
  <c r="D54" i="22" s="1"/>
  <c r="E55" i="22" l="1"/>
  <c r="F56" i="22"/>
  <c r="G54" i="22"/>
  <c r="G55" i="22" l="1"/>
  <c r="F57" i="22"/>
  <c r="D55" i="22"/>
  <c r="E56" i="22" l="1"/>
  <c r="F58" i="22" l="1"/>
  <c r="G56" i="22"/>
  <c r="D56" i="22"/>
  <c r="E57" i="22" l="1"/>
  <c r="F59" i="22" l="1"/>
  <c r="G57" i="22"/>
  <c r="D57" i="22"/>
  <c r="E58" i="22" l="1"/>
  <c r="G58" i="22" l="1"/>
  <c r="F60" i="22"/>
  <c r="D58" i="22"/>
  <c r="E59" i="22" l="1"/>
  <c r="D59" i="22" s="1"/>
  <c r="E60" i="22" l="1"/>
  <c r="F61" i="22"/>
  <c r="G59" i="22"/>
  <c r="G60" i="22" l="1"/>
  <c r="F62" i="22"/>
  <c r="D60" i="22"/>
  <c r="E61" i="22" l="1"/>
  <c r="D61" i="22" s="1"/>
  <c r="E62" i="22" l="1"/>
  <c r="D62" i="22" s="1"/>
  <c r="G61" i="22"/>
  <c r="F63" i="22"/>
  <c r="E63" i="22" l="1"/>
  <c r="D63" i="22" s="1"/>
  <c r="F64" i="22"/>
  <c r="G62" i="22"/>
  <c r="E64" i="22" l="1"/>
  <c r="D64" i="22" s="1"/>
  <c r="F65" i="22"/>
  <c r="G63" i="22"/>
  <c r="E65" i="22" l="1"/>
  <c r="G64" i="22"/>
  <c r="F66" i="22"/>
  <c r="G65" i="22" l="1"/>
  <c r="F67" i="22"/>
  <c r="D65" i="22"/>
  <c r="E66" i="22" l="1"/>
  <c r="F68" i="22" l="1"/>
  <c r="G66" i="22"/>
  <c r="D66" i="22"/>
  <c r="E67" i="22" l="1"/>
  <c r="F69" i="22" l="1"/>
  <c r="G67" i="22"/>
  <c r="D67" i="22"/>
  <c r="E68" i="22" l="1"/>
  <c r="G68" i="22" l="1"/>
  <c r="F70" i="22"/>
  <c r="D68" i="22"/>
  <c r="E69" i="22" l="1"/>
  <c r="F71" i="22" l="1"/>
  <c r="G69" i="22"/>
  <c r="D69" i="22"/>
  <c r="E70" i="22" l="1"/>
  <c r="G70" i="22" l="1"/>
  <c r="F72" i="22"/>
  <c r="D70" i="22"/>
  <c r="E71" i="22" l="1"/>
  <c r="F73" i="22" l="1"/>
  <c r="G71" i="22"/>
  <c r="D71" i="22"/>
  <c r="E72" i="22" l="1"/>
  <c r="F74" i="22" l="1"/>
  <c r="G72" i="22"/>
  <c r="D72" i="22"/>
  <c r="E73" i="22" l="1"/>
  <c r="F75" i="22" l="1"/>
  <c r="G73" i="22"/>
  <c r="D73" i="22"/>
  <c r="E74" i="22" l="1"/>
  <c r="D74" i="22" s="1"/>
  <c r="E75" i="22" l="1"/>
  <c r="D75" i="22" s="1"/>
  <c r="G74" i="22"/>
  <c r="F76" i="22"/>
  <c r="E76" i="22" l="1"/>
  <c r="D76" i="22" s="1"/>
  <c r="G75" i="22"/>
  <c r="F77" i="22"/>
  <c r="E77" i="22" l="1"/>
  <c r="G77" i="22" s="1"/>
  <c r="G76" i="22"/>
  <c r="F78" i="22"/>
  <c r="F79" i="22" l="1"/>
  <c r="D77" i="22"/>
  <c r="E78" i="22" s="1"/>
  <c r="G78" i="22" l="1"/>
  <c r="E79" i="22"/>
  <c r="D78" i="22"/>
  <c r="D84" i="22" s="1"/>
  <c r="E85" i="22" s="1"/>
  <c r="E84" i="22" l="1"/>
  <c r="I84" i="22" l="1"/>
  <c r="F85" i="22"/>
  <c r="G84" i="22"/>
  <c r="F86" i="22" l="1"/>
  <c r="I85" i="22"/>
  <c r="G85" i="22"/>
  <c r="I86" i="22" l="1"/>
  <c r="G86" i="22"/>
  <c r="F87" i="22"/>
  <c r="G87" i="22" l="1"/>
  <c r="F88" i="22"/>
  <c r="I87" i="22"/>
  <c r="I88" i="22" l="1"/>
  <c r="G88" i="22"/>
  <c r="C36" i="1"/>
  <c r="K7" i="1" l="1"/>
  <c r="W7" i="1"/>
  <c r="P7" i="1"/>
  <c r="T7" i="1"/>
  <c r="J7" i="1"/>
  <c r="L7" i="1"/>
  <c r="X7" i="1"/>
  <c r="M7" i="1"/>
  <c r="N7" i="1"/>
  <c r="O7" i="1"/>
  <c r="Q7" i="1"/>
  <c r="V7" i="1"/>
  <c r="R7" i="1"/>
  <c r="S7" i="1"/>
  <c r="H7" i="1"/>
  <c r="I7" i="1"/>
  <c r="U7" i="1"/>
  <c r="F20" i="1"/>
  <c r="F22" i="1"/>
  <c r="F14" i="1"/>
  <c r="F21" i="1"/>
  <c r="F23" i="1"/>
  <c r="F13" i="1"/>
  <c r="F15" i="1"/>
  <c r="F19" i="1"/>
  <c r="F18" i="1"/>
  <c r="F11" i="1"/>
  <c r="F24" i="1"/>
  <c r="C11" i="1" l="1"/>
  <c r="C13" i="1" s="1"/>
  <c r="C16" i="1" s="1"/>
  <c r="C10" i="1"/>
  <c r="C14" i="1" s="1"/>
  <c r="C17" i="1" l="1"/>
  <c r="C18" i="1" s="1"/>
  <c r="C19" i="1" s="1"/>
  <c r="C20" i="1" s="1"/>
  <c r="C21" i="1" s="1"/>
  <c r="C23" i="1" s="1"/>
  <c r="S30" i="1"/>
  <c r="Q30" i="1"/>
  <c r="O30" i="1"/>
  <c r="J30" i="1"/>
  <c r="H30" i="1"/>
  <c r="L30" i="1"/>
  <c r="S26" i="1" l="1"/>
  <c r="R26" i="1"/>
  <c r="U26" i="1"/>
  <c r="X26" i="1"/>
  <c r="R30" i="1"/>
  <c r="I26" i="1"/>
  <c r="Q26" i="1"/>
  <c r="K26" i="1"/>
  <c r="X30" i="1"/>
  <c r="V26" i="1"/>
  <c r="N26" i="1"/>
  <c r="M26" i="1"/>
  <c r="O26" i="1"/>
  <c r="N30" i="1"/>
  <c r="M30" i="1"/>
  <c r="U30" i="1"/>
  <c r="L26" i="1"/>
  <c r="I30" i="1"/>
  <c r="K30" i="1"/>
  <c r="P26" i="1"/>
  <c r="T26" i="1"/>
  <c r="T30" i="1"/>
  <c r="P30" i="1"/>
  <c r="H26" i="1"/>
  <c r="J26" i="1"/>
  <c r="V30" i="1"/>
  <c r="C44" i="1"/>
  <c r="W30" i="1"/>
  <c r="W26" i="1"/>
  <c r="C47" i="1" l="1"/>
  <c r="F7" i="1" s="1"/>
  <c r="C46" i="1"/>
  <c r="F66" i="1"/>
  <c r="F40" i="1" l="1"/>
  <c r="C48" i="1"/>
  <c r="C31" i="33"/>
  <c r="C32" i="33" s="1"/>
  <c r="C33" i="33" s="1"/>
  <c r="F2" i="1"/>
  <c r="F61" i="1"/>
  <c r="F35" i="1"/>
</calcChain>
</file>

<file path=xl/sharedStrings.xml><?xml version="1.0" encoding="utf-8"?>
<sst xmlns="http://schemas.openxmlformats.org/spreadsheetml/2006/main" count="193" uniqueCount="129">
  <si>
    <t>k</t>
  </si>
  <si>
    <t>desired # of pools</t>
  </si>
  <si>
    <t>R</t>
  </si>
  <si>
    <t>ƛ</t>
  </si>
  <si>
    <t>Value</t>
  </si>
  <si>
    <t>ơ</t>
  </si>
  <si>
    <t>ơ'</t>
  </si>
  <si>
    <t>pool share [capped at 1/k]</t>
  </si>
  <si>
    <t>max. pool size [1/k]</t>
  </si>
  <si>
    <t>ƛ'</t>
  </si>
  <si>
    <t>leader share [capped at 1/k]</t>
  </si>
  <si>
    <t>epoch rewards represented as percentage</t>
  </si>
  <si>
    <t>A</t>
  </si>
  <si>
    <t>B</t>
  </si>
  <si>
    <t>ƛ' * A</t>
  </si>
  <si>
    <t>C</t>
  </si>
  <si>
    <t>ơ' -B</t>
  </si>
  <si>
    <t>D</t>
  </si>
  <si>
    <t>E</t>
  </si>
  <si>
    <t>F</t>
  </si>
  <si>
    <t>G</t>
  </si>
  <si>
    <t xml:space="preserve"> ơ' + E</t>
  </si>
  <si>
    <t>=</t>
  </si>
  <si>
    <t>Result</t>
  </si>
  <si>
    <t>Epoch Length (days)</t>
  </si>
  <si>
    <t>Saturation Point</t>
  </si>
  <si>
    <t>Variables</t>
  </si>
  <si>
    <t>Comments</t>
  </si>
  <si>
    <t>Pool Size</t>
  </si>
  <si>
    <t>Pool Size (ADA)</t>
  </si>
  <si>
    <t>Operator Pledge (ADA)</t>
  </si>
  <si>
    <t>Pool Operator Pledge</t>
  </si>
  <si>
    <t>Staking Ratio</t>
  </si>
  <si>
    <t>USD/ADA Price</t>
  </si>
  <si>
    <t>Variable Pool Fees</t>
  </si>
  <si>
    <t>pledged stake influence factor</t>
  </si>
  <si>
    <t>pool's total share of the stake</t>
  </si>
  <si>
    <t>a</t>
  </si>
  <si>
    <t>b</t>
  </si>
  <si>
    <t>R/(1 + a)</t>
  </si>
  <si>
    <t xml:space="preserve">ƛ' * a  * D </t>
  </si>
  <si>
    <t>C/b</t>
  </si>
  <si>
    <t>(1-ơ'/b)</t>
  </si>
  <si>
    <t>Total Liquid Supply (ADA)</t>
  </si>
  <si>
    <t>Pool size premium</t>
  </si>
  <si>
    <t>Pledge Amount Percentile</t>
  </si>
  <si>
    <t>Pledge</t>
  </si>
  <si>
    <t>Pools</t>
  </si>
  <si>
    <t>Max.Return</t>
  </si>
  <si>
    <t>Total Staked ADA</t>
  </si>
  <si>
    <t xml:space="preserve">pledged stake share </t>
  </si>
  <si>
    <t>Annual Pool Reward (%)</t>
  </si>
  <si>
    <t>Annual Delegator Net Reward</t>
  </si>
  <si>
    <t>Pool Fixed costs (ADA/epoch)</t>
  </si>
  <si>
    <t>Reserves</t>
  </si>
  <si>
    <t>Epoch</t>
  </si>
  <si>
    <t>Days</t>
  </si>
  <si>
    <t>Date</t>
  </si>
  <si>
    <t>Decay Rate</t>
  </si>
  <si>
    <t>Total</t>
  </si>
  <si>
    <t>Cumulative Reward Distribution</t>
  </si>
  <si>
    <t>Pool Performance</t>
  </si>
  <si>
    <t>ADA in Circulation</t>
  </si>
  <si>
    <t>Earned Rewards After Treasury Tax</t>
  </si>
  <si>
    <t>Total Rewards Before Treasury Tax</t>
  </si>
  <si>
    <t xml:space="preserve">Pledge Amount </t>
  </si>
  <si>
    <t>rho: The Reserve Decay Parameter</t>
  </si>
  <si>
    <t>k: The Desired Number of Pools</t>
  </si>
  <si>
    <t>tau: Treasury Tax Rate</t>
  </si>
  <si>
    <t>ADA In Circulation</t>
  </si>
  <si>
    <t>Average Epoch Rewards Before Treasury Tax</t>
  </si>
  <si>
    <t>Pool Reward per Epoch After Taxes (ADA)</t>
  </si>
  <si>
    <t>Pool fee</t>
  </si>
  <si>
    <t>USD/ADA</t>
  </si>
  <si>
    <t>Year</t>
  </si>
  <si>
    <t>Total Pool Rewards Per Epoch After  Treasury Taxes (ADA)</t>
  </si>
  <si>
    <t>Assumptions/Inputs</t>
  </si>
  <si>
    <t>ROS After Treasury Tax, Before Pool Fees (excludes tx. Fees)</t>
  </si>
  <si>
    <t>Year End</t>
  </si>
  <si>
    <t>Tx. Fees</t>
  </si>
  <si>
    <t>Max Block Size</t>
  </si>
  <si>
    <t>Max. Tx. Size</t>
  </si>
  <si>
    <t>min. tx/block</t>
  </si>
  <si>
    <t>Active slots</t>
  </si>
  <si>
    <t>tx. Fees</t>
  </si>
  <si>
    <t>Network ROS after Treasury Tax (Including tx. Fees)</t>
  </si>
  <si>
    <t>Network ROS Before Treasury Tax</t>
  </si>
  <si>
    <t>average tx. Size (bytes)</t>
  </si>
  <si>
    <t>nOps</t>
  </si>
  <si>
    <t>variance</t>
  </si>
  <si>
    <t>Blocks</t>
  </si>
  <si>
    <t>Probability</t>
  </si>
  <si>
    <t>st.deviation</t>
  </si>
  <si>
    <t>3 standard deviations</t>
  </si>
  <si>
    <t>Pool's Stake</t>
  </si>
  <si>
    <t xml:space="preserve">Annual Total Operator Fees </t>
  </si>
  <si>
    <t>ADA/Block</t>
  </si>
  <si>
    <t>Epoch Payouts</t>
  </si>
  <si>
    <t>Rewards</t>
  </si>
  <si>
    <t>Excess Rewards</t>
  </si>
  <si>
    <t>Active Stake</t>
  </si>
  <si>
    <t>Blocks per Epoch at d=0</t>
  </si>
  <si>
    <t>Epoch Rewards (ADA)</t>
  </si>
  <si>
    <t>Pool size</t>
  </si>
  <si>
    <t>Total Active Stake</t>
  </si>
  <si>
    <t>Total Stake</t>
  </si>
  <si>
    <t>a0</t>
  </si>
  <si>
    <t>Actual Blocks</t>
  </si>
  <si>
    <t>Performance</t>
  </si>
  <si>
    <t>d</t>
  </si>
  <si>
    <t>Chart Inputs</t>
  </si>
  <si>
    <t xml:space="preserve">Rewards After Tr.Tax </t>
  </si>
  <si>
    <t>Opt. Rewards</t>
  </si>
  <si>
    <t>Exp. Blocks</t>
  </si>
  <si>
    <t>fixed fee</t>
  </si>
  <si>
    <t>op. fees</t>
  </si>
  <si>
    <t>Pool fees</t>
  </si>
  <si>
    <t>Stakeholder Rewards</t>
  </si>
  <si>
    <t>n (number of trials)</t>
  </si>
  <si>
    <t>p (pool probability of success )</t>
  </si>
  <si>
    <t>k factor (number of desired pools)</t>
  </si>
  <si>
    <t>Stakeholder ROS</t>
  </si>
  <si>
    <t>stakeholder ROS</t>
  </si>
  <si>
    <t>Epoch 212</t>
  </si>
  <si>
    <t>Epoch 213</t>
  </si>
  <si>
    <t>Epoch 214</t>
  </si>
  <si>
    <t>Epoch 215</t>
  </si>
  <si>
    <t>Net Stakeholder Returns= f( Pledge Amount, Pool Size)</t>
  </si>
  <si>
    <t>Epoch 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</si>
</sst>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00"/>
    <numFmt numFmtId="165" formatCode="0.00000"/>
    <numFmt numFmtId="166" formatCode="0.0"/>
    <numFmt numFmtId="167" formatCode="#,##0.00000000"/>
    <numFmt numFmtId="168" formatCode="0.0000%"/>
    <numFmt numFmtId="169" formatCode="0.0%"/>
    <numFmt numFmtId="170" formatCode="0.0000000000"/>
    <numFmt numFmtId="171" formatCode="0.00000000"/>
    <numFmt numFmtId="172" formatCode="_(* #,##0_);_(* \(#,##0\);_(* &quot;-&quot;??_);_(@_)"/>
    <numFmt numFmtId="173" formatCode="#,##0.000000"/>
    <numFmt numFmtId="174" formatCode="0.000%"/>
    <numFmt numFmtId="175" formatCode="#,##0.0"/>
    <numFmt numFmtId="177" formatCode="0.0000"/>
    <numFmt numFmtId="178" formatCode="0.000"/>
    <numFmt numFmtId="179" formatCode="#,##0.0000000"/>
    <numFmt numFmtId="180" formatCode="#,##0.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61">
    <xf numFmtId="0" fontId="0" fillId="0" borderId="0" xfId="0"/>
    <xf numFmtId="0" fontId="0" fillId="0" borderId="0" xfId="0" applyAlignment="1">
      <alignment horizontal="center"/>
    </xf>
    <xf numFmtId="3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0" fillId="4" borderId="0" xfId="0" applyNumberFormat="1" applyFill="1" applyAlignment="1">
      <alignment horizontal="center"/>
    </xf>
    <xf numFmtId="6" fontId="0" fillId="4" borderId="0" xfId="0" applyNumberFormat="1" applyFill="1" applyAlignment="1">
      <alignment horizontal="center"/>
    </xf>
    <xf numFmtId="0" fontId="0" fillId="4" borderId="0" xfId="0" applyFill="1"/>
    <xf numFmtId="0" fontId="2" fillId="0" borderId="0" xfId="0" applyFont="1" applyFill="1"/>
    <xf numFmtId="10" fontId="2" fillId="0" borderId="0" xfId="0" applyNumberFormat="1" applyFont="1" applyFill="1" applyAlignment="1">
      <alignment horizontal="center"/>
    </xf>
    <xf numFmtId="9" fontId="3" fillId="4" borderId="6" xfId="0" applyNumberFormat="1" applyFont="1" applyFill="1" applyBorder="1"/>
    <xf numFmtId="3" fontId="2" fillId="4" borderId="7" xfId="0" applyNumberFormat="1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3" fontId="2" fillId="4" borderId="9" xfId="0" applyNumberFormat="1" applyFont="1" applyFill="1" applyBorder="1" applyAlignment="1">
      <alignment horizontal="center"/>
    </xf>
    <xf numFmtId="10" fontId="1" fillId="4" borderId="0" xfId="2" applyNumberFormat="1" applyFont="1" applyFill="1" applyBorder="1" applyAlignment="1">
      <alignment horizontal="center"/>
    </xf>
    <xf numFmtId="10" fontId="1" fillId="4" borderId="12" xfId="2" applyNumberFormat="1" applyFont="1" applyFill="1" applyBorder="1" applyAlignment="1">
      <alignment horizontal="center"/>
    </xf>
    <xf numFmtId="10" fontId="1" fillId="4" borderId="13" xfId="2" applyNumberFormat="1" applyFont="1" applyFill="1" applyBorder="1" applyAlignment="1">
      <alignment horizontal="center"/>
    </xf>
    <xf numFmtId="10" fontId="1" fillId="4" borderId="10" xfId="2" applyNumberFormat="1" applyFont="1" applyFill="1" applyBorder="1" applyAlignment="1">
      <alignment horizontal="center"/>
    </xf>
    <xf numFmtId="0" fontId="2" fillId="4" borderId="0" xfId="0" applyFont="1" applyFill="1"/>
    <xf numFmtId="8" fontId="0" fillId="4" borderId="0" xfId="0" applyNumberFormat="1" applyFill="1"/>
    <xf numFmtId="0" fontId="2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Border="1"/>
    <xf numFmtId="4" fontId="0" fillId="4" borderId="0" xfId="0" applyNumberFormat="1" applyFill="1"/>
    <xf numFmtId="166" fontId="0" fillId="4" borderId="0" xfId="0" applyNumberFormat="1" applyFill="1" applyAlignment="1">
      <alignment horizontal="center"/>
    </xf>
    <xf numFmtId="10" fontId="2" fillId="0" borderId="0" xfId="0" applyNumberFormat="1" applyFont="1" applyFill="1" applyBorder="1" applyAlignment="1">
      <alignment horizontal="center"/>
    </xf>
    <xf numFmtId="10" fontId="0" fillId="4" borderId="0" xfId="0" applyNumberForma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/>
    </xf>
    <xf numFmtId="10" fontId="2" fillId="4" borderId="12" xfId="2" applyNumberFormat="1" applyFont="1" applyFill="1" applyBorder="1" applyAlignment="1">
      <alignment horizontal="center"/>
    </xf>
    <xf numFmtId="3" fontId="5" fillId="4" borderId="0" xfId="0" applyNumberFormat="1" applyFont="1" applyFill="1" applyAlignment="1">
      <alignment horizontal="center"/>
    </xf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9" xfId="0" applyFont="1" applyFill="1" applyBorder="1"/>
    <xf numFmtId="10" fontId="2" fillId="4" borderId="20" xfId="0" applyNumberFormat="1" applyFont="1" applyFill="1" applyBorder="1" applyAlignment="1">
      <alignment horizontal="center"/>
    </xf>
    <xf numFmtId="10" fontId="1" fillId="4" borderId="0" xfId="1" applyNumberFormat="1" applyFont="1" applyFill="1" applyBorder="1" applyAlignment="1">
      <alignment horizontal="center"/>
    </xf>
    <xf numFmtId="10" fontId="1" fillId="4" borderId="10" xfId="1" applyNumberFormat="1" applyFont="1" applyFill="1" applyBorder="1" applyAlignment="1">
      <alignment horizontal="center"/>
    </xf>
    <xf numFmtId="10" fontId="3" fillId="4" borderId="0" xfId="2" applyNumberFormat="1" applyFont="1" applyFill="1" applyBorder="1" applyAlignment="1">
      <alignment horizontal="center"/>
    </xf>
    <xf numFmtId="10" fontId="3" fillId="4" borderId="12" xfId="2" applyNumberFormat="1" applyFont="1" applyFill="1" applyBorder="1" applyAlignment="1">
      <alignment horizontal="center"/>
    </xf>
    <xf numFmtId="10" fontId="3" fillId="4" borderId="13" xfId="2" applyNumberFormat="1" applyFont="1" applyFill="1" applyBorder="1" applyAlignment="1">
      <alignment horizontal="center"/>
    </xf>
    <xf numFmtId="10" fontId="3" fillId="4" borderId="10" xfId="2" applyNumberFormat="1" applyFont="1" applyFill="1" applyBorder="1" applyAlignment="1">
      <alignment horizontal="center"/>
    </xf>
    <xf numFmtId="0" fontId="6" fillId="4" borderId="0" xfId="0" applyFont="1" applyFill="1"/>
    <xf numFmtId="9" fontId="0" fillId="4" borderId="0" xfId="0" applyNumberForma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3" fontId="5" fillId="4" borderId="0" xfId="1" applyNumberFormat="1" applyFont="1" applyFill="1" applyBorder="1" applyAlignment="1">
      <alignment horizontal="center"/>
    </xf>
    <xf numFmtId="3" fontId="3" fillId="4" borderId="6" xfId="0" applyNumberFormat="1" applyFont="1" applyFill="1" applyBorder="1"/>
    <xf numFmtId="3" fontId="1" fillId="4" borderId="0" xfId="2" applyNumberFormat="1" applyFont="1" applyFill="1" applyBorder="1" applyAlignment="1">
      <alignment horizontal="center"/>
    </xf>
    <xf numFmtId="3" fontId="1" fillId="4" borderId="0" xfId="1" applyNumberFormat="1" applyFont="1" applyFill="1" applyBorder="1" applyAlignment="1">
      <alignment horizontal="center"/>
    </xf>
    <xf numFmtId="3" fontId="1" fillId="4" borderId="10" xfId="1" applyNumberFormat="1" applyFont="1" applyFill="1" applyBorder="1" applyAlignment="1">
      <alignment horizontal="center"/>
    </xf>
    <xf numFmtId="3" fontId="1" fillId="4" borderId="10" xfId="2" applyNumberFormat="1" applyFont="1" applyFill="1" applyBorder="1" applyAlignment="1">
      <alignment horizontal="center"/>
    </xf>
    <xf numFmtId="3" fontId="6" fillId="4" borderId="0" xfId="2" applyNumberFormat="1" applyFont="1" applyFill="1" applyBorder="1" applyAlignment="1">
      <alignment horizontal="center"/>
    </xf>
    <xf numFmtId="3" fontId="6" fillId="4" borderId="10" xfId="2" applyNumberFormat="1" applyFont="1" applyFill="1" applyBorder="1" applyAlignment="1">
      <alignment horizontal="center"/>
    </xf>
    <xf numFmtId="3" fontId="6" fillId="4" borderId="12" xfId="2" applyNumberFormat="1" applyFont="1" applyFill="1" applyBorder="1" applyAlignment="1">
      <alignment horizontal="center"/>
    </xf>
    <xf numFmtId="3" fontId="6" fillId="4" borderId="13" xfId="2" applyNumberFormat="1" applyFont="1" applyFill="1" applyBorder="1" applyAlignment="1">
      <alignment horizontal="center"/>
    </xf>
    <xf numFmtId="43" fontId="3" fillId="4" borderId="0" xfId="1" applyFont="1" applyFill="1" applyBorder="1" applyAlignment="1">
      <alignment horizontal="center"/>
    </xf>
    <xf numFmtId="43" fontId="3" fillId="4" borderId="10" xfId="1" applyFont="1" applyFill="1" applyBorder="1" applyAlignment="1">
      <alignment horizontal="center"/>
    </xf>
    <xf numFmtId="43" fontId="3" fillId="4" borderId="0" xfId="1" applyNumberFormat="1" applyFont="1" applyFill="1" applyBorder="1" applyAlignment="1">
      <alignment horizontal="center"/>
    </xf>
    <xf numFmtId="10" fontId="2" fillId="4" borderId="0" xfId="0" applyNumberFormat="1" applyFont="1" applyFill="1" applyAlignment="1">
      <alignment horizontal="center"/>
    </xf>
    <xf numFmtId="10" fontId="2" fillId="4" borderId="0" xfId="0" applyNumberFormat="1" applyFont="1" applyFill="1" applyBorder="1" applyAlignment="1">
      <alignment horizontal="center"/>
    </xf>
    <xf numFmtId="10" fontId="2" fillId="4" borderId="16" xfId="0" applyNumberFormat="1" applyFont="1" applyFill="1" applyBorder="1" applyAlignment="1">
      <alignment horizontal="center"/>
    </xf>
    <xf numFmtId="10" fontId="2" fillId="4" borderId="18" xfId="0" applyNumberFormat="1" applyFont="1" applyFill="1" applyBorder="1" applyAlignment="1">
      <alignment horizontal="center"/>
    </xf>
    <xf numFmtId="3" fontId="8" fillId="2" borderId="4" xfId="1" applyNumberFormat="1" applyFont="1" applyFill="1" applyBorder="1" applyAlignment="1">
      <alignment horizontal="center"/>
    </xf>
    <xf numFmtId="10" fontId="8" fillId="2" borderId="14" xfId="0" applyNumberFormat="1" applyFont="1" applyFill="1" applyBorder="1" applyAlignment="1">
      <alignment horizontal="center"/>
    </xf>
    <xf numFmtId="3" fontId="8" fillId="2" borderId="14" xfId="0" applyNumberFormat="1" applyFont="1" applyFill="1" applyBorder="1" applyAlignment="1">
      <alignment horizontal="center"/>
    </xf>
    <xf numFmtId="8" fontId="10" fillId="4" borderId="23" xfId="0" applyNumberFormat="1" applyFont="1" applyFill="1" applyBorder="1" applyAlignment="1">
      <alignment horizontal="center"/>
    </xf>
    <xf numFmtId="9" fontId="8" fillId="4" borderId="24" xfId="0" applyNumberFormat="1" applyFont="1" applyFill="1" applyBorder="1" applyAlignment="1">
      <alignment horizontal="center"/>
    </xf>
    <xf numFmtId="3" fontId="6" fillId="4" borderId="0" xfId="0" applyNumberFormat="1" applyFont="1" applyFill="1" applyAlignment="1">
      <alignment horizontal="center"/>
    </xf>
    <xf numFmtId="4" fontId="0" fillId="4" borderId="0" xfId="0" applyNumberFormat="1" applyFill="1" applyAlignment="1">
      <alignment horizontal="center"/>
    </xf>
    <xf numFmtId="3" fontId="10" fillId="2" borderId="22" xfId="0" applyNumberFormat="1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0" fontId="11" fillId="4" borderId="0" xfId="3" applyNumberFormat="1" applyFill="1" applyAlignment="1">
      <alignment horizontal="center"/>
    </xf>
    <xf numFmtId="1" fontId="11" fillId="4" borderId="0" xfId="3" applyNumberFormat="1" applyFill="1" applyAlignment="1">
      <alignment horizontal="center"/>
    </xf>
    <xf numFmtId="166" fontId="11" fillId="4" borderId="0" xfId="3" applyNumberFormat="1" applyFill="1" applyAlignment="1">
      <alignment horizontal="center"/>
    </xf>
    <xf numFmtId="169" fontId="11" fillId="4" borderId="0" xfId="3" applyNumberFormat="1" applyFill="1" applyAlignment="1">
      <alignment horizontal="center"/>
    </xf>
    <xf numFmtId="3" fontId="11" fillId="4" borderId="0" xfId="3" applyNumberFormat="1" applyFill="1" applyAlignment="1">
      <alignment horizontal="center"/>
    </xf>
    <xf numFmtId="10" fontId="0" fillId="4" borderId="0" xfId="0" applyNumberFormat="1" applyFill="1"/>
    <xf numFmtId="0" fontId="2" fillId="4" borderId="21" xfId="0" applyFont="1" applyFill="1" applyBorder="1" applyAlignment="1">
      <alignment horizontal="center"/>
    </xf>
    <xf numFmtId="10" fontId="7" fillId="4" borderId="21" xfId="0" applyNumberFormat="1" applyFont="1" applyFill="1" applyBorder="1"/>
    <xf numFmtId="9" fontId="0" fillId="4" borderId="0" xfId="0" applyNumberFormat="1" applyFill="1"/>
    <xf numFmtId="14" fontId="0" fillId="4" borderId="0" xfId="0" applyNumberFormat="1" applyFill="1" applyAlignment="1">
      <alignment horizontal="center"/>
    </xf>
    <xf numFmtId="3" fontId="0" fillId="4" borderId="0" xfId="0" applyNumberFormat="1" applyFill="1"/>
    <xf numFmtId="9" fontId="3" fillId="4" borderId="0" xfId="0" applyNumberFormat="1" applyFont="1" applyFill="1" applyAlignment="1">
      <alignment horizontal="center"/>
    </xf>
    <xf numFmtId="0" fontId="3" fillId="4" borderId="0" xfId="0" applyFont="1" applyFill="1"/>
    <xf numFmtId="3" fontId="2" fillId="4" borderId="1" xfId="0" applyNumberFormat="1" applyFont="1" applyFill="1" applyBorder="1" applyAlignment="1">
      <alignment horizontal="center"/>
    </xf>
    <xf numFmtId="3" fontId="2" fillId="4" borderId="2" xfId="2" applyNumberFormat="1" applyFont="1" applyFill="1" applyBorder="1" applyAlignment="1">
      <alignment horizontal="center"/>
    </xf>
    <xf numFmtId="3" fontId="2" fillId="4" borderId="2" xfId="1" applyNumberFormat="1" applyFont="1" applyFill="1" applyBorder="1" applyAlignment="1">
      <alignment horizontal="center"/>
    </xf>
    <xf numFmtId="3" fontId="2" fillId="4" borderId="3" xfId="1" applyNumberFormat="1" applyFont="1" applyFill="1" applyBorder="1" applyAlignment="1">
      <alignment horizontal="center"/>
    </xf>
    <xf numFmtId="0" fontId="2" fillId="4" borderId="0" xfId="0" applyFont="1" applyFill="1" applyBorder="1"/>
    <xf numFmtId="165" fontId="6" fillId="4" borderId="0" xfId="0" applyNumberFormat="1" applyFont="1" applyFill="1" applyAlignment="1">
      <alignment horizontal="center"/>
    </xf>
    <xf numFmtId="164" fontId="6" fillId="4" borderId="0" xfId="0" quotePrefix="1" applyNumberFormat="1" applyFon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0" fontId="0" fillId="4" borderId="0" xfId="0" applyNumberFormat="1" applyFill="1"/>
    <xf numFmtId="171" fontId="2" fillId="4" borderId="0" xfId="0" applyNumberFormat="1" applyFont="1" applyFill="1" applyAlignment="1">
      <alignment horizontal="center"/>
    </xf>
    <xf numFmtId="169" fontId="0" fillId="4" borderId="0" xfId="0" applyNumberFormat="1" applyFill="1" applyAlignment="1">
      <alignment horizontal="center"/>
    </xf>
    <xf numFmtId="3" fontId="8" fillId="4" borderId="24" xfId="0" applyNumberFormat="1" applyFont="1" applyFill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0" fontId="2" fillId="0" borderId="0" xfId="0" applyFont="1"/>
    <xf numFmtId="0" fontId="8" fillId="2" borderId="4" xfId="0" applyNumberFormat="1" applyFont="1" applyFill="1" applyBorder="1" applyAlignment="1">
      <alignment horizontal="center"/>
    </xf>
    <xf numFmtId="1" fontId="6" fillId="4" borderId="0" xfId="0" applyNumberFormat="1" applyFont="1" applyFill="1" applyBorder="1" applyAlignment="1">
      <alignment horizontal="center"/>
    </xf>
    <xf numFmtId="2" fontId="8" fillId="4" borderId="0" xfId="0" applyNumberFormat="1" applyFont="1" applyFill="1" applyBorder="1" applyAlignment="1">
      <alignment horizontal="center"/>
    </xf>
    <xf numFmtId="4" fontId="8" fillId="2" borderId="22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72" fontId="2" fillId="0" borderId="0" xfId="1" applyNumberFormat="1" applyFont="1" applyFill="1" applyBorder="1" applyAlignment="1">
      <alignment horizontal="center"/>
    </xf>
    <xf numFmtId="0" fontId="11" fillId="0" borderId="0" xfId="3" applyFill="1" applyBorder="1"/>
    <xf numFmtId="10" fontId="11" fillId="0" borderId="0" xfId="3" applyNumberFormat="1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8" fontId="11" fillId="0" borderId="0" xfId="3" applyNumberFormat="1" applyFill="1" applyBorder="1" applyAlignment="1">
      <alignment horizontal="center"/>
    </xf>
    <xf numFmtId="168" fontId="2" fillId="0" borderId="0" xfId="0" applyNumberFormat="1" applyFont="1" applyFill="1" applyBorder="1" applyAlignment="1">
      <alignment horizontal="center"/>
    </xf>
    <xf numFmtId="168" fontId="0" fillId="0" borderId="0" xfId="0" applyNumberFormat="1" applyFill="1" applyBorder="1"/>
    <xf numFmtId="9" fontId="0" fillId="4" borderId="0" xfId="0" applyNumberFormat="1" applyFill="1" applyAlignment="1">
      <alignment horizontal="center"/>
    </xf>
    <xf numFmtId="174" fontId="2" fillId="4" borderId="3" xfId="0" applyNumberFormat="1" applyFont="1" applyFill="1" applyBorder="1" applyAlignment="1">
      <alignment horizontal="center"/>
    </xf>
    <xf numFmtId="173" fontId="0" fillId="4" borderId="0" xfId="0" applyNumberFormat="1" applyFill="1" applyAlignment="1">
      <alignment horizontal="center"/>
    </xf>
    <xf numFmtId="10" fontId="6" fillId="4" borderId="0" xfId="0" applyNumberFormat="1" applyFont="1" applyFill="1" applyBorder="1" applyAlignment="1">
      <alignment horizontal="center"/>
    </xf>
    <xf numFmtId="0" fontId="2" fillId="4" borderId="1" xfId="0" quotePrefix="1" applyFont="1" applyFill="1" applyBorder="1"/>
    <xf numFmtId="0" fontId="2" fillId="4" borderId="0" xfId="0" quotePrefix="1" applyFont="1" applyFill="1"/>
    <xf numFmtId="8" fontId="8" fillId="2" borderId="14" xfId="0" applyNumberFormat="1" applyFont="1" applyFill="1" applyBorder="1" applyAlignment="1">
      <alignment horizontal="center"/>
    </xf>
    <xf numFmtId="3" fontId="8" fillId="2" borderId="5" xfId="1" applyNumberFormat="1" applyFont="1" applyFill="1" applyBorder="1" applyAlignment="1">
      <alignment horizontal="center"/>
    </xf>
    <xf numFmtId="0" fontId="12" fillId="4" borderId="0" xfId="0" applyFont="1" applyFill="1"/>
    <xf numFmtId="164" fontId="14" fillId="4" borderId="0" xfId="0" applyNumberFormat="1" applyFont="1" applyFill="1" applyBorder="1" applyAlignment="1">
      <alignment horizontal="center"/>
    </xf>
    <xf numFmtId="164" fontId="14" fillId="4" borderId="0" xfId="0" applyNumberFormat="1" applyFont="1" applyFill="1" applyAlignment="1">
      <alignment horizontal="center"/>
    </xf>
    <xf numFmtId="3" fontId="0" fillId="2" borderId="5" xfId="0" applyNumberForma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165" fontId="0" fillId="4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74" fontId="2" fillId="4" borderId="0" xfId="0" applyNumberFormat="1" applyFont="1" applyFill="1" applyBorder="1" applyAlignment="1">
      <alignment horizontal="center"/>
    </xf>
    <xf numFmtId="4" fontId="8" fillId="4" borderId="0" xfId="0" applyNumberFormat="1" applyFont="1" applyFill="1" applyBorder="1" applyAlignment="1">
      <alignment horizontal="center"/>
    </xf>
    <xf numFmtId="0" fontId="15" fillId="2" borderId="0" xfId="0" applyFont="1" applyFill="1" applyAlignment="1">
      <alignment horizontal="center"/>
    </xf>
    <xf numFmtId="4" fontId="0" fillId="4" borderId="0" xfId="0" applyNumberFormat="1" applyFill="1" applyBorder="1" applyAlignment="1">
      <alignment horizontal="center"/>
    </xf>
    <xf numFmtId="9" fontId="2" fillId="4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9" fontId="0" fillId="4" borderId="0" xfId="0" applyNumberForma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6" fontId="0" fillId="0" borderId="0" xfId="0" applyNumberFormat="1" applyFill="1"/>
    <xf numFmtId="6" fontId="1" fillId="0" borderId="0" xfId="2" applyNumberFormat="1" applyFont="1" applyFill="1" applyBorder="1" applyAlignment="1">
      <alignment horizontal="center"/>
    </xf>
    <xf numFmtId="6" fontId="1" fillId="0" borderId="0" xfId="1" applyNumberFormat="1" applyFont="1" applyFill="1" applyBorder="1" applyAlignment="1">
      <alignment horizontal="center"/>
    </xf>
    <xf numFmtId="6" fontId="6" fillId="0" borderId="0" xfId="2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0" xfId="1" applyNumberFormat="1" applyFont="1" applyFill="1" applyBorder="1" applyAlignment="1">
      <alignment horizontal="center"/>
    </xf>
    <xf numFmtId="8" fontId="10" fillId="0" borderId="0" xfId="0" applyNumberFormat="1" applyFont="1" applyFill="1" applyBorder="1" applyAlignment="1">
      <alignment horizontal="center"/>
    </xf>
    <xf numFmtId="6" fontId="0" fillId="0" borderId="0" xfId="0" applyNumberFormat="1" applyFill="1" applyBorder="1"/>
    <xf numFmtId="9" fontId="8" fillId="0" borderId="0" xfId="0" applyNumberFormat="1" applyFont="1" applyFill="1" applyBorder="1" applyAlignment="1">
      <alignment horizontal="center"/>
    </xf>
    <xf numFmtId="3" fontId="8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3" fontId="3" fillId="0" borderId="0" xfId="0" applyNumberFormat="1" applyFont="1" applyFill="1" applyBorder="1"/>
    <xf numFmtId="3" fontId="2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 textRotation="255"/>
    </xf>
    <xf numFmtId="0" fontId="3" fillId="0" borderId="0" xfId="0" applyFont="1" applyFill="1"/>
    <xf numFmtId="10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175" fontId="0" fillId="0" borderId="0" xfId="0" applyNumberForma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0" fillId="0" borderId="0" xfId="0" quotePrefix="1" applyFill="1"/>
    <xf numFmtId="0" fontId="6" fillId="0" borderId="0" xfId="0" applyFont="1" applyFill="1"/>
    <xf numFmtId="1" fontId="6" fillId="0" borderId="0" xfId="0" applyNumberFormat="1" applyFont="1" applyFill="1" applyAlignment="1">
      <alignment horizontal="center"/>
    </xf>
    <xf numFmtId="6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/>
    <xf numFmtId="6" fontId="0" fillId="0" borderId="0" xfId="0" applyNumberFormat="1" applyFont="1" applyFill="1" applyAlignment="1">
      <alignment horizontal="center"/>
    </xf>
    <xf numFmtId="0" fontId="0" fillId="0" borderId="0" xfId="0" applyFont="1" applyFill="1" applyBorder="1"/>
    <xf numFmtId="6" fontId="0" fillId="0" borderId="0" xfId="0" applyNumberFormat="1" applyFill="1" applyBorder="1" applyAlignment="1">
      <alignment horizontal="center"/>
    </xf>
    <xf numFmtId="6" fontId="0" fillId="0" borderId="0" xfId="0" applyNumberFormat="1" applyFill="1" applyAlignment="1">
      <alignment horizontal="center"/>
    </xf>
    <xf numFmtId="9" fontId="0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/>
    <xf numFmtId="166" fontId="2" fillId="0" borderId="0" xfId="0" applyNumberFormat="1" applyFont="1" applyFill="1" applyBorder="1" applyAlignment="1"/>
    <xf numFmtId="3" fontId="15" fillId="2" borderId="0" xfId="0" applyNumberFormat="1" applyFont="1" applyFill="1" applyAlignment="1">
      <alignment horizontal="center"/>
    </xf>
    <xf numFmtId="3" fontId="2" fillId="4" borderId="0" xfId="0" applyNumberFormat="1" applyFont="1" applyFill="1" applyBorder="1" applyAlignment="1">
      <alignment horizontal="center"/>
    </xf>
    <xf numFmtId="3" fontId="0" fillId="4" borderId="6" xfId="0" applyNumberFormat="1" applyFill="1" applyBorder="1" applyAlignment="1">
      <alignment horizontal="center"/>
    </xf>
    <xf numFmtId="3" fontId="0" fillId="4" borderId="7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3" fontId="0" fillId="4" borderId="9" xfId="0" applyNumberFormat="1" applyFill="1" applyBorder="1" applyAlignment="1">
      <alignment horizontal="center"/>
    </xf>
    <xf numFmtId="3" fontId="0" fillId="4" borderId="0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3" fontId="0" fillId="4" borderId="11" xfId="0" applyNumberFormat="1" applyFill="1" applyBorder="1" applyAlignment="1">
      <alignment horizontal="center"/>
    </xf>
    <xf numFmtId="3" fontId="0" fillId="4" borderId="12" xfId="0" applyNumberFormat="1" applyFill="1" applyBorder="1" applyAlignment="1">
      <alignment horizontal="center"/>
    </xf>
    <xf numFmtId="2" fontId="0" fillId="4" borderId="13" xfId="0" applyNumberFormat="1" applyFill="1" applyBorder="1" applyAlignment="1">
      <alignment horizontal="center"/>
    </xf>
    <xf numFmtId="2" fontId="6" fillId="4" borderId="6" xfId="0" applyNumberFormat="1" applyFont="1" applyFill="1" applyBorder="1" applyAlignment="1">
      <alignment horizontal="center"/>
    </xf>
    <xf numFmtId="164" fontId="14" fillId="4" borderId="7" xfId="0" applyNumberFormat="1" applyFont="1" applyFill="1" applyBorder="1" applyAlignment="1">
      <alignment horizontal="center"/>
    </xf>
    <xf numFmtId="165" fontId="6" fillId="4" borderId="7" xfId="0" applyNumberFormat="1" applyFont="1" applyFill="1" applyBorder="1" applyAlignment="1">
      <alignment horizontal="center"/>
    </xf>
    <xf numFmtId="164" fontId="6" fillId="4" borderId="7" xfId="0" quotePrefix="1" applyNumberFormat="1" applyFont="1" applyFill="1" applyBorder="1" applyAlignment="1">
      <alignment horizontal="center"/>
    </xf>
    <xf numFmtId="164" fontId="6" fillId="4" borderId="8" xfId="0" applyNumberFormat="1" applyFont="1" applyFill="1" applyBorder="1" applyAlignment="1">
      <alignment horizontal="center"/>
    </xf>
    <xf numFmtId="2" fontId="6" fillId="4" borderId="9" xfId="0" applyNumberFormat="1" applyFont="1" applyFill="1" applyBorder="1" applyAlignment="1">
      <alignment horizontal="center"/>
    </xf>
    <xf numFmtId="165" fontId="6" fillId="4" borderId="0" xfId="0" applyNumberFormat="1" applyFont="1" applyFill="1" applyBorder="1" applyAlignment="1">
      <alignment horizontal="center"/>
    </xf>
    <xf numFmtId="164" fontId="6" fillId="4" borderId="0" xfId="0" quotePrefix="1" applyNumberFormat="1" applyFont="1" applyFill="1" applyBorder="1" applyAlignment="1">
      <alignment horizontal="center"/>
    </xf>
    <xf numFmtId="164" fontId="6" fillId="4" borderId="10" xfId="0" applyNumberFormat="1" applyFont="1" applyFill="1" applyBorder="1" applyAlignment="1">
      <alignment horizontal="center"/>
    </xf>
    <xf numFmtId="2" fontId="6" fillId="4" borderId="11" xfId="0" applyNumberFormat="1" applyFont="1" applyFill="1" applyBorder="1" applyAlignment="1">
      <alignment horizontal="center"/>
    </xf>
    <xf numFmtId="164" fontId="14" fillId="4" borderId="12" xfId="0" applyNumberFormat="1" applyFont="1" applyFill="1" applyBorder="1" applyAlignment="1">
      <alignment horizontal="center"/>
    </xf>
    <xf numFmtId="165" fontId="6" fillId="4" borderId="12" xfId="0" applyNumberFormat="1" applyFont="1" applyFill="1" applyBorder="1" applyAlignment="1">
      <alignment horizontal="center"/>
    </xf>
    <xf numFmtId="164" fontId="6" fillId="4" borderId="12" xfId="0" quotePrefix="1" applyNumberFormat="1" applyFont="1" applyFill="1" applyBorder="1" applyAlignment="1">
      <alignment horizontal="center"/>
    </xf>
    <xf numFmtId="164" fontId="6" fillId="4" borderId="13" xfId="0" applyNumberFormat="1" applyFont="1" applyFill="1" applyBorder="1" applyAlignment="1">
      <alignment horizontal="center"/>
    </xf>
    <xf numFmtId="0" fontId="17" fillId="4" borderId="0" xfId="0" applyFont="1" applyFill="1" applyAlignment="1">
      <alignment horizontal="center"/>
    </xf>
    <xf numFmtId="3" fontId="15" fillId="2" borderId="4" xfId="0" applyNumberFormat="1" applyFont="1" applyFill="1" applyBorder="1" applyAlignment="1">
      <alignment horizontal="center"/>
    </xf>
    <xf numFmtId="3" fontId="15" fillId="2" borderId="14" xfId="0" applyNumberFormat="1" applyFont="1" applyFill="1" applyBorder="1" applyAlignment="1">
      <alignment horizontal="center"/>
    </xf>
    <xf numFmtId="4" fontId="15" fillId="2" borderId="5" xfId="0" applyNumberFormat="1" applyFont="1" applyFill="1" applyBorder="1" applyAlignment="1">
      <alignment horizontal="center"/>
    </xf>
    <xf numFmtId="9" fontId="15" fillId="2" borderId="0" xfId="0" applyNumberFormat="1" applyFont="1" applyFill="1" applyAlignment="1">
      <alignment horizontal="center"/>
    </xf>
    <xf numFmtId="3" fontId="2" fillId="5" borderId="0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3" fontId="2" fillId="5" borderId="8" xfId="0" applyNumberFormat="1" applyFont="1" applyFill="1" applyBorder="1" applyAlignment="1">
      <alignment horizontal="center"/>
    </xf>
    <xf numFmtId="3" fontId="2" fillId="5" borderId="10" xfId="0" applyNumberFormat="1" applyFont="1" applyFill="1" applyBorder="1" applyAlignment="1">
      <alignment horizontal="center"/>
    </xf>
    <xf numFmtId="3" fontId="2" fillId="5" borderId="12" xfId="0" applyNumberFormat="1" applyFont="1" applyFill="1" applyBorder="1" applyAlignment="1">
      <alignment horizontal="center"/>
    </xf>
    <xf numFmtId="3" fontId="2" fillId="5" borderId="13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3" fontId="8" fillId="4" borderId="0" xfId="0" applyNumberFormat="1" applyFont="1" applyFill="1" applyBorder="1" applyAlignment="1">
      <alignment horizontal="center"/>
    </xf>
    <xf numFmtId="3" fontId="15" fillId="2" borderId="22" xfId="0" applyNumberFormat="1" applyFont="1" applyFill="1" applyBorder="1" applyAlignment="1">
      <alignment horizontal="center"/>
    </xf>
    <xf numFmtId="3" fontId="17" fillId="5" borderId="6" xfId="0" applyNumberFormat="1" applyFont="1" applyFill="1" applyBorder="1" applyAlignment="1">
      <alignment horizontal="center"/>
    </xf>
    <xf numFmtId="3" fontId="17" fillId="5" borderId="9" xfId="0" applyNumberFormat="1" applyFont="1" applyFill="1" applyBorder="1" applyAlignment="1">
      <alignment horizontal="center"/>
    </xf>
    <xf numFmtId="0" fontId="15" fillId="4" borderId="0" xfId="0" applyFont="1" applyFill="1" applyAlignment="1">
      <alignment horizontal="center"/>
    </xf>
    <xf numFmtId="10" fontId="6" fillId="4" borderId="0" xfId="2" applyNumberFormat="1" applyFont="1" applyFill="1" applyBorder="1" applyAlignment="1">
      <alignment horizontal="center"/>
    </xf>
    <xf numFmtId="10" fontId="2" fillId="5" borderId="7" xfId="0" applyNumberFormat="1" applyFont="1" applyFill="1" applyBorder="1" applyAlignment="1">
      <alignment horizontal="center"/>
    </xf>
    <xf numFmtId="10" fontId="2" fillId="5" borderId="0" xfId="0" applyNumberFormat="1" applyFont="1" applyFill="1" applyBorder="1" applyAlignment="1">
      <alignment horizontal="center"/>
    </xf>
    <xf numFmtId="10" fontId="2" fillId="5" borderId="12" xfId="0" applyNumberFormat="1" applyFont="1" applyFill="1" applyBorder="1" applyAlignment="1">
      <alignment horizontal="center"/>
    </xf>
    <xf numFmtId="175" fontId="0" fillId="4" borderId="0" xfId="0" applyNumberFormat="1" applyFill="1" applyBorder="1" applyAlignment="1">
      <alignment horizontal="center"/>
    </xf>
    <xf numFmtId="175" fontId="0" fillId="4" borderId="7" xfId="0" applyNumberFormat="1" applyFill="1" applyBorder="1" applyAlignment="1">
      <alignment horizontal="center"/>
    </xf>
    <xf numFmtId="4" fontId="17" fillId="5" borderId="9" xfId="0" applyNumberFormat="1" applyFont="1" applyFill="1" applyBorder="1" applyAlignment="1">
      <alignment horizontal="center"/>
    </xf>
    <xf numFmtId="4" fontId="17" fillId="5" borderId="11" xfId="0" applyNumberFormat="1" applyFont="1" applyFill="1" applyBorder="1" applyAlignment="1">
      <alignment horizontal="center"/>
    </xf>
    <xf numFmtId="3" fontId="17" fillId="5" borderId="11" xfId="0" applyNumberFormat="1" applyFont="1" applyFill="1" applyBorder="1" applyAlignment="1">
      <alignment horizontal="center"/>
    </xf>
    <xf numFmtId="4" fontId="18" fillId="0" borderId="0" xfId="0" applyNumberFormat="1" applyFont="1"/>
    <xf numFmtId="179" fontId="0" fillId="4" borderId="0" xfId="0" applyNumberFormat="1" applyFill="1" applyAlignment="1">
      <alignment horizontal="center"/>
    </xf>
    <xf numFmtId="180" fontId="0" fillId="4" borderId="0" xfId="0" applyNumberFormat="1" applyFill="1" applyAlignment="1">
      <alignment horizontal="center"/>
    </xf>
    <xf numFmtId="10" fontId="2" fillId="4" borderId="27" xfId="2" applyNumberFormat="1" applyFont="1" applyFill="1" applyBorder="1" applyAlignment="1">
      <alignment horizontal="center"/>
    </xf>
    <xf numFmtId="10" fontId="2" fillId="4" borderId="26" xfId="2" applyNumberFormat="1" applyFont="1" applyFill="1" applyBorder="1" applyAlignment="1">
      <alignment horizontal="center"/>
    </xf>
    <xf numFmtId="10" fontId="2" fillId="4" borderId="28" xfId="2" applyNumberFormat="1" applyFont="1" applyFill="1" applyBorder="1" applyAlignment="1">
      <alignment horizontal="center"/>
    </xf>
    <xf numFmtId="177" fontId="3" fillId="4" borderId="0" xfId="0" applyNumberFormat="1" applyFont="1" applyFill="1"/>
    <xf numFmtId="178" fontId="3" fillId="4" borderId="0" xfId="0" applyNumberFormat="1" applyFont="1" applyFill="1"/>
    <xf numFmtId="6" fontId="12" fillId="4" borderId="0" xfId="0" applyNumberFormat="1" applyFont="1" applyFill="1" applyAlignment="1">
      <alignment horizontal="center"/>
    </xf>
    <xf numFmtId="22" fontId="0" fillId="4" borderId="0" xfId="0" applyNumberForma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10" fontId="15" fillId="4" borderId="0" xfId="0" applyNumberFormat="1" applyFont="1" applyFill="1" applyBorder="1" applyAlignment="1">
      <alignment horizontal="center"/>
    </xf>
    <xf numFmtId="4" fontId="3" fillId="4" borderId="0" xfId="0" applyNumberFormat="1" applyFont="1" applyFill="1" applyBorder="1" applyAlignment="1">
      <alignment horizontal="center"/>
    </xf>
    <xf numFmtId="22" fontId="3" fillId="4" borderId="0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textRotation="255"/>
    </xf>
    <xf numFmtId="0" fontId="2" fillId="3" borderId="9" xfId="0" applyFont="1" applyFill="1" applyBorder="1" applyAlignment="1">
      <alignment horizontal="center" vertical="center" textRotation="255"/>
    </xf>
    <xf numFmtId="0" fontId="2" fillId="3" borderId="11" xfId="0" applyFont="1" applyFill="1" applyBorder="1" applyAlignment="1">
      <alignment horizontal="center" vertical="center" textRotation="255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166" fontId="2" fillId="4" borderId="12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 textRotation="255"/>
    </xf>
    <xf numFmtId="0" fontId="2" fillId="3" borderId="0" xfId="0" applyFont="1" applyFill="1" applyAlignment="1">
      <alignment horizontal="center"/>
    </xf>
    <xf numFmtId="6" fontId="2" fillId="4" borderId="11" xfId="0" applyNumberFormat="1" applyFont="1" applyFill="1" applyBorder="1" applyAlignment="1">
      <alignment horizontal="center"/>
    </xf>
    <xf numFmtId="6" fontId="2" fillId="4" borderId="12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9" fontId="5" fillId="4" borderId="0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Explanatory Text" xfId="3" builtinId="53"/>
    <cellStyle name="Normal" xfId="0" builtinId="0"/>
  </cellStyles>
  <dxfs count="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1CEE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Probability</a:t>
            </a:r>
            <a:r>
              <a:rPr lang="en-US" baseline="0"/>
              <a:t> Distribution</a:t>
            </a:r>
            <a:r>
              <a:rPr lang="en-US"/>
              <a:t> </a:t>
            </a:r>
            <a:br>
              <a:rPr lang="en-US"/>
            </a:br>
            <a:r>
              <a:rPr lang="en-US"/>
              <a:t>EPOCH 213:</a:t>
            </a:r>
            <a:r>
              <a:rPr lang="en-US" baseline="0"/>
              <a:t> SKY </a:t>
            </a:r>
            <a:r>
              <a:rPr lang="en-US"/>
              <a:t># of expected</a:t>
            </a:r>
            <a:r>
              <a:rPr lang="en-US" baseline="0"/>
              <a:t> blocks </a:t>
            </a:r>
            <a:endParaRPr lang="en-US"/>
          </a:p>
        </c:rich>
      </c:tx>
      <c:layout>
        <c:manualLayout>
          <c:xMode val="edge"/>
          <c:yMode val="edge"/>
          <c:x val="0.46612090091969949"/>
          <c:y val="2.01057938283738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SKY!$B$36:$B$83</c15:sqref>
                  </c15:fullRef>
                </c:ext>
              </c:extLst>
              <c:f>(SKY!$B$36:$B$45,SKY!$B$48:$B$83)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SKY!$C$36:$C$83</c15:sqref>
                  </c15:fullRef>
                </c:ext>
              </c:extLst>
              <c:f>(SKY!$C$36:$C$45,SKY!$C$48:$C$83)</c:f>
              <c:numCache>
                <c:formatCode>0.00%</c:formatCode>
                <c:ptCount val="46"/>
                <c:pt idx="0">
                  <c:v>4.3780487787197947E-14</c:v>
                </c:pt>
                <c:pt idx="1">
                  <c:v>1.3467177182599111E-12</c:v>
                </c:pt>
                <c:pt idx="2">
                  <c:v>2.0712930646524629E-11</c:v>
                </c:pt>
                <c:pt idx="3">
                  <c:v>2.1238031649533193E-10</c:v>
                </c:pt>
                <c:pt idx="4">
                  <c:v>1.6332295702116289E-9</c:v>
                </c:pt>
                <c:pt idx="5">
                  <c:v>1.0047758467870848E-8</c:v>
                </c:pt>
                <c:pt idx="6">
                  <c:v>5.151205642389878E-8</c:v>
                </c:pt>
                <c:pt idx="7">
                  <c:v>2.2636057781361252E-7</c:v>
                </c:pt>
                <c:pt idx="8">
                  <c:v>8.7036165157705832E-7</c:v>
                </c:pt>
                <c:pt idx="9">
                  <c:v>2.9747137000389299E-6</c:v>
                </c:pt>
                <c:pt idx="10">
                  <c:v>6.5588699035629223E-5</c:v>
                </c:pt>
                <c:pt idx="11">
                  <c:v>1.5519208877151004E-4</c:v>
                </c:pt>
                <c:pt idx="12">
                  <c:v>3.4097650231159666E-4</c:v>
                </c:pt>
                <c:pt idx="13">
                  <c:v>6.9922201865061273E-4</c:v>
                </c:pt>
                <c:pt idx="14">
                  <c:v>1.3442375141924535E-3</c:v>
                </c:pt>
                <c:pt idx="15">
                  <c:v>2.4322431144500243E-3</c:v>
                </c:pt>
                <c:pt idx="16">
                  <c:v>4.1563619930776669E-3</c:v>
                </c:pt>
                <c:pt idx="17">
                  <c:v>6.7288004020314004E-3</c:v>
                </c:pt>
                <c:pt idx="18">
                  <c:v>1.0348669728096217E-2</c:v>
                </c:pt>
                <c:pt idx="19">
                  <c:v>1.5157972103795478E-2</c:v>
                </c:pt>
                <c:pt idx="20">
                  <c:v>2.1193041501320661E-2</c:v>
                </c:pt>
                <c:pt idx="21">
                  <c:v>2.8342575561782744E-2</c:v>
                </c:pt>
                <c:pt idx="22">
                  <c:v>3.6324607195228523E-2</c:v>
                </c:pt>
                <c:pt idx="23">
                  <c:v>4.4692306430779663E-2</c:v>
                </c:pt>
                <c:pt idx="24">
                  <c:v>5.287255094402539E-2</c:v>
                </c:pt>
                <c:pt idx="25">
                  <c:v>6.023325586564883E-2</c:v>
                </c:pt>
                <c:pt idx="26">
                  <c:v>6.6167868037186842E-2</c:v>
                </c:pt>
                <c:pt idx="27">
                  <c:v>7.018058308059491E-2</c:v>
                </c:pt>
                <c:pt idx="28">
                  <c:v>7.1955258942407091E-2</c:v>
                </c:pt>
                <c:pt idx="29">
                  <c:v>7.1394813617682018E-2</c:v>
                </c:pt>
                <c:pt idx="30">
                  <c:v>6.8624864204241118E-2</c:v>
                </c:pt>
                <c:pt idx="31">
                  <c:v>6.396337411472966E-2</c:v>
                </c:pt>
                <c:pt idx="32">
                  <c:v>5.7864905663826592E-2</c:v>
                </c:pt>
                <c:pt idx="33">
                  <c:v>5.0852112738668021E-2</c:v>
                </c:pt>
                <c:pt idx="34">
                  <c:v>4.3447750020264263E-2</c:v>
                </c:pt>
                <c:pt idx="35">
                  <c:v>3.6118137936737495E-2</c:v>
                </c:pt>
                <c:pt idx="36">
                  <c:v>2.9234827492490199E-2</c:v>
                </c:pt>
                <c:pt idx="37">
                  <c:v>2.3056517060254921E-2</c:v>
                </c:pt>
                <c:pt idx="38">
                  <c:v>1.7729254763185594E-2</c:v>
                </c:pt>
                <c:pt idx="39">
                  <c:v>1.3300329115380391E-2</c:v>
                </c:pt>
                <c:pt idx="40">
                  <c:v>9.7401995740884137E-3</c:v>
                </c:pt>
                <c:pt idx="41">
                  <c:v>6.9671177869120677E-3</c:v>
                </c:pt>
                <c:pt idx="42">
                  <c:v>4.8702720782230566E-3</c:v>
                </c:pt>
                <c:pt idx="43">
                  <c:v>3.3288364026557347E-3</c:v>
                </c:pt>
                <c:pt idx="44">
                  <c:v>2.2257959969258982E-3</c:v>
                </c:pt>
                <c:pt idx="45">
                  <c:v>1.4565896854997996E-3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B-4123-8E13-EC173EF6C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6778271"/>
        <c:axId val="340095551"/>
      </c:barChart>
      <c:catAx>
        <c:axId val="3367782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Blocks</a:t>
                </a:r>
              </a:p>
            </c:rich>
          </c:tx>
          <c:layout>
            <c:manualLayout>
              <c:xMode val="edge"/>
              <c:yMode val="edge"/>
              <c:x val="0.54001100720560558"/>
              <c:y val="0.9612980931204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95551"/>
        <c:crosses val="autoZero"/>
        <c:auto val="1"/>
        <c:lblAlgn val="ctr"/>
        <c:lblOffset val="100"/>
        <c:noMultiLvlLbl val="0"/>
      </c:catAx>
      <c:valAx>
        <c:axId val="34009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77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Probatility of Block Production  </a:t>
            </a:r>
          </a:p>
          <a:p>
            <a:pPr>
              <a:defRPr/>
            </a:pPr>
            <a:r>
              <a:rPr lang="en-US"/>
              <a:t>Epoch</a:t>
            </a:r>
            <a:r>
              <a:rPr lang="en-US" baseline="0"/>
              <a:t> 213: SKY2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'SKY2'!$B$36:$B$52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cat>
          <c:val>
            <c:numRef>
              <c:f>'SKY2'!$C$36:$C$52</c:f>
              <c:numCache>
                <c:formatCode>0.00%</c:formatCode>
                <c:ptCount val="17"/>
                <c:pt idx="0">
                  <c:v>6.1646184557204789E-3</c:v>
                </c:pt>
                <c:pt idx="1">
                  <c:v>3.1371490613603052E-2</c:v>
                </c:pt>
                <c:pt idx="2">
                  <c:v>7.9823930079066602E-2</c:v>
                </c:pt>
                <c:pt idx="3">
                  <c:v>0.13540627576034842</c:v>
                </c:pt>
                <c:pt idx="4">
                  <c:v>0.17226805033708933</c:v>
                </c:pt>
                <c:pt idx="5">
                  <c:v>0.17533138581489463</c:v>
                </c:pt>
                <c:pt idx="6">
                  <c:v>0.14870731799956335</c:v>
                </c:pt>
                <c:pt idx="7">
                  <c:v>0.10810784781097743</c:v>
                </c:pt>
                <c:pt idx="8">
                  <c:v>6.8768436406240238E-2</c:v>
                </c:pt>
                <c:pt idx="9">
                  <c:v>3.88836970106173E-2</c:v>
                </c:pt>
                <c:pt idx="10">
                  <c:v>1.9787341767034672E-2</c:v>
                </c:pt>
                <c:pt idx="11">
                  <c:v>9.1540581961079039E-3</c:v>
                </c:pt>
                <c:pt idx="12">
                  <c:v>3.8819533935870974E-3</c:v>
                </c:pt>
                <c:pt idx="13">
                  <c:v>1.51958099487477E-3</c:v>
                </c:pt>
                <c:pt idx="14">
                  <c:v>5.5234662012943381E-4</c:v>
                </c:pt>
                <c:pt idx="15">
                  <c:v>1.8738521429236983E-4</c:v>
                </c:pt>
                <c:pt idx="16">
                  <c:v>5.9597660190607551E-5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D-42C2-AD46-15641D9DC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9876656"/>
        <c:axId val="1119673408"/>
      </c:barChart>
      <c:catAx>
        <c:axId val="1449876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Blocks</a:t>
                </a:r>
              </a:p>
            </c:rich>
          </c:tx>
          <c:layout>
            <c:manualLayout>
              <c:xMode val="edge"/>
              <c:yMode val="edge"/>
              <c:x val="0.37120621356225803"/>
              <c:y val="0.92634507799627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673408"/>
        <c:crosses val="autoZero"/>
        <c:auto val="1"/>
        <c:lblAlgn val="ctr"/>
        <c:lblOffset val="100"/>
        <c:noMultiLvlLbl val="0"/>
      </c:catAx>
      <c:valAx>
        <c:axId val="111967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layout>
            <c:manualLayout>
              <c:xMode val="edge"/>
              <c:yMode val="edge"/>
              <c:x val="1.5047772870371985E-2"/>
              <c:y val="0.38695952969499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7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Reserve Emissions 2020</a:t>
            </a:r>
          </a:p>
        </c:rich>
      </c:tx>
      <c:layout>
        <c:manualLayout>
          <c:xMode val="edge"/>
          <c:yMode val="edge"/>
          <c:x val="0.40936422455718169"/>
          <c:y val="6.5261511232660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472584677719967E-2"/>
          <c:y val="0.20448168039681205"/>
          <c:w val="0.91584270991681493"/>
          <c:h val="0.71544043302920635"/>
        </c:manualLayout>
      </c:layout>
      <c:areaChart>
        <c:grouping val="stacked"/>
        <c:varyColors val="0"/>
        <c:ser>
          <c:idx val="0"/>
          <c:order val="1"/>
          <c:tx>
            <c:strRef>
              <c:f>rho!$G$4</c:f>
              <c:strCache>
                <c:ptCount val="1"/>
                <c:pt idx="0">
                  <c:v>Cumulative Reward Distribution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accent2">
                  <a:lumMod val="75000"/>
                </a:schemeClr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numRef>
              <c:f>rho!$C$8:$C$34</c:f>
              <c:numCache>
                <c:formatCode>General</c:formatCode>
                <c:ptCount val="27"/>
                <c:pt idx="0">
                  <c:v>213</c:v>
                </c:pt>
                <c:pt idx="1">
                  <c:v>214</c:v>
                </c:pt>
                <c:pt idx="2">
                  <c:v>215</c:v>
                </c:pt>
                <c:pt idx="3">
                  <c:v>216</c:v>
                </c:pt>
                <c:pt idx="4">
                  <c:v>217</c:v>
                </c:pt>
                <c:pt idx="5">
                  <c:v>218</c:v>
                </c:pt>
                <c:pt idx="6">
                  <c:v>219</c:v>
                </c:pt>
                <c:pt idx="7">
                  <c:v>220</c:v>
                </c:pt>
                <c:pt idx="8">
                  <c:v>221</c:v>
                </c:pt>
                <c:pt idx="9">
                  <c:v>222</c:v>
                </c:pt>
                <c:pt idx="10">
                  <c:v>223</c:v>
                </c:pt>
                <c:pt idx="11">
                  <c:v>224</c:v>
                </c:pt>
                <c:pt idx="12">
                  <c:v>225</c:v>
                </c:pt>
                <c:pt idx="13">
                  <c:v>226</c:v>
                </c:pt>
                <c:pt idx="14">
                  <c:v>227</c:v>
                </c:pt>
                <c:pt idx="15">
                  <c:v>228</c:v>
                </c:pt>
                <c:pt idx="16">
                  <c:v>229</c:v>
                </c:pt>
                <c:pt idx="17">
                  <c:v>230</c:v>
                </c:pt>
                <c:pt idx="18">
                  <c:v>231</c:v>
                </c:pt>
                <c:pt idx="19">
                  <c:v>232</c:v>
                </c:pt>
                <c:pt idx="20">
                  <c:v>233</c:v>
                </c:pt>
                <c:pt idx="21">
                  <c:v>234</c:v>
                </c:pt>
                <c:pt idx="22">
                  <c:v>235</c:v>
                </c:pt>
                <c:pt idx="23">
                  <c:v>236</c:v>
                </c:pt>
                <c:pt idx="24">
                  <c:v>237</c:v>
                </c:pt>
                <c:pt idx="25">
                  <c:v>238</c:v>
                </c:pt>
                <c:pt idx="26">
                  <c:v>239</c:v>
                </c:pt>
              </c:numCache>
            </c:numRef>
          </c:cat>
          <c:val>
            <c:numRef>
              <c:f>rho!$G$8:$G$34</c:f>
              <c:numCache>
                <c:formatCode>#,##0</c:formatCode>
                <c:ptCount val="27"/>
                <c:pt idx="0">
                  <c:v>119002804.07398814</c:v>
                </c:pt>
                <c:pt idx="1">
                  <c:v>158432638.18680978</c:v>
                </c:pt>
                <c:pt idx="2">
                  <c:v>197744182.79729295</c:v>
                </c:pt>
                <c:pt idx="3">
                  <c:v>236937792.77394468</c:v>
                </c:pt>
                <c:pt idx="4">
                  <c:v>276013821.92066646</c:v>
                </c:pt>
                <c:pt idx="5">
                  <c:v>314972622.97994804</c:v>
                </c:pt>
                <c:pt idx="6">
                  <c:v>353814547.63605177</c:v>
                </c:pt>
                <c:pt idx="7">
                  <c:v>392539946.51818722</c:v>
                </c:pt>
                <c:pt idx="8">
                  <c:v>431149169.20367628</c:v>
                </c:pt>
                <c:pt idx="9">
                  <c:v>469642564.22110885</c:v>
                </c:pt>
                <c:pt idx="10">
                  <c:v>508020479.05348915</c:v>
                </c:pt>
                <c:pt idx="11">
                  <c:v>546283260.14137232</c:v>
                </c:pt>
                <c:pt idx="12">
                  <c:v>584431252.88599181</c:v>
                </c:pt>
                <c:pt idx="13">
                  <c:v>622464801.65237749</c:v>
                </c:pt>
                <c:pt idx="14">
                  <c:v>660384249.77246392</c:v>
                </c:pt>
                <c:pt idx="15">
                  <c:v>698189939.54819012</c:v>
                </c:pt>
                <c:pt idx="16">
                  <c:v>735882212.2545892</c:v>
                </c:pt>
                <c:pt idx="17">
                  <c:v>773461408.142869</c:v>
                </c:pt>
                <c:pt idx="18">
                  <c:v>810927866.44348395</c:v>
                </c:pt>
                <c:pt idx="19">
                  <c:v>848281925.36919713</c:v>
                </c:pt>
                <c:pt idx="20">
                  <c:v>885523922.11813319</c:v>
                </c:pt>
                <c:pt idx="21">
                  <c:v>922654192.87682235</c:v>
                </c:pt>
                <c:pt idx="22">
                  <c:v>959673072.82323551</c:v>
                </c:pt>
                <c:pt idx="23">
                  <c:v>996580896.12980938</c:v>
                </c:pt>
                <c:pt idx="24">
                  <c:v>1033377995.9664636</c:v>
                </c:pt>
                <c:pt idx="25">
                  <c:v>1070064704.5036077</c:v>
                </c:pt>
                <c:pt idx="26">
                  <c:v>1106641352.9151406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8E-40EF-9366-46AEBCF40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199584"/>
        <c:axId val="1501947216"/>
      </c:areaChart>
      <c:barChart>
        <c:barDir val="col"/>
        <c:grouping val="clustered"/>
        <c:varyColors val="0"/>
        <c:ser>
          <c:idx val="2"/>
          <c:order val="2"/>
          <c:tx>
            <c:strRef>
              <c:f>rho!$F$4</c:f>
              <c:strCache>
                <c:ptCount val="1"/>
                <c:pt idx="0">
                  <c:v>Epoch Payouts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cap="rnd">
              <a:gradFill>
                <a:gsLst>
                  <a:gs pos="0">
                    <a:srgbClr val="D9E3F3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rho!$C$8:$C$34</c:f>
              <c:numCache>
                <c:formatCode>General</c:formatCode>
                <c:ptCount val="27"/>
                <c:pt idx="0">
                  <c:v>213</c:v>
                </c:pt>
                <c:pt idx="1">
                  <c:v>214</c:v>
                </c:pt>
                <c:pt idx="2">
                  <c:v>215</c:v>
                </c:pt>
                <c:pt idx="3">
                  <c:v>216</c:v>
                </c:pt>
                <c:pt idx="4">
                  <c:v>217</c:v>
                </c:pt>
                <c:pt idx="5">
                  <c:v>218</c:v>
                </c:pt>
                <c:pt idx="6">
                  <c:v>219</c:v>
                </c:pt>
                <c:pt idx="7">
                  <c:v>220</c:v>
                </c:pt>
                <c:pt idx="8">
                  <c:v>221</c:v>
                </c:pt>
                <c:pt idx="9">
                  <c:v>222</c:v>
                </c:pt>
                <c:pt idx="10">
                  <c:v>223</c:v>
                </c:pt>
                <c:pt idx="11">
                  <c:v>224</c:v>
                </c:pt>
                <c:pt idx="12">
                  <c:v>225</c:v>
                </c:pt>
                <c:pt idx="13">
                  <c:v>226</c:v>
                </c:pt>
                <c:pt idx="14">
                  <c:v>227</c:v>
                </c:pt>
                <c:pt idx="15">
                  <c:v>228</c:v>
                </c:pt>
                <c:pt idx="16">
                  <c:v>229</c:v>
                </c:pt>
                <c:pt idx="17">
                  <c:v>230</c:v>
                </c:pt>
                <c:pt idx="18">
                  <c:v>231</c:v>
                </c:pt>
                <c:pt idx="19">
                  <c:v>232</c:v>
                </c:pt>
                <c:pt idx="20">
                  <c:v>233</c:v>
                </c:pt>
                <c:pt idx="21">
                  <c:v>234</c:v>
                </c:pt>
                <c:pt idx="22">
                  <c:v>235</c:v>
                </c:pt>
                <c:pt idx="23">
                  <c:v>236</c:v>
                </c:pt>
                <c:pt idx="24">
                  <c:v>237</c:v>
                </c:pt>
                <c:pt idx="25">
                  <c:v>238</c:v>
                </c:pt>
                <c:pt idx="26">
                  <c:v>239</c:v>
                </c:pt>
              </c:numCache>
            </c:numRef>
          </c:cat>
          <c:val>
            <c:numRef>
              <c:f>rho!$F$8:$F$34</c:f>
              <c:numCache>
                <c:formatCode>#,##0</c:formatCode>
                <c:ptCount val="27"/>
                <c:pt idx="0">
                  <c:v>39786842.525043599</c:v>
                </c:pt>
                <c:pt idx="1">
                  <c:v>39667481.997468472</c:v>
                </c:pt>
                <c:pt idx="2">
                  <c:v>39548479.551476061</c:v>
                </c:pt>
                <c:pt idx="3">
                  <c:v>39429834.112821639</c:v>
                </c:pt>
                <c:pt idx="4">
                  <c:v>39311544.61048317</c:v>
                </c:pt>
                <c:pt idx="5">
                  <c:v>39193609.976651721</c:v>
                </c:pt>
                <c:pt idx="6">
                  <c:v>39076029.146721765</c:v>
                </c:pt>
                <c:pt idx="7">
                  <c:v>38958801.059281603</c:v>
                </c:pt>
                <c:pt idx="8">
                  <c:v>38841924.65610376</c:v>
                </c:pt>
                <c:pt idx="9">
                  <c:v>38725398.882135451</c:v>
                </c:pt>
                <c:pt idx="10">
                  <c:v>38609222.685489044</c:v>
                </c:pt>
                <c:pt idx="11">
                  <c:v>38493395.01743257</c:v>
                </c:pt>
                <c:pt idx="12">
                  <c:v>38377914.832380272</c:v>
                </c:pt>
                <c:pt idx="13">
                  <c:v>38262781.08788313</c:v>
                </c:pt>
                <c:pt idx="14">
                  <c:v>38147992.744619481</c:v>
                </c:pt>
                <c:pt idx="15">
                  <c:v>38033548.766385622</c:v>
                </c:pt>
                <c:pt idx="16">
                  <c:v>37919448.120086469</c:v>
                </c:pt>
                <c:pt idx="17">
                  <c:v>37805689.775726207</c:v>
                </c:pt>
                <c:pt idx="18">
                  <c:v>37692272.706399031</c:v>
                </c:pt>
                <c:pt idx="19">
                  <c:v>37579195.888279825</c:v>
                </c:pt>
                <c:pt idx="20">
                  <c:v>37466458.30061499</c:v>
                </c:pt>
                <c:pt idx="21">
                  <c:v>37354058.925713144</c:v>
                </c:pt>
                <c:pt idx="22">
                  <c:v>37241996.748936005</c:v>
                </c:pt>
                <c:pt idx="23">
                  <c:v>37130270.758689202</c:v>
                </c:pt>
                <c:pt idx="24">
                  <c:v>37018879.94641313</c:v>
                </c:pt>
                <c:pt idx="25">
                  <c:v>36907823.30657389</c:v>
                </c:pt>
                <c:pt idx="26">
                  <c:v>36797099.836654171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5-4C8F-8F05-A00CB42AA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"/>
        <c:axId val="1488439392"/>
        <c:axId val="1490139440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rho!$D$4</c15:sqref>
                        </c15:formulaRef>
                      </c:ext>
                    </c:extLst>
                    <c:strCache>
                      <c:ptCount val="1"/>
                      <c:pt idx="0">
                        <c:v>Reserves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solidFill>
                      <a:srgbClr val="0070C0"/>
                    </a:solidFill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rho!$C$8:$C$34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213</c:v>
                      </c:pt>
                      <c:pt idx="1">
                        <c:v>214</c:v>
                      </c:pt>
                      <c:pt idx="2">
                        <c:v>215</c:v>
                      </c:pt>
                      <c:pt idx="3">
                        <c:v>216</c:v>
                      </c:pt>
                      <c:pt idx="4">
                        <c:v>217</c:v>
                      </c:pt>
                      <c:pt idx="5">
                        <c:v>218</c:v>
                      </c:pt>
                      <c:pt idx="6">
                        <c:v>219</c:v>
                      </c:pt>
                      <c:pt idx="7">
                        <c:v>220</c:v>
                      </c:pt>
                      <c:pt idx="8">
                        <c:v>221</c:v>
                      </c:pt>
                      <c:pt idx="9">
                        <c:v>222</c:v>
                      </c:pt>
                      <c:pt idx="10">
                        <c:v>223</c:v>
                      </c:pt>
                      <c:pt idx="11">
                        <c:v>224</c:v>
                      </c:pt>
                      <c:pt idx="12">
                        <c:v>225</c:v>
                      </c:pt>
                      <c:pt idx="13">
                        <c:v>226</c:v>
                      </c:pt>
                      <c:pt idx="14">
                        <c:v>227</c:v>
                      </c:pt>
                      <c:pt idx="15">
                        <c:v>228</c:v>
                      </c:pt>
                      <c:pt idx="16">
                        <c:v>229</c:v>
                      </c:pt>
                      <c:pt idx="17">
                        <c:v>230</c:v>
                      </c:pt>
                      <c:pt idx="18">
                        <c:v>231</c:v>
                      </c:pt>
                      <c:pt idx="19">
                        <c:v>232</c:v>
                      </c:pt>
                      <c:pt idx="20">
                        <c:v>233</c:v>
                      </c:pt>
                      <c:pt idx="21">
                        <c:v>234</c:v>
                      </c:pt>
                      <c:pt idx="22">
                        <c:v>235</c:v>
                      </c:pt>
                      <c:pt idx="23">
                        <c:v>236</c:v>
                      </c:pt>
                      <c:pt idx="24">
                        <c:v>237</c:v>
                      </c:pt>
                      <c:pt idx="25">
                        <c:v>238</c:v>
                      </c:pt>
                      <c:pt idx="26">
                        <c:v>239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rho!$D$5:$D$34</c15:sqref>
                        </c15:formulaRef>
                      </c:ext>
                    </c:extLst>
                    <c:numCache>
                      <c:formatCode>#,##0</c:formatCode>
                      <c:ptCount val="30"/>
                      <c:pt idx="0">
                        <c:v>13262280841.6812</c:v>
                      </c:pt>
                      <c:pt idx="1">
                        <c:v>13222493999.156157</c:v>
                      </c:pt>
                      <c:pt idx="2">
                        <c:v>13182826517.158688</c:v>
                      </c:pt>
                      <c:pt idx="3">
                        <c:v>13143278037.607212</c:v>
                      </c:pt>
                      <c:pt idx="4">
                        <c:v>13103848203.49439</c:v>
                      </c:pt>
                      <c:pt idx="5">
                        <c:v>13064536658.883907</c:v>
                      </c:pt>
                      <c:pt idx="6">
                        <c:v>13025343048.907255</c:v>
                      </c:pt>
                      <c:pt idx="7">
                        <c:v>12986267019.760534</c:v>
                      </c:pt>
                      <c:pt idx="8">
                        <c:v>12947308218.701252</c:v>
                      </c:pt>
                      <c:pt idx="9">
                        <c:v>12908466294.045149</c:v>
                      </c:pt>
                      <c:pt idx="10">
                        <c:v>12869740895.163013</c:v>
                      </c:pt>
                      <c:pt idx="11">
                        <c:v>12831131672.477524</c:v>
                      </c:pt>
                      <c:pt idx="12">
                        <c:v>12792638277.460091</c:v>
                      </c:pt>
                      <c:pt idx="13">
                        <c:v>12754260362.62771</c:v>
                      </c:pt>
                      <c:pt idx="14">
                        <c:v>12715997581.539827</c:v>
                      </c:pt>
                      <c:pt idx="15">
                        <c:v>12677849588.795208</c:v>
                      </c:pt>
                      <c:pt idx="16">
                        <c:v>12639816040.028822</c:v>
                      </c:pt>
                      <c:pt idx="17">
                        <c:v>12601896591.908735</c:v>
                      </c:pt>
                      <c:pt idx="18">
                        <c:v>12564090902.133009</c:v>
                      </c:pt>
                      <c:pt idx="19">
                        <c:v>12526398629.426609</c:v>
                      </c:pt>
                      <c:pt idx="20">
                        <c:v>12488819433.53833</c:v>
                      </c:pt>
                      <c:pt idx="21">
                        <c:v>12451352975.237715</c:v>
                      </c:pt>
                      <c:pt idx="22">
                        <c:v>12413998916.312002</c:v>
                      </c:pt>
                      <c:pt idx="23">
                        <c:v>12376756919.563066</c:v>
                      </c:pt>
                      <c:pt idx="24">
                        <c:v>12339626648.804377</c:v>
                      </c:pt>
                      <c:pt idx="25">
                        <c:v>12302607768.857964</c:v>
                      </c:pt>
                      <c:pt idx="26">
                        <c:v>12265699945.55139</c:v>
                      </c:pt>
                      <c:pt idx="27">
                        <c:v>12228902845.714735</c:v>
                      </c:pt>
                      <c:pt idx="28">
                        <c:v>12192216137.177591</c:v>
                      </c:pt>
                      <c:pt idx="29">
                        <c:v>12155639488.766058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68E-40EF-9366-46AEBCF408A4}"/>
                  </c:ext>
                </c:extLst>
              </c15:ser>
            </c15:filteredBarSeries>
          </c:ext>
        </c:extLst>
      </c:barChart>
      <c:dateAx>
        <c:axId val="148843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139440"/>
        <c:crosses val="autoZero"/>
        <c:auto val="1"/>
        <c:lblOffset val="100"/>
        <c:baseTimeUnit val="days"/>
        <c:majorTimeUnit val="days"/>
        <c:minorTimeUnit val="days"/>
      </c:dateAx>
      <c:valAx>
        <c:axId val="149013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OutStanding Reward Reserves (Million ADA)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439392"/>
        <c:crosses val="autoZero"/>
        <c:crossBetween val="between"/>
        <c:dispUnits>
          <c:builtInUnit val="millions"/>
        </c:dispUnits>
      </c:valAx>
      <c:valAx>
        <c:axId val="1501947216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199584"/>
        <c:crosses val="max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0.98655607745382812"/>
                <c:y val="0.5597941497100386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catAx>
        <c:axId val="1567199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0194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480790125086535"/>
          <c:y val="0.94869222747030912"/>
          <c:w val="0.41193189946631542"/>
          <c:h val="5.13077725296908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451038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228CD0-EF6D-4D0E-863A-B5682B910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451412" cy="800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178742</xdr:colOff>
      <xdr:row>34</xdr:row>
      <xdr:rowOff>150516</xdr:rowOff>
    </xdr:from>
    <xdr:to>
      <xdr:col>20</xdr:col>
      <xdr:colOff>9407</xdr:colOff>
      <xdr:row>73</xdr:row>
      <xdr:rowOff>65851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C11125-C9FE-4633-800B-0FDFF71692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122297</xdr:colOff>
      <xdr:row>34</xdr:row>
      <xdr:rowOff>175918</xdr:rowOff>
    </xdr:from>
    <xdr:to>
      <xdr:col>16</xdr:col>
      <xdr:colOff>451556</xdr:colOff>
      <xdr:row>63</xdr:row>
      <xdr:rowOff>112889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518ECF6-C990-4F53-8CC7-2C3C13EF9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3</xdr:row>
      <xdr:rowOff>57150</xdr:rowOff>
    </xdr:from>
    <xdr:to>
      <xdr:col>6</xdr:col>
      <xdr:colOff>600075</xdr:colOff>
      <xdr:row>9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1063ED6-EE26-49CC-A6A3-CC773463D8E5}"/>
            </a:ext>
          </a:extLst>
        </xdr:cNvPr>
        <xdr:cNvSpPr/>
      </xdr:nvSpPr>
      <xdr:spPr>
        <a:xfrm>
          <a:off x="1257300" y="1295400"/>
          <a:ext cx="178117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Total Available Rewards:</a:t>
          </a:r>
        </a:p>
        <a:p>
          <a:pPr algn="ctr"/>
          <a:r>
            <a:rPr lang="en-US" sz="1400" b="1"/>
            <a:t>ADA 36M</a:t>
          </a:r>
        </a:p>
      </xdr:txBody>
    </xdr:sp>
    <xdr:clientData/>
  </xdr:twoCellAnchor>
  <xdr:twoCellAnchor>
    <xdr:from>
      <xdr:col>4</xdr:col>
      <xdr:colOff>104775</xdr:colOff>
      <xdr:row>19</xdr:row>
      <xdr:rowOff>114300</xdr:rowOff>
    </xdr:from>
    <xdr:to>
      <xdr:col>6</xdr:col>
      <xdr:colOff>600075</xdr:colOff>
      <xdr:row>26</xdr:row>
      <xdr:rowOff>180975</xdr:rowOff>
    </xdr:to>
    <xdr:sp macro="" textlink="">
      <xdr:nvSpPr>
        <xdr:cNvPr id="4" name="Flowchart: Merge 3">
          <a:extLst>
            <a:ext uri="{FF2B5EF4-FFF2-40B4-BE49-F238E27FC236}">
              <a16:creationId xmlns:a16="http://schemas.microsoft.com/office/drawing/2014/main" id="{0855950D-A029-450F-82D9-506449508759}"/>
            </a:ext>
          </a:extLst>
        </xdr:cNvPr>
        <xdr:cNvSpPr/>
      </xdr:nvSpPr>
      <xdr:spPr>
        <a:xfrm>
          <a:off x="2543175" y="4400550"/>
          <a:ext cx="1714500" cy="14001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/>
            <a:t>Pool Reward </a:t>
          </a:r>
        </a:p>
        <a:p>
          <a:pPr algn="ctr"/>
          <a:r>
            <a:rPr lang="en-US" sz="1200" b="1"/>
            <a:t>Formula</a:t>
          </a:r>
        </a:p>
      </xdr:txBody>
    </xdr:sp>
    <xdr:clientData/>
  </xdr:twoCellAnchor>
  <xdr:twoCellAnchor>
    <xdr:from>
      <xdr:col>5</xdr:col>
      <xdr:colOff>161925</xdr:colOff>
      <xdr:row>9</xdr:row>
      <xdr:rowOff>28575</xdr:rowOff>
    </xdr:from>
    <xdr:to>
      <xdr:col>5</xdr:col>
      <xdr:colOff>371475</xdr:colOff>
      <xdr:row>10</xdr:row>
      <xdr:rowOff>133350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7E44FDB2-1D50-46CA-BB52-E2F3E2DB47F2}"/>
            </a:ext>
          </a:extLst>
        </xdr:cNvPr>
        <xdr:cNvSpPr/>
      </xdr:nvSpPr>
      <xdr:spPr>
        <a:xfrm>
          <a:off x="1990725" y="2409825"/>
          <a:ext cx="209550" cy="2952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266699</xdr:colOff>
      <xdr:row>27</xdr:row>
      <xdr:rowOff>0</xdr:rowOff>
    </xdr:from>
    <xdr:to>
      <xdr:col>5</xdr:col>
      <xdr:colOff>438150</xdr:colOff>
      <xdr:row>29</xdr:row>
      <xdr:rowOff>66675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EEEABEFD-EE51-41D1-89EA-35F7C3DD6F91}"/>
            </a:ext>
          </a:extLst>
        </xdr:cNvPr>
        <xdr:cNvSpPr/>
      </xdr:nvSpPr>
      <xdr:spPr>
        <a:xfrm>
          <a:off x="3314699" y="5238750"/>
          <a:ext cx="171451" cy="447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114300</xdr:colOff>
      <xdr:row>3</xdr:row>
      <xdr:rowOff>28575</xdr:rowOff>
    </xdr:from>
    <xdr:to>
      <xdr:col>13</xdr:col>
      <xdr:colOff>66675</xdr:colOff>
      <xdr:row>8</xdr:row>
      <xdr:rowOff>180975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97560C7C-858D-4827-9F1F-07E407F552B9}"/>
            </a:ext>
          </a:extLst>
        </xdr:cNvPr>
        <xdr:cNvSpPr/>
      </xdr:nvSpPr>
      <xdr:spPr>
        <a:xfrm>
          <a:off x="4991100" y="219075"/>
          <a:ext cx="1781175" cy="11049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 baseline="0"/>
            <a:t>Share of Live Stake:</a:t>
          </a:r>
        </a:p>
        <a:p>
          <a:pPr algn="ctr"/>
          <a:r>
            <a:rPr lang="en-US" sz="1400" b="1"/>
            <a:t>Pool</a:t>
          </a:r>
          <a:r>
            <a:rPr lang="en-US" sz="1400" b="1" baseline="0"/>
            <a:t> Stake/Live Stake</a:t>
          </a:r>
          <a:endParaRPr lang="en-US" sz="1400" b="1"/>
        </a:p>
      </xdr:txBody>
    </xdr:sp>
    <xdr:clientData/>
  </xdr:twoCellAnchor>
  <xdr:twoCellAnchor>
    <xdr:from>
      <xdr:col>10</xdr:col>
      <xdr:colOff>200025</xdr:colOff>
      <xdr:row>19</xdr:row>
      <xdr:rowOff>123825</xdr:rowOff>
    </xdr:from>
    <xdr:to>
      <xdr:col>13</xdr:col>
      <xdr:colOff>85725</xdr:colOff>
      <xdr:row>27</xdr:row>
      <xdr:rowOff>0</xdr:rowOff>
    </xdr:to>
    <xdr:sp macro="" textlink="">
      <xdr:nvSpPr>
        <xdr:cNvPr id="10" name="Flowchart: Merge 9">
          <a:extLst>
            <a:ext uri="{FF2B5EF4-FFF2-40B4-BE49-F238E27FC236}">
              <a16:creationId xmlns:a16="http://schemas.microsoft.com/office/drawing/2014/main" id="{146C707F-7B38-4EE3-848C-21B5728AA4BD}"/>
            </a:ext>
          </a:extLst>
        </xdr:cNvPr>
        <xdr:cNvSpPr/>
      </xdr:nvSpPr>
      <xdr:spPr>
        <a:xfrm>
          <a:off x="6296025" y="3838575"/>
          <a:ext cx="1714500" cy="1400175"/>
        </a:xfrm>
        <a:prstGeom prst="flowChartMerg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 b="1"/>
            <a:t>VRF Function</a:t>
          </a:r>
        </a:p>
      </xdr:txBody>
    </xdr:sp>
    <xdr:clientData/>
  </xdr:twoCellAnchor>
  <xdr:twoCellAnchor>
    <xdr:from>
      <xdr:col>11</xdr:col>
      <xdr:colOff>276225</xdr:colOff>
      <xdr:row>8</xdr:row>
      <xdr:rowOff>161925</xdr:rowOff>
    </xdr:from>
    <xdr:to>
      <xdr:col>11</xdr:col>
      <xdr:colOff>485775</xdr:colOff>
      <xdr:row>10</xdr:row>
      <xdr:rowOff>76200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EEF10CED-24E8-43FC-A137-13928B0CF6B6}"/>
            </a:ext>
          </a:extLst>
        </xdr:cNvPr>
        <xdr:cNvSpPr/>
      </xdr:nvSpPr>
      <xdr:spPr>
        <a:xfrm>
          <a:off x="6981825" y="2352675"/>
          <a:ext cx="209550" cy="2952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</xdr:colOff>
      <xdr:row>10</xdr:row>
      <xdr:rowOff>142875</xdr:rowOff>
    </xdr:from>
    <xdr:to>
      <xdr:col>6</xdr:col>
      <xdr:colOff>581025</xdr:colOff>
      <xdr:row>16</xdr:row>
      <xdr:rowOff>104775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BB4B9762-8E46-47D1-A1BD-07F5CCCC433A}"/>
            </a:ext>
          </a:extLst>
        </xdr:cNvPr>
        <xdr:cNvSpPr/>
      </xdr:nvSpPr>
      <xdr:spPr>
        <a:xfrm>
          <a:off x="1238250" y="2714625"/>
          <a:ext cx="1781175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Total</a:t>
          </a:r>
          <a:r>
            <a:rPr lang="en-US" sz="1400" b="1" baseline="0"/>
            <a:t> Rewards After Tr. Taxes</a:t>
          </a:r>
          <a:r>
            <a:rPr lang="en-US" sz="1400" b="1"/>
            <a:t>:</a:t>
          </a:r>
        </a:p>
        <a:p>
          <a:pPr algn="ctr"/>
          <a:r>
            <a:rPr lang="en-US" sz="1400" b="1"/>
            <a:t>ADA 28.8M</a:t>
          </a:r>
        </a:p>
      </xdr:txBody>
    </xdr:sp>
    <xdr:clientData/>
  </xdr:twoCellAnchor>
  <xdr:twoCellAnchor>
    <xdr:from>
      <xdr:col>6</xdr:col>
      <xdr:colOff>532039</xdr:colOff>
      <xdr:row>32</xdr:row>
      <xdr:rowOff>92529</xdr:rowOff>
    </xdr:from>
    <xdr:to>
      <xdr:col>10</xdr:col>
      <xdr:colOff>236764</xdr:colOff>
      <xdr:row>40</xdr:row>
      <xdr:rowOff>159204</xdr:rowOff>
    </xdr:to>
    <xdr:sp macro="" textlink="">
      <xdr:nvSpPr>
        <xdr:cNvPr id="20" name="Callout: Down Arrow 19">
          <a:extLst>
            <a:ext uri="{FF2B5EF4-FFF2-40B4-BE49-F238E27FC236}">
              <a16:creationId xmlns:a16="http://schemas.microsoft.com/office/drawing/2014/main" id="{BA400066-01C6-4FF4-9551-D76C40C1B2A2}"/>
            </a:ext>
          </a:extLst>
        </xdr:cNvPr>
        <xdr:cNvSpPr/>
      </xdr:nvSpPr>
      <xdr:spPr>
        <a:xfrm>
          <a:off x="4254953" y="6155872"/>
          <a:ext cx="2186668" cy="1547132"/>
        </a:xfrm>
        <a:prstGeom prst="down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Pe</a:t>
          </a:r>
        </a:p>
        <a:p>
          <a:pPr algn="l"/>
          <a:r>
            <a:rPr lang="en-US" sz="1100" baseline="0"/>
            <a:t>         </a:t>
          </a:r>
        </a:p>
        <a:p>
          <a:pPr algn="l"/>
          <a:r>
            <a:rPr lang="en-US" sz="1100" b="1" baseline="0"/>
            <a:t>             Performance evaluation</a:t>
          </a:r>
        </a:p>
        <a:p>
          <a:pPr algn="l"/>
          <a:r>
            <a:rPr lang="en-US" sz="1100" b="1"/>
            <a:t>                   vs.</a:t>
          </a:r>
          <a:r>
            <a:rPr lang="en-US" sz="1100" b="1" baseline="0"/>
            <a:t> Expected</a:t>
          </a:r>
          <a:endParaRPr lang="en-US" sz="1100" b="1"/>
        </a:p>
      </xdr:txBody>
    </xdr:sp>
    <xdr:clientData/>
  </xdr:twoCellAnchor>
  <xdr:twoCellAnchor>
    <xdr:from>
      <xdr:col>10</xdr:col>
      <xdr:colOff>123825</xdr:colOff>
      <xdr:row>10</xdr:row>
      <xdr:rowOff>76200</xdr:rowOff>
    </xdr:from>
    <xdr:to>
      <xdr:col>13</xdr:col>
      <xdr:colOff>76200</xdr:colOff>
      <xdr:row>16</xdr:row>
      <xdr:rowOff>38100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2F610055-8C56-4107-82A6-EABD20E942CE}"/>
            </a:ext>
          </a:extLst>
        </xdr:cNvPr>
        <xdr:cNvSpPr/>
      </xdr:nvSpPr>
      <xdr:spPr>
        <a:xfrm>
          <a:off x="6219825" y="2647950"/>
          <a:ext cx="1781175" cy="1104900"/>
        </a:xfrm>
        <a:prstGeom prst="round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/>
            <a:t>Available Blocks= f(d</a:t>
          </a:r>
          <a:r>
            <a:rPr lang="en-US" sz="1400" b="1" baseline="0"/>
            <a:t> factor)</a:t>
          </a:r>
        </a:p>
        <a:p>
          <a:pPr algn="ctr"/>
          <a:r>
            <a:rPr lang="en-US" sz="1400" b="1" baseline="0"/>
            <a:t>2160</a:t>
          </a:r>
          <a:endParaRPr lang="en-US" sz="1400" b="1"/>
        </a:p>
      </xdr:txBody>
    </xdr:sp>
    <xdr:clientData/>
  </xdr:twoCellAnchor>
  <xdr:twoCellAnchor>
    <xdr:from>
      <xdr:col>5</xdr:col>
      <xdr:colOff>171450</xdr:colOff>
      <xdr:row>16</xdr:row>
      <xdr:rowOff>133351</xdr:rowOff>
    </xdr:from>
    <xdr:to>
      <xdr:col>5</xdr:col>
      <xdr:colOff>361950</xdr:colOff>
      <xdr:row>19</xdr:row>
      <xdr:rowOff>114300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DA1DBCD6-31EB-4C83-B1A3-0BCCE538EDC3}"/>
            </a:ext>
          </a:extLst>
        </xdr:cNvPr>
        <xdr:cNvSpPr/>
      </xdr:nvSpPr>
      <xdr:spPr>
        <a:xfrm>
          <a:off x="3219450" y="3848101"/>
          <a:ext cx="190500" cy="5524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314324</xdr:colOff>
      <xdr:row>16</xdr:row>
      <xdr:rowOff>57150</xdr:rowOff>
    </xdr:from>
    <xdr:to>
      <xdr:col>11</xdr:col>
      <xdr:colOff>552449</xdr:colOff>
      <xdr:row>19</xdr:row>
      <xdr:rowOff>123825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F5A52B4F-DAE4-4F1E-99C6-C98B60C38930}"/>
            </a:ext>
          </a:extLst>
        </xdr:cNvPr>
        <xdr:cNvSpPr/>
      </xdr:nvSpPr>
      <xdr:spPr>
        <a:xfrm>
          <a:off x="7019924" y="3200400"/>
          <a:ext cx="238125" cy="638175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352425</xdr:colOff>
      <xdr:row>27</xdr:row>
      <xdr:rowOff>9526</xdr:rowOff>
    </xdr:from>
    <xdr:to>
      <xdr:col>11</xdr:col>
      <xdr:colOff>542925</xdr:colOff>
      <xdr:row>29</xdr:row>
      <xdr:rowOff>95250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1BDE40D0-E082-435D-B3B3-D73308E77672}"/>
            </a:ext>
          </a:extLst>
        </xdr:cNvPr>
        <xdr:cNvSpPr/>
      </xdr:nvSpPr>
      <xdr:spPr>
        <a:xfrm>
          <a:off x="7058025" y="5295901"/>
          <a:ext cx="190500" cy="466724"/>
        </a:xfrm>
        <a:prstGeom prst="downArrow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29</xdr:row>
      <xdr:rowOff>85725</xdr:rowOff>
    </xdr:from>
    <xdr:to>
      <xdr:col>13</xdr:col>
      <xdr:colOff>371475</xdr:colOff>
      <xdr:row>40</xdr:row>
      <xdr:rowOff>9525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5857018B-1E3F-4DF4-97F4-6E4071F756EA}"/>
            </a:ext>
          </a:extLst>
        </xdr:cNvPr>
        <xdr:cNvSpPr/>
      </xdr:nvSpPr>
      <xdr:spPr>
        <a:xfrm>
          <a:off x="6115050" y="5705475"/>
          <a:ext cx="2181225" cy="20193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endParaRPr lang="en-US" sz="1400" b="1"/>
        </a:p>
        <a:p>
          <a:pPr algn="ctr"/>
          <a:r>
            <a:rPr lang="en-US" sz="1400" b="1"/>
            <a:t>Assigned Blocks</a:t>
          </a:r>
        </a:p>
      </xdr:txBody>
    </xdr:sp>
    <xdr:clientData/>
  </xdr:twoCellAnchor>
  <xdr:twoCellAnchor>
    <xdr:from>
      <xdr:col>3</xdr:col>
      <xdr:colOff>504825</xdr:colOff>
      <xdr:row>29</xdr:row>
      <xdr:rowOff>57150</xdr:rowOff>
    </xdr:from>
    <xdr:to>
      <xdr:col>7</xdr:col>
      <xdr:colOff>247650</xdr:colOff>
      <xdr:row>40</xdr:row>
      <xdr:rowOff>9525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0E62DF1-3719-492C-BD15-F9B2925971EE}"/>
            </a:ext>
          </a:extLst>
        </xdr:cNvPr>
        <xdr:cNvSpPr/>
      </xdr:nvSpPr>
      <xdr:spPr>
        <a:xfrm>
          <a:off x="2333625" y="5676900"/>
          <a:ext cx="2181225" cy="2047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ctr"/>
          <a:r>
            <a:rPr lang="en-US" sz="1400" b="1"/>
            <a:t>Available</a:t>
          </a:r>
          <a:r>
            <a:rPr lang="en-US" sz="1400" b="1" baseline="0"/>
            <a:t> Reward</a:t>
          </a:r>
        </a:p>
        <a:p>
          <a:pPr algn="ctr"/>
          <a:r>
            <a:rPr lang="en-US" sz="1400" b="1" baseline="0"/>
            <a:t> for a pool</a:t>
          </a:r>
          <a:endParaRPr lang="en-US" sz="1400" b="1"/>
        </a:p>
      </xdr:txBody>
    </xdr:sp>
    <xdr:clientData/>
  </xdr:twoCellAnchor>
  <xdr:twoCellAnchor>
    <xdr:from>
      <xdr:col>7</xdr:col>
      <xdr:colOff>65314</xdr:colOff>
      <xdr:row>41</xdr:row>
      <xdr:rowOff>13607</xdr:rowOff>
    </xdr:from>
    <xdr:to>
      <xdr:col>10</xdr:col>
      <xdr:colOff>93889</xdr:colOff>
      <xdr:row>50</xdr:row>
      <xdr:rowOff>42182</xdr:rowOff>
    </xdr:to>
    <xdr:sp macro="" textlink="">
      <xdr:nvSpPr>
        <xdr:cNvPr id="23" name="Partial Circle 22">
          <a:extLst>
            <a:ext uri="{FF2B5EF4-FFF2-40B4-BE49-F238E27FC236}">
              <a16:creationId xmlns:a16="http://schemas.microsoft.com/office/drawing/2014/main" id="{F41B731B-4F1C-4BCC-858C-3FEB86222389}"/>
            </a:ext>
          </a:extLst>
        </xdr:cNvPr>
        <xdr:cNvSpPr/>
      </xdr:nvSpPr>
      <xdr:spPr>
        <a:xfrm>
          <a:off x="4408714" y="7742464"/>
          <a:ext cx="1890032" cy="1694089"/>
        </a:xfrm>
        <a:prstGeom prst="pi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  <a:p>
          <a:pPr algn="l"/>
          <a:r>
            <a:rPr lang="en-US" sz="1100" b="1">
              <a:solidFill>
                <a:schemeClr val="tx1"/>
              </a:solidFill>
            </a:rPr>
            <a:t>Total Actual Pool</a:t>
          </a:r>
          <a:r>
            <a:rPr lang="en-US" sz="1100" b="1" baseline="0">
              <a:solidFill>
                <a:schemeClr val="tx1"/>
              </a:solidFill>
            </a:rPr>
            <a:t> Rewards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417739</xdr:colOff>
      <xdr:row>11</xdr:row>
      <xdr:rowOff>83005</xdr:rowOff>
    </xdr:from>
    <xdr:to>
      <xdr:col>8</xdr:col>
      <xdr:colOff>384402</xdr:colOff>
      <xdr:row>40</xdr:row>
      <xdr:rowOff>159205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27509F1-DFD0-4906-9622-800BA0E3E8AC}"/>
            </a:ext>
          </a:extLst>
        </xdr:cNvPr>
        <xdr:cNvCxnSpPr>
          <a:stCxn id="20" idx="2"/>
        </xdr:cNvCxnSpPr>
      </xdr:nvCxnSpPr>
      <xdr:spPr>
        <a:xfrm rot="5400000" flipH="1">
          <a:off x="471828" y="2826545"/>
          <a:ext cx="5442857" cy="4310063"/>
        </a:xfrm>
        <a:prstGeom prst="bentConnector3">
          <a:avLst>
            <a:gd name="adj1" fmla="val 34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342900</xdr:colOff>
      <xdr:row>7</xdr:row>
      <xdr:rowOff>142875</xdr:rowOff>
    </xdr:from>
    <xdr:to>
      <xdr:col>2</xdr:col>
      <xdr:colOff>457199</xdr:colOff>
      <xdr:row>11</xdr:row>
      <xdr:rowOff>19050</xdr:rowOff>
    </xdr:to>
    <xdr:sp macro="" textlink="">
      <xdr:nvSpPr>
        <xdr:cNvPr id="47" name="Frame 46">
          <a:extLst>
            <a:ext uri="{FF2B5EF4-FFF2-40B4-BE49-F238E27FC236}">
              <a16:creationId xmlns:a16="http://schemas.microsoft.com/office/drawing/2014/main" id="{B041DC9E-B15B-4777-AF7E-0CE912D81146}"/>
            </a:ext>
          </a:extLst>
        </xdr:cNvPr>
        <xdr:cNvSpPr/>
      </xdr:nvSpPr>
      <xdr:spPr>
        <a:xfrm>
          <a:off x="342900" y="1571625"/>
          <a:ext cx="1333499" cy="6858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409574</xdr:colOff>
      <xdr:row>41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FC9E2-E13A-4F72-8CF0-DDE9491DE2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CE86-1F0E-4166-A6F8-93105C878FF5}">
  <dimension ref="A1:AT234"/>
  <sheetViews>
    <sheetView tabSelected="1" topLeftCell="A25" zoomScale="85" zoomScaleNormal="85" workbookViewId="0">
      <selection activeCell="D26" sqref="D26"/>
    </sheetView>
  </sheetViews>
  <sheetFormatPr defaultRowHeight="15" x14ac:dyDescent="0.25"/>
  <cols>
    <col min="1" max="1" width="4" style="6" bestFit="1" customWidth="1"/>
    <col min="2" max="2" width="40.85546875" bestFit="1" customWidth="1"/>
    <col min="3" max="3" width="14.85546875" bestFit="1" customWidth="1"/>
    <col min="4" max="4" width="41" style="6" bestFit="1" customWidth="1"/>
    <col min="5" max="5" width="10.42578125" customWidth="1"/>
    <col min="6" max="6" width="12" customWidth="1"/>
    <col min="7" max="24" width="13.140625" customWidth="1"/>
    <col min="25" max="25" width="8.140625" bestFit="1" customWidth="1"/>
    <col min="26" max="26" width="15.42578125" style="1" bestFit="1" customWidth="1"/>
    <col min="27" max="27" width="5.28515625" style="6" customWidth="1"/>
    <col min="28" max="28" width="21.140625" bestFit="1" customWidth="1"/>
    <col min="29" max="29" width="2.5703125" customWidth="1"/>
    <col min="30" max="30" width="21.7109375" bestFit="1" customWidth="1"/>
    <col min="31" max="31" width="2" style="6" customWidth="1"/>
    <col min="32" max="32" width="20.7109375" bestFit="1" customWidth="1"/>
    <col min="33" max="33" width="1.7109375" style="6" customWidth="1"/>
    <col min="34" max="34" width="20.7109375" bestFit="1" customWidth="1"/>
    <col min="35" max="35" width="6.7109375" customWidth="1"/>
    <col min="36" max="36" width="11.7109375" customWidth="1"/>
    <col min="37" max="37" width="22.28515625" customWidth="1"/>
    <col min="38" max="38" width="1.85546875" customWidth="1"/>
    <col min="39" max="39" width="20.85546875" customWidth="1"/>
    <col min="41" max="41" width="8.85546875" customWidth="1"/>
    <col min="42" max="42" width="24.85546875" customWidth="1"/>
    <col min="43" max="43" width="1.7109375" customWidth="1"/>
    <col min="44" max="44" width="20.42578125" customWidth="1"/>
    <col min="57" max="57" width="11.28515625" bestFit="1" customWidth="1"/>
  </cols>
  <sheetData>
    <row r="1" spans="1:46" x14ac:dyDescent="0.25">
      <c r="B1" s="6"/>
      <c r="C1" s="6"/>
      <c r="E1" s="17" t="s">
        <v>55</v>
      </c>
      <c r="F1" s="31">
        <f>$C$27</f>
        <v>211</v>
      </c>
      <c r="G1" s="88">
        <v>0</v>
      </c>
      <c r="H1" s="238">
        <v>7.0967118909265596E-4</v>
      </c>
      <c r="I1" s="238">
        <v>1.1827853151544266E-3</v>
      </c>
      <c r="J1" s="239">
        <v>9.4622825212354114E-3</v>
      </c>
      <c r="K1" s="239">
        <v>1.8924565042470826E-2</v>
      </c>
      <c r="L1" s="88">
        <v>0.04</v>
      </c>
      <c r="M1" s="88">
        <v>0.06</v>
      </c>
      <c r="N1" s="88">
        <v>0.08</v>
      </c>
      <c r="O1" s="88">
        <v>0.1</v>
      </c>
      <c r="P1" s="88">
        <v>0.2</v>
      </c>
      <c r="Q1" s="88">
        <v>0.3</v>
      </c>
      <c r="R1" s="88">
        <v>0.4</v>
      </c>
      <c r="S1" s="88">
        <v>0.45</v>
      </c>
      <c r="T1" s="88">
        <v>0.5</v>
      </c>
      <c r="U1" s="88">
        <v>0.75</v>
      </c>
      <c r="V1" s="88">
        <v>0.8</v>
      </c>
      <c r="W1" s="88">
        <v>0.95</v>
      </c>
      <c r="X1" s="88">
        <v>1</v>
      </c>
      <c r="AC1" s="6"/>
    </row>
    <row r="2" spans="1:46" x14ac:dyDescent="0.25">
      <c r="B2" s="6"/>
      <c r="C2" s="6"/>
      <c r="E2" s="17" t="s">
        <v>73</v>
      </c>
      <c r="F2" s="70">
        <f>$C$39</f>
        <v>0.113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Z2" s="108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</row>
    <row r="3" spans="1:46" x14ac:dyDescent="0.25">
      <c r="B3" s="6"/>
      <c r="C3" s="6"/>
      <c r="E3" s="17" t="s">
        <v>72</v>
      </c>
      <c r="F3" s="71">
        <f>$C$41</f>
        <v>0.05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Z3" s="108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</row>
    <row r="4" spans="1:46" x14ac:dyDescent="0.25">
      <c r="B4" s="6"/>
      <c r="C4" s="6"/>
      <c r="E4" s="17" t="s">
        <v>46</v>
      </c>
      <c r="F4" s="101">
        <f>$C$42</f>
        <v>250000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Z4" s="108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</row>
    <row r="5" spans="1:46" ht="18.75" x14ac:dyDescent="0.3">
      <c r="B5" s="6"/>
      <c r="C5" s="6"/>
      <c r="E5" s="93" t="s">
        <v>88</v>
      </c>
      <c r="F5" s="102">
        <f>$C$28</f>
        <v>150</v>
      </c>
      <c r="G5" s="5"/>
      <c r="H5" s="5"/>
      <c r="I5" s="5"/>
      <c r="J5" s="5"/>
      <c r="K5" s="5"/>
      <c r="L5" s="5"/>
      <c r="M5" s="5"/>
      <c r="N5" s="5"/>
      <c r="O5" s="240" t="s">
        <v>127</v>
      </c>
      <c r="P5" s="5"/>
      <c r="Q5" s="5"/>
      <c r="R5" s="5"/>
      <c r="S5" s="5"/>
      <c r="T5" s="5"/>
      <c r="U5" s="5"/>
      <c r="V5" s="5"/>
      <c r="W5" s="5"/>
      <c r="X5" s="5"/>
      <c r="Z5" s="108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</row>
    <row r="6" spans="1:46" ht="15" customHeight="1" x14ac:dyDescent="0.25">
      <c r="B6" s="3" t="s">
        <v>26</v>
      </c>
      <c r="C6" s="3" t="s">
        <v>4</v>
      </c>
      <c r="D6" s="17" t="s">
        <v>27</v>
      </c>
      <c r="E6" s="253" t="s">
        <v>28</v>
      </c>
      <c r="F6" s="254" t="s">
        <v>31</v>
      </c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Z6" s="110"/>
      <c r="AA6" s="109"/>
      <c r="AB6" s="110"/>
      <c r="AC6" s="110"/>
      <c r="AD6" s="111"/>
      <c r="AE6" s="111"/>
      <c r="AF6" s="111"/>
      <c r="AG6" s="111"/>
      <c r="AH6" s="111"/>
      <c r="AI6" s="111"/>
      <c r="AJ6" s="110"/>
      <c r="AK6" s="111"/>
      <c r="AL6" s="109"/>
      <c r="AM6" s="111"/>
      <c r="AN6" s="109"/>
      <c r="AO6" s="110"/>
      <c r="AP6" s="111"/>
      <c r="AQ6" s="109"/>
      <c r="AR6" s="111"/>
      <c r="AS6" s="109"/>
      <c r="AT6" s="109"/>
    </row>
    <row r="7" spans="1:46" x14ac:dyDescent="0.25">
      <c r="A7" s="6">
        <v>1</v>
      </c>
      <c r="B7" s="31" t="s">
        <v>0</v>
      </c>
      <c r="C7" s="105">
        <f>nOps</f>
        <v>150</v>
      </c>
      <c r="D7" s="6" t="s">
        <v>1</v>
      </c>
      <c r="E7" s="253"/>
      <c r="F7" s="9">
        <f>C47</f>
        <v>5.4718819478596803E-2</v>
      </c>
      <c r="G7" s="10">
        <v>100000</v>
      </c>
      <c r="H7" s="10">
        <f t="shared" ref="H7:X7" si="0">H1*saturation_point</f>
        <v>150000</v>
      </c>
      <c r="I7" s="10">
        <f t="shared" si="0"/>
        <v>250000.00000000003</v>
      </c>
      <c r="J7" s="10">
        <f t="shared" si="0"/>
        <v>1999999.9999999998</v>
      </c>
      <c r="K7" s="10">
        <f t="shared" si="0"/>
        <v>4000000.0000000005</v>
      </c>
      <c r="L7" s="10">
        <f t="shared" si="0"/>
        <v>8454619.6777006667</v>
      </c>
      <c r="M7" s="10">
        <f t="shared" si="0"/>
        <v>12681929.516551001</v>
      </c>
      <c r="N7" s="10">
        <f t="shared" si="0"/>
        <v>16909239.355401333</v>
      </c>
      <c r="O7" s="10">
        <f t="shared" si="0"/>
        <v>21136549.194251671</v>
      </c>
      <c r="P7" s="10">
        <f t="shared" si="0"/>
        <v>42273098.388503343</v>
      </c>
      <c r="Q7" s="10">
        <f t="shared" si="0"/>
        <v>63409647.582754999</v>
      </c>
      <c r="R7" s="10">
        <f t="shared" si="0"/>
        <v>84546196.777006686</v>
      </c>
      <c r="S7" s="10">
        <f t="shared" si="0"/>
        <v>95114471.374132514</v>
      </c>
      <c r="T7" s="10">
        <f t="shared" si="0"/>
        <v>105682745.97125834</v>
      </c>
      <c r="U7" s="10">
        <f t="shared" si="0"/>
        <v>158524118.95688751</v>
      </c>
      <c r="V7" s="10">
        <f t="shared" si="0"/>
        <v>169092393.55401337</v>
      </c>
      <c r="W7" s="10">
        <f t="shared" si="0"/>
        <v>200797217.34539083</v>
      </c>
      <c r="X7" s="11">
        <f t="shared" si="0"/>
        <v>211365491.94251668</v>
      </c>
      <c r="Z7" s="112"/>
      <c r="AA7" s="113"/>
      <c r="AB7" s="114"/>
      <c r="AC7" s="114"/>
      <c r="AD7" s="114"/>
      <c r="AE7" s="115"/>
      <c r="AF7" s="114"/>
      <c r="AG7" s="114"/>
      <c r="AH7" s="114"/>
      <c r="AI7" s="115"/>
      <c r="AJ7" s="116"/>
      <c r="AK7" s="117"/>
      <c r="AL7" s="113"/>
      <c r="AM7" s="117"/>
      <c r="AN7" s="109"/>
      <c r="AO7" s="116"/>
      <c r="AP7" s="117"/>
      <c r="AQ7" s="113"/>
      <c r="AR7" s="117"/>
      <c r="AS7" s="109"/>
      <c r="AT7" s="109"/>
    </row>
    <row r="8" spans="1:46" ht="15.75" thickBot="1" x14ac:dyDescent="0.3">
      <c r="A8" s="6">
        <v>2</v>
      </c>
      <c r="B8" s="31" t="s">
        <v>37</v>
      </c>
      <c r="C8" s="106">
        <v>0.3</v>
      </c>
      <c r="D8" s="23" t="s">
        <v>35</v>
      </c>
      <c r="E8" s="253"/>
      <c r="F8" s="12">
        <v>150000</v>
      </c>
      <c r="G8" s="13">
        <f t="dataTable" ref="G8:X24" dt2D="1" dtr="1" r1="C42" r2="C43" ca="1"/>
        <v>-9.8511992977202256E-2</v>
      </c>
      <c r="H8" s="13">
        <v>-9.8514276358003694E-2</v>
      </c>
      <c r="I8" s="60">
        <v>-9.8525700481307821E-2</v>
      </c>
      <c r="J8" s="62">
        <v>-0.10020412376983523</v>
      </c>
      <c r="K8" s="60">
        <v>-0.10552734804543928</v>
      </c>
      <c r="L8" s="60">
        <v>-0.13005519541200394</v>
      </c>
      <c r="M8" s="60">
        <v>-0.16835633712403586</v>
      </c>
      <c r="N8" s="60">
        <v>-0.21929886588457259</v>
      </c>
      <c r="O8" s="60">
        <v>-0.2803625495969726</v>
      </c>
      <c r="P8" s="60">
        <v>-0.63663886467533071</v>
      </c>
      <c r="Q8" s="60">
        <v>-0.88545516582650008</v>
      </c>
      <c r="R8" s="60">
        <v>-0.97796158440444692</v>
      </c>
      <c r="S8" s="60">
        <v>-0.9920477112855709</v>
      </c>
      <c r="T8" s="60">
        <v>-0.99749820714949033</v>
      </c>
      <c r="U8" s="60">
        <v>-0.99999924349760594</v>
      </c>
      <c r="V8" s="60">
        <v>-0.9999999125240906</v>
      </c>
      <c r="W8" s="60">
        <v>-0.99999999996490085</v>
      </c>
      <c r="X8" s="61">
        <v>-0.99999999999846956</v>
      </c>
      <c r="Z8" s="112"/>
      <c r="AA8" s="113"/>
      <c r="AB8" s="114"/>
      <c r="AC8" s="114"/>
      <c r="AD8" s="114"/>
      <c r="AE8" s="115"/>
      <c r="AF8" s="114"/>
      <c r="AG8" s="114"/>
      <c r="AH8" s="114"/>
      <c r="AI8" s="115"/>
      <c r="AJ8" s="116"/>
      <c r="AK8" s="117"/>
      <c r="AL8" s="113"/>
      <c r="AM8" s="117"/>
      <c r="AN8" s="109"/>
      <c r="AO8" s="116"/>
      <c r="AP8" s="117"/>
      <c r="AQ8" s="113"/>
      <c r="AR8" s="117"/>
      <c r="AS8" s="109"/>
      <c r="AT8" s="109"/>
    </row>
    <row r="9" spans="1:46" ht="15.75" thickBot="1" x14ac:dyDescent="0.3">
      <c r="A9" s="6">
        <v>3</v>
      </c>
      <c r="B9" s="31" t="s">
        <v>2</v>
      </c>
      <c r="C9" s="107">
        <v>1</v>
      </c>
      <c r="D9" s="6" t="s">
        <v>11</v>
      </c>
      <c r="E9" s="253"/>
      <c r="F9" s="12">
        <v>250000</v>
      </c>
      <c r="G9" s="13">
        <v>-3.9947134480661894E-2</v>
      </c>
      <c r="H9" s="13">
        <v>-3.9947130162410027E-2</v>
      </c>
      <c r="I9" s="223">
        <v>-3.9951497435893768E-2</v>
      </c>
      <c r="J9" s="62">
        <v>-4.0971854491686055E-2</v>
      </c>
      <c r="K9" s="60">
        <v>-4.4317253634192366E-2</v>
      </c>
      <c r="L9" s="60">
        <v>-5.9978069623536689E-2</v>
      </c>
      <c r="M9" s="60">
        <v>-8.4874393679689075E-2</v>
      </c>
      <c r="N9" s="60">
        <v>-0.11875351944851209</v>
      </c>
      <c r="O9" s="60">
        <v>-0.16057727780968023</v>
      </c>
      <c r="P9" s="60">
        <v>-0.44154215618212889</v>
      </c>
      <c r="Q9" s="60">
        <v>-0.71860291526193332</v>
      </c>
      <c r="R9" s="60">
        <v>-0.89345313721414876</v>
      </c>
      <c r="S9" s="60">
        <v>-0.9413027074882564</v>
      </c>
      <c r="T9" s="60">
        <v>-0.9700314144440304</v>
      </c>
      <c r="U9" s="60">
        <v>-0.99969434954473002</v>
      </c>
      <c r="V9" s="60">
        <v>-0.99990640142051479</v>
      </c>
      <c r="W9" s="60">
        <v>-0.99999853561399132</v>
      </c>
      <c r="X9" s="61">
        <v>-0.99999970632825175</v>
      </c>
      <c r="Z9" s="112"/>
      <c r="AA9" s="113"/>
      <c r="AB9" s="114"/>
      <c r="AC9" s="114"/>
      <c r="AD9" s="114"/>
      <c r="AE9" s="115"/>
      <c r="AF9" s="114"/>
      <c r="AG9" s="114"/>
      <c r="AH9" s="114"/>
      <c r="AI9" s="115"/>
      <c r="AJ9" s="116"/>
      <c r="AK9" s="117"/>
      <c r="AL9" s="113"/>
      <c r="AM9" s="117"/>
      <c r="AN9" s="109"/>
      <c r="AO9" s="116"/>
      <c r="AP9" s="117"/>
      <c r="AQ9" s="113"/>
      <c r="AR9" s="117"/>
      <c r="AS9" s="109"/>
      <c r="AT9" s="109"/>
    </row>
    <row r="10" spans="1:46" x14ac:dyDescent="0.25">
      <c r="A10" s="6">
        <v>4</v>
      </c>
      <c r="B10" s="32" t="s">
        <v>3</v>
      </c>
      <c r="C10" s="129">
        <f>C42/C32</f>
        <v>7.8852354343628451E-6</v>
      </c>
      <c r="D10" s="6" t="s">
        <v>50</v>
      </c>
      <c r="E10" s="253"/>
      <c r="F10" s="12">
        <v>2000000</v>
      </c>
      <c r="G10" s="13">
        <v>4.2645951177290531E-2</v>
      </c>
      <c r="H10" s="13">
        <v>4.2649421327278114E-2</v>
      </c>
      <c r="I10" s="13">
        <v>4.2655773198288172E-2</v>
      </c>
      <c r="J10" s="13">
        <v>4.263992147289386E-2</v>
      </c>
      <c r="K10" s="60">
        <v>4.2327624424783883E-2</v>
      </c>
      <c r="L10" s="60">
        <v>4.0506066568549048E-2</v>
      </c>
      <c r="M10" s="60">
        <v>3.734679757435222E-2</v>
      </c>
      <c r="N10" s="60">
        <v>3.2807009233159157E-2</v>
      </c>
      <c r="O10" s="60">
        <v>2.6904671776247557E-2</v>
      </c>
      <c r="P10" s="60">
        <v>-2.2053382444532699E-2</v>
      </c>
      <c r="Q10" s="60">
        <v>-9.9550370186893389E-2</v>
      </c>
      <c r="R10" s="60">
        <v>-0.19848209255793003</v>
      </c>
      <c r="S10" s="60">
        <v>-0.25336207748873918</v>
      </c>
      <c r="T10" s="60">
        <v>-0.31038572005927034</v>
      </c>
      <c r="U10" s="60">
        <v>-0.59251758972881696</v>
      </c>
      <c r="V10" s="60">
        <v>-0.64264421088728296</v>
      </c>
      <c r="W10" s="60">
        <v>-0.77138429655124763</v>
      </c>
      <c r="X10" s="61">
        <v>-0.80648855092480765</v>
      </c>
      <c r="Z10" s="112"/>
      <c r="AA10" s="113"/>
      <c r="AB10" s="114"/>
      <c r="AC10" s="114"/>
      <c r="AD10" s="114"/>
      <c r="AE10" s="115"/>
      <c r="AF10" s="114"/>
      <c r="AG10" s="114"/>
      <c r="AH10" s="114"/>
      <c r="AI10" s="115"/>
      <c r="AJ10" s="116"/>
      <c r="AK10" s="117"/>
      <c r="AL10" s="113"/>
      <c r="AM10" s="117"/>
      <c r="AN10" s="109"/>
      <c r="AO10" s="116"/>
      <c r="AP10" s="117"/>
      <c r="AQ10" s="113"/>
      <c r="AR10" s="117"/>
      <c r="AS10" s="109"/>
      <c r="AT10" s="109"/>
    </row>
    <row r="11" spans="1:46" ht="19.5" customHeight="1" x14ac:dyDescent="0.25">
      <c r="A11" s="6">
        <v>5</v>
      </c>
      <c r="B11" s="32" t="s">
        <v>5</v>
      </c>
      <c r="C11" s="130">
        <f>C43/C32</f>
        <v>2.6447079646852983E-3</v>
      </c>
      <c r="D11" s="6" t="s">
        <v>36</v>
      </c>
      <c r="E11" s="253"/>
      <c r="F11" s="12">
        <f t="shared" ref="F11:F24" si="1">Y68*$C$36</f>
        <v>9891929.7225122619</v>
      </c>
      <c r="G11" s="13">
        <v>5.2493198380711314E-2</v>
      </c>
      <c r="H11" s="13">
        <v>5.2497099504565048E-2</v>
      </c>
      <c r="I11" s="13">
        <v>5.2504786234861767E-2</v>
      </c>
      <c r="J11" s="13">
        <v>5.2614368384136689E-2</v>
      </c>
      <c r="K11" s="13">
        <v>5.2681827658221492E-2</v>
      </c>
      <c r="L11" s="60">
        <v>5.2610538217227054E-2</v>
      </c>
      <c r="M11" s="60">
        <v>5.2260171725917237E-2</v>
      </c>
      <c r="N11" s="60">
        <v>5.1634765541853644E-2</v>
      </c>
      <c r="O11" s="60">
        <v>5.0734803505096737E-2</v>
      </c>
      <c r="P11" s="60">
        <v>4.2148379021867743E-2</v>
      </c>
      <c r="Q11" s="60">
        <v>2.6891104758547169E-2</v>
      </c>
      <c r="R11" s="60">
        <v>5.2542053486450691E-3</v>
      </c>
      <c r="S11" s="60">
        <v>-7.8332782987379224E-3</v>
      </c>
      <c r="T11" s="60">
        <v>-2.2354087794299926E-2</v>
      </c>
      <c r="U11" s="60">
        <v>-0.1139217169464134</v>
      </c>
      <c r="V11" s="60">
        <v>-0.13545554803779425</v>
      </c>
      <c r="W11" s="60">
        <v>-0.20487621991837313</v>
      </c>
      <c r="X11" s="61">
        <v>-0.22930646743905059</v>
      </c>
      <c r="Z11" s="112"/>
      <c r="AA11" s="113"/>
      <c r="AB11" s="114"/>
      <c r="AC11" s="114"/>
      <c r="AD11" s="114"/>
      <c r="AE11" s="115"/>
      <c r="AF11" s="114"/>
      <c r="AG11" s="114"/>
      <c r="AH11" s="114"/>
      <c r="AI11" s="115"/>
      <c r="AJ11" s="116"/>
      <c r="AK11" s="117"/>
      <c r="AL11" s="113"/>
      <c r="AM11" s="117"/>
      <c r="AN11" s="109"/>
      <c r="AO11" s="116"/>
      <c r="AP11" s="117"/>
      <c r="AQ11" s="113"/>
      <c r="AR11" s="117"/>
      <c r="AS11" s="109"/>
      <c r="AT11" s="109"/>
    </row>
    <row r="12" spans="1:46" x14ac:dyDescent="0.25">
      <c r="A12" s="6">
        <v>6</v>
      </c>
      <c r="B12" s="31" t="s">
        <v>38</v>
      </c>
      <c r="C12" s="94">
        <f>1/C7</f>
        <v>6.6666666666666671E-3</v>
      </c>
      <c r="D12" s="6" t="s">
        <v>8</v>
      </c>
      <c r="E12" s="253"/>
      <c r="F12" s="12">
        <v>11000000</v>
      </c>
      <c r="G12" s="13">
        <v>5.2745778577850677E-2</v>
      </c>
      <c r="H12" s="13">
        <v>5.2749690804375637E-2</v>
      </c>
      <c r="I12" s="13">
        <v>5.2757411928107789E-2</v>
      </c>
      <c r="J12" s="13">
        <v>5.2870226851616797E-2</v>
      </c>
      <c r="K12" s="13">
        <v>5.2947476178827779E-2</v>
      </c>
      <c r="L12" s="13">
        <v>5.2921355530170411E-2</v>
      </c>
      <c r="M12" s="60">
        <v>5.2643639429746036E-2</v>
      </c>
      <c r="N12" s="60">
        <v>5.2119810478831408E-2</v>
      </c>
      <c r="O12" s="60">
        <v>5.1350231143036495E-2</v>
      </c>
      <c r="P12" s="60">
        <v>4.3840614550920254E-2</v>
      </c>
      <c r="Q12" s="60">
        <v>3.0338239155933033E-2</v>
      </c>
      <c r="R12" s="60">
        <v>1.1073987200183044E-2</v>
      </c>
      <c r="S12" s="60">
        <v>-6.2043851216142532E-4</v>
      </c>
      <c r="T12" s="60">
        <v>-1.3626093495569758E-2</v>
      </c>
      <c r="U12" s="60">
        <v>-9.6272339846130373E-2</v>
      </c>
      <c r="V12" s="60">
        <v>-0.11585874672500762</v>
      </c>
      <c r="W12" s="60">
        <v>-0.17939594832283656</v>
      </c>
      <c r="X12" s="61">
        <v>-0.20190350955698888</v>
      </c>
      <c r="Z12" s="112"/>
      <c r="AA12" s="113"/>
      <c r="AB12" s="114"/>
      <c r="AC12" s="114"/>
      <c r="AD12" s="114"/>
      <c r="AE12" s="115"/>
      <c r="AF12" s="114"/>
      <c r="AG12" s="114"/>
      <c r="AH12" s="114"/>
      <c r="AI12" s="115"/>
      <c r="AJ12" s="116"/>
      <c r="AK12" s="117"/>
      <c r="AL12" s="113"/>
      <c r="AM12" s="117"/>
      <c r="AN12" s="109"/>
      <c r="AO12" s="116"/>
      <c r="AP12" s="117"/>
      <c r="AQ12" s="113"/>
      <c r="AR12" s="117"/>
      <c r="AS12" s="109"/>
      <c r="AT12" s="109"/>
    </row>
    <row r="13" spans="1:46" x14ac:dyDescent="0.25">
      <c r="A13" s="6">
        <v>7</v>
      </c>
      <c r="B13" s="32" t="s">
        <v>6</v>
      </c>
      <c r="C13" s="95">
        <f>MIN(C11,C12)</f>
        <v>2.6447079646852983E-3</v>
      </c>
      <c r="D13" s="6" t="s">
        <v>7</v>
      </c>
      <c r="E13" s="253"/>
      <c r="F13" s="12">
        <f t="shared" si="1"/>
        <v>31704823.7913775</v>
      </c>
      <c r="G13" s="13">
        <v>5.4219482498369054E-2</v>
      </c>
      <c r="H13" s="13">
        <v>5.4223459552404707E-2</v>
      </c>
      <c r="I13" s="13">
        <v>5.4231381501526732E-2</v>
      </c>
      <c r="J13" s="13">
        <v>5.4363073681521934E-2</v>
      </c>
      <c r="K13" s="13">
        <v>5.4497493095136074E-2</v>
      </c>
      <c r="L13" s="13">
        <v>5.4735187397164209E-2</v>
      </c>
      <c r="M13" s="13">
        <v>5.4881957224021782E-2</v>
      </c>
      <c r="N13" s="60">
        <v>5.4951962235675111E-2</v>
      </c>
      <c r="O13" s="60">
        <v>5.494518735687226E-2</v>
      </c>
      <c r="P13" s="60">
        <v>5.3760244174357208E-2</v>
      </c>
      <c r="Q13" s="60">
        <v>5.0663039301008128E-2</v>
      </c>
      <c r="R13" s="60">
        <v>4.5670207996295398E-2</v>
      </c>
      <c r="S13" s="60">
        <v>4.2470902852616454E-2</v>
      </c>
      <c r="T13" s="60">
        <v>3.8808501391275341E-2</v>
      </c>
      <c r="U13" s="60">
        <v>1.3741726707193092E-2</v>
      </c>
      <c r="V13" s="60">
        <v>7.4238375696951131E-3</v>
      </c>
      <c r="W13" s="60">
        <v>-1.3995015968561564E-2</v>
      </c>
      <c r="X13" s="61">
        <v>-2.1925489628903061E-2</v>
      </c>
      <c r="Z13" s="112"/>
      <c r="AA13" s="113"/>
      <c r="AB13" s="114"/>
      <c r="AC13" s="114"/>
      <c r="AD13" s="114"/>
      <c r="AE13" s="115"/>
      <c r="AF13" s="114"/>
      <c r="AG13" s="114"/>
      <c r="AH13" s="114"/>
      <c r="AI13" s="115"/>
      <c r="AJ13" s="116"/>
      <c r="AK13" s="117"/>
      <c r="AL13" s="113"/>
      <c r="AM13" s="117"/>
      <c r="AN13" s="109"/>
      <c r="AO13" s="116"/>
      <c r="AP13" s="117"/>
      <c r="AQ13" s="113"/>
      <c r="AR13" s="117"/>
      <c r="AS13" s="109"/>
      <c r="AT13" s="109"/>
    </row>
    <row r="14" spans="1:46" x14ac:dyDescent="0.25">
      <c r="A14" s="6">
        <v>8</v>
      </c>
      <c r="B14" s="31" t="s">
        <v>9</v>
      </c>
      <c r="C14" s="96">
        <f>MIN(C10,C12)</f>
        <v>7.8852354343628451E-6</v>
      </c>
      <c r="D14" s="6" t="s">
        <v>10</v>
      </c>
      <c r="E14" s="253"/>
      <c r="F14" s="12">
        <f t="shared" si="1"/>
        <v>42273098.388503343</v>
      </c>
      <c r="G14" s="13">
        <v>5.4415371816875835E-2</v>
      </c>
      <c r="H14" s="13">
        <v>5.4419357494151166E-2</v>
      </c>
      <c r="I14" s="13">
        <v>5.4427306157343036E-2</v>
      </c>
      <c r="J14" s="13">
        <v>5.456150952917671E-2</v>
      </c>
      <c r="K14" s="13">
        <v>5.4703534472497539E-2</v>
      </c>
      <c r="L14" s="13">
        <v>5.4976330986625355E-2</v>
      </c>
      <c r="M14" s="13">
        <v>5.5179601937086487E-2</v>
      </c>
      <c r="N14" s="13">
        <v>5.5328691851378897E-2</v>
      </c>
      <c r="O14" s="60">
        <v>5.5423578068902746E-2</v>
      </c>
      <c r="P14" s="60">
        <v>5.5084737353442215E-2</v>
      </c>
      <c r="Q14" s="60">
        <v>5.3392142518106533E-2</v>
      </c>
      <c r="R14" s="60">
        <v>5.0352217990178305E-2</v>
      </c>
      <c r="S14" s="60">
        <v>4.833041031281371E-2</v>
      </c>
      <c r="T14" s="60">
        <v>4.597648566962742E-2</v>
      </c>
      <c r="U14" s="60">
        <v>2.9313672385186118E-2</v>
      </c>
      <c r="V14" s="60">
        <v>2.502439970257142E-2</v>
      </c>
      <c r="W14" s="60">
        <v>1.0312602737742482E-2</v>
      </c>
      <c r="X14" s="61">
        <v>4.8091804910939118E-3</v>
      </c>
      <c r="Z14" s="112"/>
      <c r="AA14" s="111"/>
      <c r="AB14" s="25"/>
      <c r="AC14" s="25"/>
      <c r="AD14" s="25"/>
      <c r="AE14" s="25"/>
      <c r="AF14" s="25"/>
      <c r="AG14" s="25"/>
      <c r="AH14" s="25"/>
      <c r="AI14" s="115"/>
      <c r="AJ14" s="116"/>
      <c r="AK14" s="118"/>
      <c r="AL14" s="111"/>
      <c r="AM14" s="118"/>
      <c r="AN14" s="109"/>
      <c r="AO14" s="116"/>
      <c r="AP14" s="118"/>
      <c r="AQ14" s="111"/>
      <c r="AR14" s="118"/>
      <c r="AS14" s="109"/>
      <c r="AT14" s="109"/>
    </row>
    <row r="15" spans="1:46" x14ac:dyDescent="0.25">
      <c r="B15" s="6"/>
      <c r="C15" s="6"/>
      <c r="E15" s="253"/>
      <c r="F15" s="12">
        <f t="shared" si="1"/>
        <v>52841372.985629171</v>
      </c>
      <c r="G15" s="13">
        <v>5.4532922639742409E-2</v>
      </c>
      <c r="H15" s="13">
        <v>5.4536913492418293E-2</v>
      </c>
      <c r="I15" s="13">
        <v>5.4544878188616197E-2</v>
      </c>
      <c r="J15" s="13">
        <v>5.4680588718055034E-2</v>
      </c>
      <c r="K15" s="13">
        <v>5.4827178357988782E-2</v>
      </c>
      <c r="L15" s="13">
        <v>5.5121043240542678E-2</v>
      </c>
      <c r="M15" s="13">
        <v>5.5358228523036956E-2</v>
      </c>
      <c r="N15" s="13">
        <v>5.5554793308506767E-2</v>
      </c>
      <c r="O15" s="13">
        <v>5.5710715193227678E-2</v>
      </c>
      <c r="P15" s="60">
        <v>5.5880221268253205E-2</v>
      </c>
      <c r="Q15" s="60">
        <v>5.5032959241273272E-2</v>
      </c>
      <c r="R15" s="60">
        <v>5.3171342403193211E-2</v>
      </c>
      <c r="S15" s="60">
        <v>5.1861694510879186E-2</v>
      </c>
      <c r="T15" s="60">
        <v>5.0300668951281713E-2</v>
      </c>
      <c r="U15" s="60">
        <v>3.8769834179585905E-2</v>
      </c>
      <c r="V15" s="60">
        <v>3.5729951183765207E-2</v>
      </c>
      <c r="W15" s="60">
        <v>2.5179877945364471E-2</v>
      </c>
      <c r="X15" s="61">
        <v>2.1194601658353296E-2</v>
      </c>
      <c r="Z15" s="112"/>
      <c r="AA15" s="109"/>
      <c r="AB15" s="114"/>
      <c r="AC15" s="114"/>
      <c r="AD15" s="114"/>
      <c r="AE15" s="115"/>
      <c r="AF15" s="114"/>
      <c r="AG15" s="114"/>
      <c r="AH15" s="114"/>
      <c r="AI15" s="115"/>
      <c r="AJ15" s="116"/>
      <c r="AK15" s="117"/>
      <c r="AL15" s="113"/>
      <c r="AM15" s="117"/>
      <c r="AN15" s="119"/>
      <c r="AO15" s="116"/>
      <c r="AP15" s="117"/>
      <c r="AQ15" s="113"/>
      <c r="AR15" s="117"/>
      <c r="AS15" s="109"/>
      <c r="AT15" s="109"/>
    </row>
    <row r="16" spans="1:46" x14ac:dyDescent="0.25">
      <c r="A16" s="17" t="s">
        <v>12</v>
      </c>
      <c r="B16" s="31" t="s">
        <v>42</v>
      </c>
      <c r="C16" s="33">
        <f>(1-C13/C12)</f>
        <v>0.60329380529720522</v>
      </c>
      <c r="E16" s="253"/>
      <c r="F16" s="12">
        <v>77590000</v>
      </c>
      <c r="G16" s="13">
        <v>5.4682920602722174E-2</v>
      </c>
      <c r="H16" s="13">
        <v>5.4686918060075307E-2</v>
      </c>
      <c r="I16" s="13">
        <v>5.469490321723236E-2</v>
      </c>
      <c r="J16" s="13">
        <v>5.4832537161034534E-2</v>
      </c>
      <c r="K16" s="13">
        <v>5.4984952247710606E-2</v>
      </c>
      <c r="L16" s="13">
        <v>5.530570523179934E-2</v>
      </c>
      <c r="M16" s="13">
        <v>5.5586175562184037E-2</v>
      </c>
      <c r="N16" s="13">
        <v>5.5843338027746103E-2</v>
      </c>
      <c r="O16" s="13">
        <v>5.6077175793075584E-2</v>
      </c>
      <c r="P16" s="13">
        <v>5.6896011695564797E-2</v>
      </c>
      <c r="Q16" s="60">
        <v>5.7130083157671541E-2</v>
      </c>
      <c r="R16" s="60">
        <v>5.6779006870052662E-2</v>
      </c>
      <c r="S16" s="60">
        <v>5.6384180569135633E-2</v>
      </c>
      <c r="T16" s="60">
        <v>5.5843357725923637E-2</v>
      </c>
      <c r="U16" s="60">
        <v>5.0959121947643959E-2</v>
      </c>
      <c r="V16" s="60">
        <v>4.9549044645159634E-2</v>
      </c>
      <c r="W16" s="60">
        <v>4.4462173772606306E-2</v>
      </c>
      <c r="X16" s="61">
        <v>4.2483304213710271E-2</v>
      </c>
      <c r="Z16" s="112"/>
      <c r="AA16" s="109"/>
      <c r="AB16" s="114"/>
      <c r="AC16" s="114"/>
      <c r="AD16" s="114"/>
      <c r="AE16" s="115"/>
      <c r="AF16" s="114"/>
      <c r="AG16" s="114"/>
      <c r="AH16" s="114"/>
      <c r="AI16" s="115"/>
      <c r="AJ16" s="116"/>
      <c r="AK16" s="117"/>
      <c r="AL16" s="113"/>
      <c r="AM16" s="117"/>
      <c r="AN16" s="109"/>
      <c r="AO16" s="116"/>
      <c r="AP16" s="117"/>
      <c r="AQ16" s="113"/>
      <c r="AR16" s="117"/>
      <c r="AS16" s="109"/>
      <c r="AT16" s="109"/>
    </row>
    <row r="17" spans="1:46" x14ac:dyDescent="0.25">
      <c r="A17" s="17" t="s">
        <v>13</v>
      </c>
      <c r="B17" s="31" t="s">
        <v>14</v>
      </c>
      <c r="C17" s="34">
        <f>C14 *C16</f>
        <v>4.7571136908611217E-6</v>
      </c>
      <c r="E17" s="253"/>
      <c r="F17" s="12">
        <f>SKY!C25</f>
        <v>83850000</v>
      </c>
      <c r="G17" s="236">
        <v>5.4706832549081374E-2</v>
      </c>
      <c r="H17" s="235">
        <v>5.4710831059411102E-2</v>
      </c>
      <c r="I17" s="235">
        <v>5.4718819478596803E-2</v>
      </c>
      <c r="J17" s="237">
        <v>5.4856760068772381E-2</v>
      </c>
      <c r="K17" s="13">
        <v>5.5010103899944873E-2</v>
      </c>
      <c r="L17" s="13">
        <v>5.5335143700633305E-2</v>
      </c>
      <c r="M17" s="13">
        <v>5.5622515303459741E-2</v>
      </c>
      <c r="N17" s="13">
        <v>5.5889339872418509E-2</v>
      </c>
      <c r="O17" s="13">
        <v>5.6135602003014151E-2</v>
      </c>
      <c r="P17" s="13">
        <v>5.7058019940709137E-2</v>
      </c>
      <c r="Q17" s="13">
        <v>5.7464748978323321E-2</v>
      </c>
      <c r="R17" s="60">
        <v>5.7355201657085297E-2</v>
      </c>
      <c r="S17" s="60">
        <v>5.7106844680853586E-2</v>
      </c>
      <c r="T17" s="60">
        <v>5.6729536215690768E-2</v>
      </c>
      <c r="U17" s="60">
        <v>5.2915113440854533E-2</v>
      </c>
      <c r="V17" s="60">
        <v>5.1768578757866779E-2</v>
      </c>
      <c r="W17" s="60">
        <v>4.7568691407932739E-2</v>
      </c>
      <c r="X17" s="61">
        <v>4.5916978790840668E-2</v>
      </c>
      <c r="Z17" s="112"/>
      <c r="AA17" s="109"/>
      <c r="AB17" s="114"/>
      <c r="AC17" s="114"/>
      <c r="AD17" s="114"/>
      <c r="AE17" s="115"/>
      <c r="AF17" s="114"/>
      <c r="AG17" s="114"/>
      <c r="AH17" s="114"/>
      <c r="AI17" s="115"/>
      <c r="AJ17" s="116"/>
      <c r="AK17" s="117"/>
      <c r="AL17" s="113"/>
      <c r="AM17" s="117"/>
      <c r="AN17" s="109"/>
      <c r="AO17" s="116"/>
      <c r="AP17" s="117"/>
      <c r="AQ17" s="113"/>
      <c r="AR17" s="117"/>
      <c r="AS17" s="109"/>
      <c r="AT17" s="109"/>
    </row>
    <row r="18" spans="1:46" x14ac:dyDescent="0.25">
      <c r="A18" s="17" t="s">
        <v>15</v>
      </c>
      <c r="B18" s="31" t="s">
        <v>16</v>
      </c>
      <c r="C18" s="34">
        <f>C13-C17</f>
        <v>2.6399508509944371E-3</v>
      </c>
      <c r="E18" s="253"/>
      <c r="F18" s="12">
        <f t="shared" si="1"/>
        <v>105682745.97125834</v>
      </c>
      <c r="G18" s="13">
        <v>5.4768063063502126E-2</v>
      </c>
      <c r="H18" s="13">
        <v>5.4772064270229626E-2</v>
      </c>
      <c r="I18" s="13">
        <v>5.4780061042713601E-2</v>
      </c>
      <c r="J18" s="13">
        <v>5.4918786883250359E-2</v>
      </c>
      <c r="K18" s="13">
        <v>5.507450901954436E-2</v>
      </c>
      <c r="L18" s="13">
        <v>5.5410526486129097E-2</v>
      </c>
      <c r="M18" s="13">
        <v>5.571557117361281E-2</v>
      </c>
      <c r="N18" s="13">
        <v>5.6007139566484065E-2</v>
      </c>
      <c r="O18" s="13">
        <v>5.6285220605504227E-2</v>
      </c>
      <c r="P18" s="13">
        <v>5.7472964137352811E-2</v>
      </c>
      <c r="Q18" s="13">
        <v>5.8322158767931009E-2</v>
      </c>
      <c r="R18" s="13">
        <v>5.8831998355622916E-2</v>
      </c>
      <c r="S18" s="60">
        <v>5.895949609900808E-2</v>
      </c>
      <c r="T18" s="60">
        <v>5.9001998711623038E-2</v>
      </c>
      <c r="U18" s="60">
        <v>5.7939937982634859E-2</v>
      </c>
      <c r="V18" s="60">
        <v>5.7472964137352811E-2</v>
      </c>
      <c r="W18" s="60">
        <v>5.5564732655591476E-2</v>
      </c>
      <c r="X18" s="61">
        <v>5.4760055009226205E-2</v>
      </c>
      <c r="Z18" s="112"/>
      <c r="AA18" s="109"/>
      <c r="AB18" s="114"/>
      <c r="AC18" s="114"/>
      <c r="AD18" s="114"/>
      <c r="AE18" s="115"/>
      <c r="AF18" s="114"/>
      <c r="AG18" s="114"/>
      <c r="AH18" s="114"/>
      <c r="AI18" s="115"/>
      <c r="AJ18" s="116"/>
      <c r="AK18" s="117"/>
      <c r="AL18" s="113"/>
      <c r="AM18" s="117"/>
      <c r="AN18" s="109"/>
      <c r="AO18" s="116"/>
      <c r="AP18" s="117"/>
      <c r="AQ18" s="113"/>
      <c r="AR18" s="117"/>
      <c r="AS18" s="109"/>
      <c r="AT18" s="109"/>
    </row>
    <row r="19" spans="1:46" x14ac:dyDescent="0.25">
      <c r="A19" s="17" t="s">
        <v>17</v>
      </c>
      <c r="B19" s="31" t="s">
        <v>41</v>
      </c>
      <c r="C19" s="34">
        <f>C18/C12</f>
        <v>0.39599262764916554</v>
      </c>
      <c r="E19" s="253"/>
      <c r="F19" s="12">
        <f t="shared" si="1"/>
        <v>126819295.16551</v>
      </c>
      <c r="G19" s="13">
        <v>5.4807258161519545E-2</v>
      </c>
      <c r="H19" s="13">
        <v>5.4811261094332986E-2</v>
      </c>
      <c r="I19" s="13">
        <v>5.481926321420616E-2</v>
      </c>
      <c r="J19" s="13">
        <v>5.4958491735711323E-2</v>
      </c>
      <c r="K19" s="13">
        <v>5.5115736357068235E-2</v>
      </c>
      <c r="L19" s="13">
        <v>5.5458781309011274E-2</v>
      </c>
      <c r="M19" s="13">
        <v>5.5775139883237568E-2</v>
      </c>
      <c r="N19" s="13">
        <v>5.6082549195375586E-2</v>
      </c>
      <c r="O19" s="13">
        <v>5.638100148199876E-2</v>
      </c>
      <c r="P19" s="13">
        <v>5.7738651567381227E-2</v>
      </c>
      <c r="Q19" s="13">
        <v>5.8871341128129195E-2</v>
      </c>
      <c r="R19" s="13">
        <v>5.977835406600307E-2</v>
      </c>
      <c r="S19" s="13">
        <v>6.0147046920036917E-2</v>
      </c>
      <c r="T19" s="60">
        <v>6.0459116606699892E-2</v>
      </c>
      <c r="U19" s="60">
        <v>6.1168702890646465E-2</v>
      </c>
      <c r="V19" s="60">
        <v>6.1140310449997459E-2</v>
      </c>
      <c r="W19" s="60">
        <v>6.0714513740186771E-2</v>
      </c>
      <c r="X19" s="61">
        <v>6.0459116606699892E-2</v>
      </c>
      <c r="Z19" s="112"/>
      <c r="AA19" s="109"/>
      <c r="AB19" s="114"/>
      <c r="AC19" s="114"/>
      <c r="AD19" s="114"/>
      <c r="AE19" s="115"/>
      <c r="AF19" s="114"/>
      <c r="AG19" s="114"/>
      <c r="AH19" s="114"/>
      <c r="AI19" s="115"/>
      <c r="AJ19" s="116"/>
      <c r="AK19" s="117"/>
      <c r="AL19" s="113"/>
      <c r="AM19" s="117"/>
      <c r="AN19" s="109"/>
      <c r="AO19" s="116"/>
      <c r="AP19" s="117"/>
      <c r="AQ19" s="113"/>
      <c r="AR19" s="117"/>
      <c r="AS19" s="109"/>
      <c r="AT19" s="109"/>
    </row>
    <row r="20" spans="1:46" x14ac:dyDescent="0.25">
      <c r="A20" s="17" t="s">
        <v>18</v>
      </c>
      <c r="B20" s="31" t="s">
        <v>40</v>
      </c>
      <c r="C20" s="34">
        <f>C14 * C8 *C19</f>
        <v>9.3674852978569562E-7</v>
      </c>
      <c r="E20" s="253"/>
      <c r="F20" s="12">
        <f t="shared" si="1"/>
        <v>147955844.35976166</v>
      </c>
      <c r="G20" s="13">
        <v>5.4835255539594563E-2</v>
      </c>
      <c r="H20" s="13">
        <v>5.4839259705421251E-2</v>
      </c>
      <c r="I20" s="13">
        <v>5.4847265645088239E-2</v>
      </c>
      <c r="J20" s="13">
        <v>5.4986853247009027E-2</v>
      </c>
      <c r="K20" s="13">
        <v>5.5145185428082666E-2</v>
      </c>
      <c r="L20" s="13">
        <v>5.5493250371906777E-2</v>
      </c>
      <c r="M20" s="13">
        <v>5.5817690991201596E-2</v>
      </c>
      <c r="N20" s="13">
        <v>5.6136416467789774E-2</v>
      </c>
      <c r="O20" s="13">
        <v>5.6449421638331332E-2</v>
      </c>
      <c r="P20" s="13">
        <v>5.7928468611548212E-2</v>
      </c>
      <c r="Q20" s="13">
        <v>5.9263786320862488E-2</v>
      </c>
      <c r="R20" s="13">
        <v>6.0454833141659003E-2</v>
      </c>
      <c r="S20" s="13">
        <v>6.0996101602867059E-2</v>
      </c>
      <c r="T20" s="13">
        <v>6.1501125600703421E-2</v>
      </c>
      <c r="U20" s="60">
        <v>6.348091201684003E-2</v>
      </c>
      <c r="V20" s="60">
        <v>6.3767520845921855E-2</v>
      </c>
      <c r="W20" s="60">
        <v>6.4408092406174733E-2</v>
      </c>
      <c r="X20" s="61">
        <v>6.4548458868881831E-2</v>
      </c>
      <c r="Z20" s="112"/>
      <c r="AA20" s="109"/>
      <c r="AB20" s="114"/>
      <c r="AC20" s="114"/>
      <c r="AD20" s="114"/>
      <c r="AE20" s="115"/>
      <c r="AF20" s="114"/>
      <c r="AG20" s="114"/>
      <c r="AH20" s="114"/>
      <c r="AI20" s="115"/>
      <c r="AJ20" s="116"/>
      <c r="AK20" s="117"/>
      <c r="AL20" s="113"/>
      <c r="AM20" s="117"/>
      <c r="AN20" s="109"/>
      <c r="AO20" s="116"/>
      <c r="AP20" s="117"/>
      <c r="AQ20" s="113"/>
      <c r="AR20" s="117"/>
      <c r="AS20" s="109"/>
      <c r="AT20" s="109"/>
    </row>
    <row r="21" spans="1:46" x14ac:dyDescent="0.25">
      <c r="A21" s="17" t="s">
        <v>19</v>
      </c>
      <c r="B21" s="31" t="s">
        <v>21</v>
      </c>
      <c r="C21" s="35">
        <f>C13+C20</f>
        <v>2.6456447132150842E-3</v>
      </c>
      <c r="E21" s="253"/>
      <c r="F21" s="12">
        <f t="shared" si="1"/>
        <v>169092393.55401337</v>
      </c>
      <c r="G21" s="13">
        <v>5.485625405416017E-2</v>
      </c>
      <c r="H21" s="13">
        <v>5.4860259144771994E-2</v>
      </c>
      <c r="I21" s="13">
        <v>5.4868267949405247E-2</v>
      </c>
      <c r="J21" s="13">
        <v>5.5008124874011299E-2</v>
      </c>
      <c r="K21" s="13">
        <v>5.5167272763357422E-2</v>
      </c>
      <c r="L21" s="13">
        <v>5.5519102897684247E-2</v>
      </c>
      <c r="M21" s="13">
        <v>5.5849605432185756E-2</v>
      </c>
      <c r="N21" s="13">
        <v>5.6176818700476305E-2</v>
      </c>
      <c r="O21" s="13">
        <v>5.6500739623871921E-2</v>
      </c>
      <c r="P21" s="13">
        <v>5.8070853442393489E-2</v>
      </c>
      <c r="Q21" s="13">
        <v>5.9558214356325356E-2</v>
      </c>
      <c r="R21" s="13">
        <v>6.0962471925602779E-2</v>
      </c>
      <c r="S21" s="13">
        <v>6.163333271482796E-2</v>
      </c>
      <c r="T21" s="13">
        <v>6.2283295001288819E-2</v>
      </c>
      <c r="U21" s="13">
        <v>6.5218329173234668E-2</v>
      </c>
      <c r="V21" s="60">
        <v>6.5742137789291943E-2</v>
      </c>
      <c r="W21" s="60">
        <v>6.7186598487617211E-2</v>
      </c>
      <c r="X21" s="61">
        <v>6.7625668695590946E-2</v>
      </c>
      <c r="Z21" s="112"/>
      <c r="AA21" s="109"/>
      <c r="AB21" s="114"/>
      <c r="AC21" s="114"/>
      <c r="AD21" s="114"/>
      <c r="AE21" s="115"/>
      <c r="AF21" s="114"/>
      <c r="AG21" s="114"/>
      <c r="AH21" s="114"/>
      <c r="AI21" s="115"/>
      <c r="AJ21" s="116"/>
      <c r="AK21" s="117"/>
      <c r="AL21" s="113"/>
      <c r="AM21" s="117"/>
      <c r="AN21" s="109"/>
      <c r="AO21" s="116"/>
      <c r="AP21" s="117"/>
      <c r="AQ21" s="113"/>
      <c r="AR21" s="117"/>
      <c r="AS21" s="109"/>
      <c r="AT21" s="109"/>
    </row>
    <row r="22" spans="1:46" ht="15.75" thickBot="1" x14ac:dyDescent="0.3">
      <c r="A22" s="17" t="s">
        <v>20</v>
      </c>
      <c r="B22" s="31" t="s">
        <v>39</v>
      </c>
      <c r="C22" s="34">
        <f>C9/(1+C8)</f>
        <v>0.76923076923076916</v>
      </c>
      <c r="E22" s="253"/>
      <c r="F22" s="12">
        <f t="shared" si="1"/>
        <v>179660668.15113917</v>
      </c>
      <c r="G22" s="13">
        <v>5.4864900621165225E-2</v>
      </c>
      <c r="H22" s="13">
        <v>5.4868906092584657E-2</v>
      </c>
      <c r="I22" s="13">
        <v>5.4876916076948445E-2</v>
      </c>
      <c r="J22" s="13">
        <v>5.5016883902197389E-2</v>
      </c>
      <c r="K22" s="13">
        <v>5.5176367681026406E-2</v>
      </c>
      <c r="L22" s="13">
        <v>5.5529748236898158E-2</v>
      </c>
      <c r="M22" s="13">
        <v>5.5862746949144837E-2</v>
      </c>
      <c r="N22" s="13">
        <v>5.6193455357014255E-2</v>
      </c>
      <c r="O22" s="13">
        <v>5.6521871273711888E-2</v>
      </c>
      <c r="P22" s="13">
        <v>5.8129487983896722E-2</v>
      </c>
      <c r="Q22" s="13">
        <v>5.9679472889380358E-2</v>
      </c>
      <c r="R22" s="13">
        <v>6.1171569317375774E-2</v>
      </c>
      <c r="S22" s="13">
        <v>6.1895831699076975E-2</v>
      </c>
      <c r="T22" s="13">
        <v>6.2605529953255079E-2</v>
      </c>
      <c r="U22" s="13">
        <v>6.5934549675965126E-2</v>
      </c>
      <c r="V22" s="13">
        <v>6.6556265731623654E-2</v>
      </c>
      <c r="W22" s="60">
        <v>6.8332767363534774E-2</v>
      </c>
      <c r="X22" s="61">
        <v>6.8895303588013768E-2</v>
      </c>
      <c r="Y22" s="6"/>
      <c r="Z22" s="112"/>
      <c r="AA22" s="109"/>
      <c r="AB22" s="114"/>
      <c r="AC22" s="114"/>
      <c r="AD22" s="114"/>
      <c r="AE22" s="115"/>
      <c r="AF22" s="114"/>
      <c r="AG22" s="114"/>
      <c r="AH22" s="114"/>
      <c r="AI22" s="115"/>
      <c r="AJ22" s="116"/>
      <c r="AK22" s="117"/>
      <c r="AL22" s="113"/>
      <c r="AM22" s="117"/>
      <c r="AN22" s="109"/>
      <c r="AO22" s="116"/>
      <c r="AP22" s="117"/>
      <c r="AQ22" s="113"/>
      <c r="AR22" s="117"/>
      <c r="AS22" s="109"/>
      <c r="AT22" s="109"/>
    </row>
    <row r="23" spans="1:46" ht="15.75" customHeight="1" thickBot="1" x14ac:dyDescent="0.3">
      <c r="A23" s="124" t="s">
        <v>22</v>
      </c>
      <c r="B23" s="36" t="s">
        <v>23</v>
      </c>
      <c r="C23" s="121">
        <f>C22 * C21</f>
        <v>2.0351113178577571E-3</v>
      </c>
      <c r="E23" s="253"/>
      <c r="F23" s="12">
        <f t="shared" si="1"/>
        <v>190228942.74826503</v>
      </c>
      <c r="G23" s="13">
        <v>5.4872586517178412E-2</v>
      </c>
      <c r="H23" s="13">
        <v>5.4876592327096629E-2</v>
      </c>
      <c r="I23" s="13">
        <v>5.4884603360126683E-2</v>
      </c>
      <c r="J23" s="13">
        <v>5.5024669765240564E-2</v>
      </c>
      <c r="K23" s="13">
        <v>5.5184452117177596E-2</v>
      </c>
      <c r="L23" s="13">
        <v>5.5539210849521847E-2</v>
      </c>
      <c r="M23" s="13">
        <v>5.5874428432977741E-2</v>
      </c>
      <c r="N23" s="13">
        <v>5.6208243713146144E-2</v>
      </c>
      <c r="O23" s="13">
        <v>5.6540655312447674E-2</v>
      </c>
      <c r="P23" s="13">
        <v>5.8181610266794914E-2</v>
      </c>
      <c r="Q23" s="13">
        <v>5.9787269742359594E-2</v>
      </c>
      <c r="R23" s="13">
        <v>6.1357467786971265E-2</v>
      </c>
      <c r="S23" s="13">
        <v>6.2129217870907194E-2</v>
      </c>
      <c r="T23" s="13">
        <v>6.2892041955850964E-2</v>
      </c>
      <c r="U23" s="13">
        <v>6.657158884822767E-2</v>
      </c>
      <c r="V23" s="13">
        <v>6.7280449946136356E-2</v>
      </c>
      <c r="W23" s="223">
        <v>6.9352603360390841E-2</v>
      </c>
      <c r="X23" s="61">
        <v>7.0025118042026158E-2</v>
      </c>
      <c r="Y23" s="6"/>
      <c r="Z23" s="112"/>
      <c r="AA23" s="109"/>
      <c r="AB23" s="114"/>
      <c r="AC23" s="114"/>
      <c r="AD23" s="114"/>
      <c r="AE23" s="115"/>
      <c r="AF23" s="114"/>
      <c r="AG23" s="114"/>
      <c r="AH23" s="114"/>
      <c r="AI23" s="115"/>
      <c r="AJ23" s="116"/>
      <c r="AK23" s="117"/>
      <c r="AL23" s="113"/>
      <c r="AM23" s="117"/>
      <c r="AN23" s="109"/>
      <c r="AO23" s="116"/>
      <c r="AP23" s="117"/>
      <c r="AQ23" s="113"/>
      <c r="AR23" s="117"/>
      <c r="AS23" s="109"/>
      <c r="AT23" s="109"/>
    </row>
    <row r="24" spans="1:46" x14ac:dyDescent="0.25">
      <c r="A24" s="125"/>
      <c r="B24" s="3"/>
      <c r="C24" s="97"/>
      <c r="E24" s="253"/>
      <c r="F24" s="27">
        <f t="shared" si="1"/>
        <v>211365491.94251668</v>
      </c>
      <c r="G24" s="14">
        <v>5.4885652667181262E-2</v>
      </c>
      <c r="H24" s="14">
        <v>5.4889659052560269E-2</v>
      </c>
      <c r="I24" s="14">
        <v>5.4897671868358922E-2</v>
      </c>
      <c r="J24" s="14">
        <v>5.5037905862480807E-2</v>
      </c>
      <c r="K24" s="14">
        <v>5.5198195798867644E-2</v>
      </c>
      <c r="L24" s="14">
        <v>5.555529748302912E-2</v>
      </c>
      <c r="M24" s="14">
        <v>5.5894287248055008E-2</v>
      </c>
      <c r="N24" s="14">
        <v>5.623338438726444E-2</v>
      </c>
      <c r="O24" s="14">
        <v>5.6572588934218793E-2</v>
      </c>
      <c r="P24" s="14">
        <v>5.8270223959450584E-2</v>
      </c>
      <c r="Q24" s="14">
        <v>5.9970549214576341E-2</v>
      </c>
      <c r="R24" s="14">
        <v>6.1673568903472198E-2</v>
      </c>
      <c r="S24" s="28">
        <v>6.2526090476080487E-2</v>
      </c>
      <c r="T24" s="14">
        <v>6.3379287236517978E-2</v>
      </c>
      <c r="U24" s="14">
        <v>6.7655417326231815E-2</v>
      </c>
      <c r="V24" s="14">
        <v>6.8512676301358155E-2</v>
      </c>
      <c r="W24" s="14">
        <v>7.1088528673040274E-2</v>
      </c>
      <c r="X24" s="15">
        <v>7.1948506380880461E-2</v>
      </c>
      <c r="Y24" s="6"/>
      <c r="Z24" s="108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</row>
    <row r="25" spans="1:46" ht="15" customHeight="1" x14ac:dyDescent="0.25">
      <c r="B25" s="6"/>
      <c r="C25" s="99"/>
      <c r="D25" s="98"/>
      <c r="E25" s="7" t="s">
        <v>44</v>
      </c>
      <c r="F25" s="6"/>
      <c r="G25" s="8">
        <f>G24-G8</f>
        <v>0.15339764564438352</v>
      </c>
      <c r="H25" s="8">
        <f>H24-H8</f>
        <v>0.15340393541056396</v>
      </c>
      <c r="I25" s="8">
        <f>I24-I9</f>
        <v>9.484916930425269E-2</v>
      </c>
      <c r="J25" s="8">
        <f>J24-J10</f>
        <v>1.2397984389586947E-2</v>
      </c>
      <c r="K25" s="8">
        <f>K24-K11</f>
        <v>2.5163681406461524E-3</v>
      </c>
      <c r="L25" s="8">
        <f>L24-L12</f>
        <v>2.6339419528587094E-3</v>
      </c>
      <c r="M25" s="8">
        <f>M24-M13</f>
        <v>1.0123300240332256E-3</v>
      </c>
      <c r="N25" s="8">
        <f>N24-N14</f>
        <v>9.0469253588554288E-4</v>
      </c>
      <c r="O25" s="8">
        <f>O24-O15</f>
        <v>8.618737409911148E-4</v>
      </c>
      <c r="P25" s="8">
        <f>P24-P16</f>
        <v>1.3742122638857879E-3</v>
      </c>
      <c r="Q25" s="8">
        <f>Q24-Q17</f>
        <v>2.5058002362530196E-3</v>
      </c>
      <c r="R25" s="8">
        <f>R24-R18</f>
        <v>2.8415705478492814E-3</v>
      </c>
      <c r="S25" s="25">
        <f>S24-S19</f>
        <v>2.3790435560435697E-3</v>
      </c>
      <c r="T25" s="25">
        <f>T24-T20</f>
        <v>1.878161635814557E-3</v>
      </c>
      <c r="U25" s="8">
        <f>U24-U21</f>
        <v>2.4370881529971467E-3</v>
      </c>
      <c r="V25" s="8">
        <f>V24-V22</f>
        <v>1.9564105697345013E-3</v>
      </c>
      <c r="W25" s="8">
        <f>W24-W23</f>
        <v>1.7359253126494334E-3</v>
      </c>
      <c r="X25" s="8">
        <f>0</f>
        <v>0</v>
      </c>
      <c r="Y25" s="6"/>
      <c r="Z25" s="108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</row>
    <row r="26" spans="1:46" ht="15.75" thickBot="1" x14ac:dyDescent="0.3">
      <c r="B26" s="19" t="s">
        <v>76</v>
      </c>
      <c r="C26" s="6"/>
      <c r="E26" s="17" t="s">
        <v>45</v>
      </c>
      <c r="F26" s="6"/>
      <c r="G26" s="24"/>
      <c r="H26" s="4">
        <f t="shared" ref="H26:X26" si="2">H7/$X$7</f>
        <v>7.0967118909265596E-4</v>
      </c>
      <c r="I26" s="4">
        <f t="shared" si="2"/>
        <v>1.1827853151544266E-3</v>
      </c>
      <c r="J26" s="4">
        <f t="shared" si="2"/>
        <v>9.4622825212354114E-3</v>
      </c>
      <c r="K26" s="4">
        <f t="shared" si="2"/>
        <v>1.8924565042470826E-2</v>
      </c>
      <c r="L26" s="4">
        <f t="shared" si="2"/>
        <v>3.9999999999999994E-2</v>
      </c>
      <c r="M26" s="4">
        <f t="shared" si="2"/>
        <v>0.06</v>
      </c>
      <c r="N26" s="4">
        <f t="shared" si="2"/>
        <v>7.9999999999999988E-2</v>
      </c>
      <c r="O26" s="4">
        <f t="shared" si="2"/>
        <v>0.10000000000000002</v>
      </c>
      <c r="P26" s="4">
        <f t="shared" si="2"/>
        <v>0.20000000000000004</v>
      </c>
      <c r="Q26" s="4">
        <f t="shared" si="2"/>
        <v>0.3</v>
      </c>
      <c r="R26" s="4">
        <f t="shared" si="2"/>
        <v>0.40000000000000008</v>
      </c>
      <c r="S26" s="26">
        <f t="shared" si="2"/>
        <v>0.45</v>
      </c>
      <c r="T26" s="26">
        <f t="shared" si="2"/>
        <v>0.5</v>
      </c>
      <c r="U26" s="4">
        <f t="shared" si="2"/>
        <v>0.75</v>
      </c>
      <c r="V26" s="4">
        <f t="shared" si="2"/>
        <v>0.80000000000000016</v>
      </c>
      <c r="W26" s="4">
        <f t="shared" si="2"/>
        <v>0.94999999999999984</v>
      </c>
      <c r="X26" s="4">
        <f t="shared" si="2"/>
        <v>1</v>
      </c>
      <c r="Y26" s="6"/>
      <c r="Z26" s="108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</row>
    <row r="27" spans="1:46" x14ac:dyDescent="0.25">
      <c r="B27" s="6" t="s">
        <v>55</v>
      </c>
      <c r="C27" s="104">
        <v>211</v>
      </c>
      <c r="E27" s="6"/>
      <c r="F27" s="6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6"/>
    </row>
    <row r="28" spans="1:46" ht="15.75" thickBot="1" x14ac:dyDescent="0.3">
      <c r="B28" s="6" t="s">
        <v>67</v>
      </c>
      <c r="C28" s="127">
        <v>150</v>
      </c>
      <c r="E28" s="6"/>
      <c r="F28" s="6" t="s">
        <v>47</v>
      </c>
      <c r="G28" s="77"/>
      <c r="H28" s="77">
        <v>33</v>
      </c>
      <c r="I28" s="77">
        <v>25</v>
      </c>
      <c r="J28" s="77">
        <v>22</v>
      </c>
      <c r="K28" s="77">
        <v>18</v>
      </c>
      <c r="L28" s="77">
        <v>10</v>
      </c>
      <c r="M28" s="77">
        <v>8</v>
      </c>
      <c r="N28" s="77">
        <v>7</v>
      </c>
      <c r="O28" s="77">
        <v>7</v>
      </c>
      <c r="P28" s="77">
        <v>6</v>
      </c>
      <c r="Q28" s="77">
        <v>5</v>
      </c>
      <c r="R28" s="77">
        <v>4</v>
      </c>
      <c r="S28" s="77">
        <v>3</v>
      </c>
      <c r="T28" s="77">
        <v>1</v>
      </c>
      <c r="U28" s="77">
        <v>1</v>
      </c>
      <c r="V28" s="77">
        <v>0</v>
      </c>
      <c r="W28" s="77">
        <v>0</v>
      </c>
      <c r="X28" s="77">
        <v>0</v>
      </c>
      <c r="Y28" s="6"/>
    </row>
    <row r="29" spans="1:46" x14ac:dyDescent="0.25">
      <c r="B29" s="20" t="s">
        <v>66</v>
      </c>
      <c r="C29" s="123">
        <v>3.0000000000000001E-3</v>
      </c>
      <c r="E29" s="6"/>
      <c r="F29" s="6" t="s">
        <v>48</v>
      </c>
      <c r="G29" s="79">
        <f t="shared" ref="G29:X29" si="3">G24</f>
        <v>5.4885652667181262E-2</v>
      </c>
      <c r="H29" s="79">
        <f t="shared" si="3"/>
        <v>5.4889659052560269E-2</v>
      </c>
      <c r="I29" s="79">
        <f t="shared" si="3"/>
        <v>5.4897671868358922E-2</v>
      </c>
      <c r="J29" s="79">
        <f t="shared" si="3"/>
        <v>5.5037905862480807E-2</v>
      </c>
      <c r="K29" s="79">
        <f t="shared" si="3"/>
        <v>5.5198195798867644E-2</v>
      </c>
      <c r="L29" s="79">
        <f t="shared" si="3"/>
        <v>5.555529748302912E-2</v>
      </c>
      <c r="M29" s="79">
        <f t="shared" si="3"/>
        <v>5.5894287248055008E-2</v>
      </c>
      <c r="N29" s="79">
        <f t="shared" si="3"/>
        <v>5.623338438726444E-2</v>
      </c>
      <c r="O29" s="79">
        <f t="shared" si="3"/>
        <v>5.6572588934218793E-2</v>
      </c>
      <c r="P29" s="79">
        <f t="shared" si="3"/>
        <v>5.8270223959450584E-2</v>
      </c>
      <c r="Q29" s="79">
        <f t="shared" si="3"/>
        <v>5.9970549214576341E-2</v>
      </c>
      <c r="R29" s="79">
        <f t="shared" si="3"/>
        <v>6.1673568903472198E-2</v>
      </c>
      <c r="S29" s="79">
        <f t="shared" si="3"/>
        <v>6.2526090476080487E-2</v>
      </c>
      <c r="T29" s="79">
        <f t="shared" si="3"/>
        <v>6.3379287236517978E-2</v>
      </c>
      <c r="U29" s="79">
        <f t="shared" si="3"/>
        <v>6.7655417326231815E-2</v>
      </c>
      <c r="V29" s="79">
        <f t="shared" si="3"/>
        <v>6.8512676301358155E-2</v>
      </c>
      <c r="W29" s="79">
        <f t="shared" si="3"/>
        <v>7.1088528673040274E-2</v>
      </c>
      <c r="X29" s="76">
        <f t="shared" si="3"/>
        <v>7.1948506380880461E-2</v>
      </c>
      <c r="Y29" s="6"/>
    </row>
    <row r="30" spans="1:46" x14ac:dyDescent="0.25">
      <c r="B30" t="s">
        <v>68</v>
      </c>
      <c r="C30" s="48">
        <v>0.2</v>
      </c>
      <c r="E30" s="6"/>
      <c r="F30" s="6" t="s">
        <v>46</v>
      </c>
      <c r="G30" s="78">
        <v>0</v>
      </c>
      <c r="H30" s="80">
        <f t="shared" ref="H30:X30" si="4">H7</f>
        <v>150000</v>
      </c>
      <c r="I30" s="80">
        <f t="shared" si="4"/>
        <v>250000.00000000003</v>
      </c>
      <c r="J30" s="80">
        <f t="shared" si="4"/>
        <v>1999999.9999999998</v>
      </c>
      <c r="K30" s="80">
        <f t="shared" si="4"/>
        <v>4000000.0000000005</v>
      </c>
      <c r="L30" s="80">
        <f t="shared" si="4"/>
        <v>8454619.6777006667</v>
      </c>
      <c r="M30" s="80">
        <f t="shared" si="4"/>
        <v>12681929.516551001</v>
      </c>
      <c r="N30" s="80">
        <f t="shared" si="4"/>
        <v>16909239.355401333</v>
      </c>
      <c r="O30" s="80">
        <f t="shared" si="4"/>
        <v>21136549.194251671</v>
      </c>
      <c r="P30" s="80">
        <f t="shared" si="4"/>
        <v>42273098.388503343</v>
      </c>
      <c r="Q30" s="80">
        <f t="shared" si="4"/>
        <v>63409647.582754999</v>
      </c>
      <c r="R30" s="80">
        <f t="shared" si="4"/>
        <v>84546196.777006686</v>
      </c>
      <c r="S30" s="80">
        <f t="shared" si="4"/>
        <v>95114471.374132514</v>
      </c>
      <c r="T30" s="80">
        <f t="shared" si="4"/>
        <v>105682745.97125834</v>
      </c>
      <c r="U30" s="80">
        <f t="shared" si="4"/>
        <v>158524118.95688751</v>
      </c>
      <c r="V30" s="80">
        <f t="shared" si="4"/>
        <v>169092393.55401337</v>
      </c>
      <c r="W30" s="80">
        <f t="shared" si="4"/>
        <v>200797217.34539083</v>
      </c>
      <c r="X30" s="80">
        <f t="shared" si="4"/>
        <v>211365491.94251668</v>
      </c>
      <c r="Y30" s="6"/>
    </row>
    <row r="31" spans="1:46" x14ac:dyDescent="0.25">
      <c r="B31" s="21" t="s">
        <v>24</v>
      </c>
      <c r="C31" s="49">
        <v>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46" x14ac:dyDescent="0.25">
      <c r="B32" s="21" t="s">
        <v>43</v>
      </c>
      <c r="C32" s="50">
        <f>CHOOSE(C27,,,,,,,,,,,,,,,,,,,,,,,,,,,,,,,,,,,,,,,,,,,,,,,,,,,,,,,,,,,,,,,,,,,,,,,,,,,,,,,,,,,,,,,,,,,,,,,,,,,,,,,,,,,,,,,,,,,,,,,,,,,,,,,,,,,,,,,,,,,,,,,,,,,,,,,,,,,,,,,,,,,,,,,,,,,,,,,,,,,,,,,,,,,,,,,,,,,,,,,,,,,,,,,,,,,C51,C52,C53,C54,C55)</f>
        <v>31704823791.377499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81"/>
    </row>
    <row r="33" spans="2:26" x14ac:dyDescent="0.25">
      <c r="B33" s="21" t="s">
        <v>32</v>
      </c>
      <c r="C33" s="260">
        <f>staked_ada/total_supply</f>
        <v>0.38164539502316169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2:26" x14ac:dyDescent="0.25">
      <c r="B34" s="21" t="s">
        <v>49</v>
      </c>
      <c r="C34" s="30">
        <f>SKY!F3</f>
        <v>12100000000</v>
      </c>
      <c r="E34" s="17" t="s">
        <v>55</v>
      </c>
      <c r="F34" s="31">
        <f>$C$27</f>
        <v>211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2:26" x14ac:dyDescent="0.25">
      <c r="B35" s="6" t="s">
        <v>102</v>
      </c>
      <c r="C35" s="29">
        <f>CHOOSE(C27,,,,,,,,,,,,,,,,,,,,,,,,,,,,,,,,,,,,,,,,,,,,,,,,,,,,,,,,,,,,,,,,,,,,,,,,,,,,,,,,,,,,,,,,,,,,,,,,,,,,,,,,,,,,,,,,,,,,,,,,,,,,,,,,,,,,,,,,,,,,,,,,,,,,,,,,,,,,,,,,,,,,,,,,,,,,,,,,,,,,,,,,,,,,,,,,,,,,,,,,,,,,,,,,,,,C58,C59,C60,C61,C62)</f>
        <v>39786842.525043599</v>
      </c>
      <c r="E35" s="17" t="s">
        <v>73</v>
      </c>
      <c r="F35" s="70">
        <f>$C$39</f>
        <v>0.113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2:26" x14ac:dyDescent="0.25">
      <c r="B36" s="6" t="s">
        <v>25</v>
      </c>
      <c r="C36" s="29">
        <f>C12 * C32</f>
        <v>211365491.94251668</v>
      </c>
      <c r="E36" s="17" t="s">
        <v>72</v>
      </c>
      <c r="F36" s="71">
        <f>$C$41</f>
        <v>0.05</v>
      </c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6"/>
    </row>
    <row r="37" spans="2:26" ht="15.75" thickBot="1" x14ac:dyDescent="0.3">
      <c r="B37" s="6"/>
      <c r="C37" s="6"/>
      <c r="E37" s="17" t="s">
        <v>46</v>
      </c>
      <c r="F37" s="101">
        <f>$C$42</f>
        <v>250000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6"/>
    </row>
    <row r="38" spans="2:26" x14ac:dyDescent="0.25">
      <c r="B38" t="s">
        <v>53</v>
      </c>
      <c r="C38" s="67">
        <v>340</v>
      </c>
      <c r="E38" s="93" t="s">
        <v>88</v>
      </c>
      <c r="F38" s="102">
        <f>$C$28</f>
        <v>150</v>
      </c>
      <c r="G38" s="255" t="s">
        <v>77</v>
      </c>
      <c r="H38" s="256"/>
      <c r="I38" s="256"/>
      <c r="J38" s="256"/>
      <c r="K38" s="256"/>
      <c r="L38" s="256"/>
      <c r="M38" s="256"/>
      <c r="N38" s="256"/>
      <c r="O38" s="256"/>
      <c r="P38" s="256"/>
      <c r="Q38" s="256"/>
      <c r="R38" s="256"/>
      <c r="S38" s="256"/>
      <c r="T38" s="256"/>
      <c r="U38" s="256"/>
      <c r="V38" s="256"/>
      <c r="W38" s="256"/>
      <c r="X38" s="256"/>
      <c r="Y38" s="6"/>
    </row>
    <row r="39" spans="2:26" x14ac:dyDescent="0.25">
      <c r="B39" s="20" t="s">
        <v>33</v>
      </c>
      <c r="C39" s="126">
        <v>0.113</v>
      </c>
      <c r="E39" s="247" t="s">
        <v>65</v>
      </c>
      <c r="F39" s="250" t="s">
        <v>120</v>
      </c>
      <c r="G39" s="250"/>
      <c r="H39" s="250"/>
      <c r="I39" s="250"/>
      <c r="J39" s="250"/>
      <c r="K39" s="250"/>
      <c r="L39" s="250"/>
      <c r="M39" s="250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1"/>
      <c r="Y39" s="6"/>
    </row>
    <row r="40" spans="2:26" x14ac:dyDescent="0.25">
      <c r="B40" s="22" t="s">
        <v>61</v>
      </c>
      <c r="C40" s="68">
        <v>1</v>
      </c>
      <c r="E40" s="248"/>
      <c r="F40" s="9">
        <f>C46</f>
        <v>5.7992046099718531E-2</v>
      </c>
      <c r="G40" s="10">
        <v>150</v>
      </c>
      <c r="H40" s="10">
        <v>175</v>
      </c>
      <c r="I40" s="10">
        <v>200</v>
      </c>
      <c r="J40" s="10">
        <v>225</v>
      </c>
      <c r="K40" s="10">
        <v>250</v>
      </c>
      <c r="L40" s="10">
        <v>275</v>
      </c>
      <c r="M40" s="10">
        <v>300</v>
      </c>
      <c r="N40" s="10">
        <v>325</v>
      </c>
      <c r="O40" s="10">
        <v>350</v>
      </c>
      <c r="P40" s="10">
        <v>375</v>
      </c>
      <c r="Q40" s="10">
        <v>400</v>
      </c>
      <c r="R40" s="10">
        <v>450</v>
      </c>
      <c r="S40" s="10">
        <v>500</v>
      </c>
      <c r="T40" s="10">
        <v>600</v>
      </c>
      <c r="U40" s="10">
        <v>700</v>
      </c>
      <c r="V40" s="10">
        <v>800</v>
      </c>
      <c r="W40" s="10">
        <v>900</v>
      </c>
      <c r="X40" s="11">
        <v>1000</v>
      </c>
      <c r="Y40" s="6"/>
    </row>
    <row r="41" spans="2:26" x14ac:dyDescent="0.25">
      <c r="B41" s="20" t="s">
        <v>34</v>
      </c>
      <c r="C41" s="68">
        <v>0.05</v>
      </c>
      <c r="E41" s="248"/>
      <c r="F41" s="12">
        <v>500000</v>
      </c>
      <c r="G41" s="13">
        <f t="dataTable" ref="G41:X57" dt2D="1" dtr="1" r1="C28" r2="C42" ca="1"/>
        <v>5.8013079631865638E-2</v>
      </c>
      <c r="H41" s="13">
        <v>5.8020123035711579E-2</v>
      </c>
      <c r="I41" s="41">
        <v>5.8027172044386122E-2</v>
      </c>
      <c r="J41" s="41">
        <v>5.8034226658041366E-2</v>
      </c>
      <c r="K41" s="41">
        <v>5.8041286876750586E-2</v>
      </c>
      <c r="L41" s="41">
        <v>5.8048352700644124E-2</v>
      </c>
      <c r="M41" s="41">
        <v>5.8055424129821454E-2</v>
      </c>
      <c r="N41" s="41">
        <v>5.8062501164398483E-2</v>
      </c>
      <c r="O41" s="41">
        <v>5.8069583804482905E-2</v>
      </c>
      <c r="P41" s="41">
        <v>5.8076672050188405E-2</v>
      </c>
      <c r="Q41" s="41">
        <v>5.4821288173072524E-2</v>
      </c>
      <c r="R41" s="41">
        <v>4.8598312007647637E-2</v>
      </c>
      <c r="S41" s="41">
        <v>4.3646014285823931E-2</v>
      </c>
      <c r="T41" s="41">
        <v>3.6260790265964404E-2</v>
      </c>
      <c r="U41" s="41">
        <v>3.1017212011113182E-2</v>
      </c>
      <c r="V41" s="41">
        <v>2.7101710326693507E-2</v>
      </c>
      <c r="W41" s="41">
        <v>2.4066463050342879E-2</v>
      </c>
      <c r="X41" s="42">
        <v>2.1644636377488258E-2</v>
      </c>
      <c r="Y41" s="6"/>
    </row>
    <row r="42" spans="2:26" x14ac:dyDescent="0.25">
      <c r="B42" s="6" t="s">
        <v>30</v>
      </c>
      <c r="C42" s="69">
        <v>250000</v>
      </c>
      <c r="E42" s="248"/>
      <c r="F42" s="12">
        <v>1000000</v>
      </c>
      <c r="G42" s="13">
        <v>5.8054919688888873E-2</v>
      </c>
      <c r="H42" s="13">
        <v>5.8068995282318125E-2</v>
      </c>
      <c r="I42" s="41">
        <v>5.8083093295977495E-2</v>
      </c>
      <c r="J42" s="41">
        <v>5.8097213730781805E-2</v>
      </c>
      <c r="K42" s="41">
        <v>5.8111356587599028E-2</v>
      </c>
      <c r="L42" s="41">
        <v>5.8125521867287366E-2</v>
      </c>
      <c r="M42" s="41">
        <v>5.8139709570760978E-2</v>
      </c>
      <c r="N42" s="41">
        <v>5.8153919698877399E-2</v>
      </c>
      <c r="O42" s="41">
        <v>5.8168152252547456E-2</v>
      </c>
      <c r="P42" s="41">
        <v>5.8182407232650668E-2</v>
      </c>
      <c r="Q42" s="41">
        <v>5.4927593436659983E-2</v>
      </c>
      <c r="R42" s="41">
        <v>4.8703998684019867E-2</v>
      </c>
      <c r="S42" s="41">
        <v>4.3751208649250195E-2</v>
      </c>
      <c r="T42" s="41">
        <v>3.6365250397313087E-2</v>
      </c>
      <c r="U42" s="41">
        <v>3.1121150787306151E-2</v>
      </c>
      <c r="V42" s="41">
        <v>2.7205259771191814E-2</v>
      </c>
      <c r="W42" s="41">
        <v>2.416971067589424E-2</v>
      </c>
      <c r="X42" s="42">
        <v>2.1747643172598474E-2</v>
      </c>
      <c r="Y42" s="6"/>
    </row>
    <row r="43" spans="2:26" ht="15.75" thickBot="1" x14ac:dyDescent="0.3">
      <c r="B43" s="6" t="s">
        <v>29</v>
      </c>
      <c r="C43" s="131">
        <f>SKY!C25</f>
        <v>83850000</v>
      </c>
      <c r="E43" s="248"/>
      <c r="F43" s="12">
        <v>1500000</v>
      </c>
      <c r="G43" s="13">
        <v>5.8096457040015759E-2</v>
      </c>
      <c r="H43" s="13">
        <v>5.8117553601196636E-2</v>
      </c>
      <c r="I43" s="41">
        <v>5.8138700609870364E-2</v>
      </c>
      <c r="J43" s="41">
        <v>5.8159898068978588E-2</v>
      </c>
      <c r="K43" s="41">
        <v>5.8181145981481608E-2</v>
      </c>
      <c r="L43" s="41">
        <v>5.8202444350395455E-2</v>
      </c>
      <c r="M43" s="41">
        <v>5.8223793178685534E-2</v>
      </c>
      <c r="N43" s="41">
        <v>5.8245192469338125E-2</v>
      </c>
      <c r="O43" s="41">
        <v>5.8266642225388798E-2</v>
      </c>
      <c r="P43" s="41">
        <v>5.8288142449818059E-2</v>
      </c>
      <c r="Q43" s="41">
        <v>5.503390926695495E-2</v>
      </c>
      <c r="R43" s="41">
        <v>4.8809695866461666E-2</v>
      </c>
      <c r="S43" s="41">
        <v>4.3856413470499511E-2</v>
      </c>
      <c r="T43" s="41">
        <v>3.6469720914497294E-2</v>
      </c>
      <c r="U43" s="41">
        <v>3.122509989821709E-2</v>
      </c>
      <c r="V43" s="41">
        <v>2.7308819512245508E-2</v>
      </c>
      <c r="W43" s="41">
        <v>2.4272968568381348E-2</v>
      </c>
      <c r="X43" s="42">
        <v>2.1850660211042205E-2</v>
      </c>
      <c r="Y43" s="6"/>
      <c r="Z43" s="31"/>
    </row>
    <row r="44" spans="2:26" ht="15" customHeight="1" x14ac:dyDescent="0.25">
      <c r="B44" s="6" t="s">
        <v>71</v>
      </c>
      <c r="C44" s="2">
        <f>C23 * C35 * (1-C30) *C40</f>
        <v>64776.522819632424</v>
      </c>
      <c r="E44" s="248"/>
      <c r="F44" s="12">
        <v>3000000</v>
      </c>
      <c r="G44" s="13">
        <v>5.8219252506301666E-2</v>
      </c>
      <c r="H44" s="13">
        <v>5.8261344564581652E-2</v>
      </c>
      <c r="I44" s="41">
        <v>5.8303638435365013E-2</v>
      </c>
      <c r="J44" s="41">
        <v>5.8346134142378769E-2</v>
      </c>
      <c r="K44" s="41">
        <v>5.8388831709484945E-2</v>
      </c>
      <c r="L44" s="41">
        <v>5.8431731160623945E-2</v>
      </c>
      <c r="M44" s="41">
        <v>5.8474832519911146E-2</v>
      </c>
      <c r="N44" s="41">
        <v>5.8518135811492344E-2</v>
      </c>
      <c r="O44" s="41">
        <v>5.8561641059683867E-2</v>
      </c>
      <c r="P44" s="41">
        <v>5.8605348288921943E-2</v>
      </c>
      <c r="Q44" s="41">
        <v>5.5352920168433961E-2</v>
      </c>
      <c r="R44" s="41">
        <v>4.9126850460518012E-2</v>
      </c>
      <c r="S44" s="41">
        <v>4.4172090691372956E-2</v>
      </c>
      <c r="T44" s="41">
        <v>3.6783194791165874E-2</v>
      </c>
      <c r="U44" s="41">
        <v>3.1537009249325676E-2</v>
      </c>
      <c r="V44" s="41">
        <v>2.7619560524709819E-2</v>
      </c>
      <c r="W44" s="41">
        <v>2.4582803857531088E-2</v>
      </c>
      <c r="X44" s="42">
        <v>2.2159772796329191E-2</v>
      </c>
      <c r="Y44" s="6"/>
      <c r="Z44" s="31"/>
    </row>
    <row r="45" spans="2:26" ht="15.75" thickBot="1" x14ac:dyDescent="0.3">
      <c r="B45" s="22"/>
      <c r="C45" s="75"/>
      <c r="D45" s="18"/>
      <c r="E45" s="248"/>
      <c r="F45" s="12">
        <v>5000000</v>
      </c>
      <c r="G45" s="13">
        <v>5.8378739800408308E-2</v>
      </c>
      <c r="H45" s="13">
        <v>5.8448668294013739E-2</v>
      </c>
      <c r="I45" s="41">
        <v>5.8519157459431037E-2</v>
      </c>
      <c r="J45" s="41">
        <v>5.8590207406538752E-2</v>
      </c>
      <c r="K45" s="41">
        <v>5.8661818246096065E-2</v>
      </c>
      <c r="L45" s="41">
        <v>5.8733990089737453E-2</v>
      </c>
      <c r="M45" s="41">
        <v>5.8806723049968701E-2</v>
      </c>
      <c r="N45" s="41">
        <v>5.8880017240209082E-2</v>
      </c>
      <c r="O45" s="41">
        <v>5.8953872774693217E-2</v>
      </c>
      <c r="P45" s="41">
        <v>5.9028289768613407E-2</v>
      </c>
      <c r="Q45" s="41">
        <v>5.5778416033819056E-2</v>
      </c>
      <c r="R45" s="41">
        <v>4.9549870400061868E-2</v>
      </c>
      <c r="S45" s="41">
        <v>4.4593140124071562E-2</v>
      </c>
      <c r="T45" s="41">
        <v>3.7201305423455233E-2</v>
      </c>
      <c r="U45" s="41">
        <v>3.1953033131581376E-2</v>
      </c>
      <c r="V45" s="41">
        <v>2.8034026087413677E-2</v>
      </c>
      <c r="W45" s="41">
        <v>2.4996061374674472E-2</v>
      </c>
      <c r="X45" s="42">
        <v>2.2572066377557043E-2</v>
      </c>
      <c r="Y45" s="6"/>
      <c r="Z45" s="31"/>
    </row>
    <row r="46" spans="2:26" x14ac:dyDescent="0.25">
      <c r="B46" s="37" t="s">
        <v>51</v>
      </c>
      <c r="C46" s="65">
        <f>(C44 /(C43*(C43&gt;=C42))+1) ^ 73 -1</f>
        <v>5.7992046099718531E-2</v>
      </c>
      <c r="D46" s="18"/>
      <c r="E46" s="248"/>
      <c r="F46" s="12">
        <v>10000000</v>
      </c>
      <c r="G46" s="13">
        <v>5.875624480371E-2</v>
      </c>
      <c r="H46" s="13">
        <v>5.889497364577112E-2</v>
      </c>
      <c r="I46" s="41">
        <v>5.9035945945220325E-2</v>
      </c>
      <c r="J46" s="41">
        <v>5.917916258101874E-2</v>
      </c>
      <c r="K46" s="41">
        <v>5.9324624446206009E-2</v>
      </c>
      <c r="L46" s="41">
        <v>5.9472332447903842E-2</v>
      </c>
      <c r="M46" s="41">
        <v>5.962228750730203E-2</v>
      </c>
      <c r="N46" s="41">
        <v>5.9774490559738824E-2</v>
      </c>
      <c r="O46" s="41">
        <v>5.9928942554593911E-2</v>
      </c>
      <c r="P46" s="41">
        <v>6.0085644455397658E-2</v>
      </c>
      <c r="Q46" s="41">
        <v>5.6842896092186512E-2</v>
      </c>
      <c r="R46" s="41">
        <v>5.0608156395234083E-2</v>
      </c>
      <c r="S46" s="41">
        <v>4.5646496470548303E-2</v>
      </c>
      <c r="T46" s="41">
        <v>3.8247309725185641E-2</v>
      </c>
      <c r="U46" s="41">
        <v>3.2993816976649493E-2</v>
      </c>
      <c r="V46" s="41">
        <v>2.9070911458780824E-2</v>
      </c>
      <c r="W46" s="41">
        <v>2.6029924558382822E-2</v>
      </c>
      <c r="X46" s="42">
        <v>2.3603518066794171E-2</v>
      </c>
      <c r="Y46" s="6"/>
      <c r="Z46" s="31"/>
    </row>
    <row r="47" spans="2:26" x14ac:dyDescent="0.25">
      <c r="B47" s="38" t="s">
        <v>52</v>
      </c>
      <c r="C47" s="66">
        <f>(1+(($C$44-$C$38) * (1-$C$41))/$C$43 )^ 73 -1</f>
        <v>5.4718819478596803E-2</v>
      </c>
      <c r="D47" s="18"/>
      <c r="E47" s="248"/>
      <c r="F47" s="12">
        <v>15000000</v>
      </c>
      <c r="G47" s="13">
        <v>5.9103419833011595E-2</v>
      </c>
      <c r="H47" s="13">
        <v>5.9309813579321746E-2</v>
      </c>
      <c r="I47" s="41">
        <v>5.9521256692230518E-2</v>
      </c>
      <c r="J47" s="41">
        <v>5.9737752138047329E-2</v>
      </c>
      <c r="K47" s="41">
        <v>5.9959302954286198E-2</v>
      </c>
      <c r="L47" s="41">
        <v>6.0185912249894225E-2</v>
      </c>
      <c r="M47" s="41">
        <v>6.0417583205121472E-2</v>
      </c>
      <c r="N47" s="41">
        <v>6.06543190717721E-2</v>
      </c>
      <c r="O47" s="41">
        <v>6.0896123173193706E-2</v>
      </c>
      <c r="P47" s="41">
        <v>6.1142998904316403E-2</v>
      </c>
      <c r="Q47" s="41">
        <v>5.7908434687259369E-2</v>
      </c>
      <c r="R47" s="41">
        <v>5.1667494852979834E-2</v>
      </c>
      <c r="S47" s="41">
        <v>4.6700900445016735E-2</v>
      </c>
      <c r="T47" s="41">
        <v>3.9294354444138202E-2</v>
      </c>
      <c r="U47" s="41">
        <v>3.4035636118311841E-2</v>
      </c>
      <c r="V47" s="41">
        <v>3.0108828302603419E-2</v>
      </c>
      <c r="W47" s="41">
        <v>2.7064816249893875E-2</v>
      </c>
      <c r="X47" s="42">
        <v>2.4635995898103724E-2</v>
      </c>
      <c r="Y47" s="6"/>
      <c r="Z47" s="31"/>
    </row>
    <row r="48" spans="2:26" ht="15.75" thickBot="1" x14ac:dyDescent="0.3">
      <c r="B48" s="39" t="s">
        <v>95</v>
      </c>
      <c r="C48" s="40">
        <f>C46-C47</f>
        <v>3.2732266211217276E-3</v>
      </c>
      <c r="D48" s="18"/>
      <c r="E48" s="248"/>
      <c r="F48" s="12">
        <v>20000000</v>
      </c>
      <c r="G48" s="13">
        <v>5.9420235378103703E-2</v>
      </c>
      <c r="H48" s="13">
        <v>5.9693151481173157E-2</v>
      </c>
      <c r="I48" s="13">
        <v>5.9975046799710663E-2</v>
      </c>
      <c r="J48" s="13">
        <v>6.0265928364162669E-2</v>
      </c>
      <c r="K48" s="13">
        <v>6.056580343033735E-2</v>
      </c>
      <c r="L48" s="13">
        <v>6.0874679479667515E-2</v>
      </c>
      <c r="M48" s="13">
        <v>6.1192564219568313E-2</v>
      </c>
      <c r="N48" s="13">
        <v>6.1519465583721233E-2</v>
      </c>
      <c r="O48" s="13">
        <v>6.1855391732429599E-2</v>
      </c>
      <c r="P48" s="13">
        <v>6.2200351052893676E-2</v>
      </c>
      <c r="Q48" s="13">
        <v>5.8975032857019327E-2</v>
      </c>
      <c r="R48" s="13">
        <v>5.2727886805402635E-2</v>
      </c>
      <c r="S48" s="13">
        <v>4.7756353074958735E-2</v>
      </c>
      <c r="T48" s="13">
        <v>4.0342440600744656E-2</v>
      </c>
      <c r="U48" s="13">
        <v>3.5078491572086756E-2</v>
      </c>
      <c r="V48" s="13">
        <v>3.1147777630726736E-2</v>
      </c>
      <c r="W48" s="13">
        <v>2.8100737458120362E-2</v>
      </c>
      <c r="X48" s="16">
        <v>2.5669500878147788E-2</v>
      </c>
      <c r="Y48" s="6"/>
      <c r="Z48" s="31"/>
    </row>
    <row r="49" spans="1:26" x14ac:dyDescent="0.25">
      <c r="B49" s="6"/>
      <c r="C49" s="6"/>
      <c r="D49" s="18"/>
      <c r="E49" s="248"/>
      <c r="F49" s="12">
        <v>32000000</v>
      </c>
      <c r="G49" s="13">
        <v>6.0056570213516736E-2</v>
      </c>
      <c r="H49" s="13">
        <v>6.0484437467446472E-2</v>
      </c>
      <c r="I49" s="13">
        <v>6.0935304561426928E-2</v>
      </c>
      <c r="J49" s="13">
        <v>6.1409200281256959E-2</v>
      </c>
      <c r="K49" s="13">
        <v>6.1906154891355758E-2</v>
      </c>
      <c r="L49" s="13">
        <v>6.242620013788347E-2</v>
      </c>
      <c r="M49" s="13">
        <v>6.2969369252198426E-2</v>
      </c>
      <c r="N49" s="13">
        <v>6.3535696954198917E-2</v>
      </c>
      <c r="O49" s="13">
        <v>6.4125219456144578E-2</v>
      </c>
      <c r="P49" s="13">
        <v>6.4737974466258397E-2</v>
      </c>
      <c r="Q49" s="13">
        <v>6.1539197748626151E-2</v>
      </c>
      <c r="R49" s="13">
        <v>5.5277131933800128E-2</v>
      </c>
      <c r="S49" s="13">
        <v>5.029372405730248E-2</v>
      </c>
      <c r="T49" s="13">
        <v>4.2862102556829429E-2</v>
      </c>
      <c r="U49" s="13">
        <v>3.758557889944325E-2</v>
      </c>
      <c r="V49" s="13">
        <v>3.3645474616787352E-2</v>
      </c>
      <c r="W49" s="13">
        <v>3.0591154831637546E-2</v>
      </c>
      <c r="X49" s="46">
        <v>2.8092922024161693E-2</v>
      </c>
      <c r="Y49" s="6"/>
      <c r="Z49" s="31"/>
    </row>
    <row r="50" spans="1:26" x14ac:dyDescent="0.25">
      <c r="B50" s="17" t="s">
        <v>69</v>
      </c>
      <c r="C50" s="217"/>
      <c r="E50" s="248"/>
      <c r="F50" s="12">
        <v>50000000</v>
      </c>
      <c r="G50" s="13">
        <v>6.0682251828437783E-2</v>
      </c>
      <c r="H50" s="13">
        <v>6.1329935758458909E-2</v>
      </c>
      <c r="I50" s="13">
        <v>6.2033801931149046E-2</v>
      </c>
      <c r="J50" s="13">
        <v>6.2793960059137843E-2</v>
      </c>
      <c r="K50" s="13">
        <v>6.3610528681043332E-2</v>
      </c>
      <c r="L50" s="13">
        <v>6.448363519189626E-2</v>
      </c>
      <c r="M50" s="13">
        <v>6.5413415875683834E-2</v>
      </c>
      <c r="N50" s="13">
        <v>6.6400015940478507E-2</v>
      </c>
      <c r="O50" s="13">
        <v>6.7443589555553407E-2</v>
      </c>
      <c r="P50" s="13">
        <v>6.8544299891056149E-2</v>
      </c>
      <c r="Q50" s="13">
        <v>6.5396931198214769E-2</v>
      </c>
      <c r="R50" s="13">
        <v>5.9112419832849206E-2</v>
      </c>
      <c r="S50" s="13">
        <v>5.4111148281301258E-2</v>
      </c>
      <c r="T50" s="13">
        <v>4.6652885002520961E-2</v>
      </c>
      <c r="U50" s="43">
        <v>4.0369714566776294E-2</v>
      </c>
      <c r="V50" s="43">
        <v>3.5236910817732614E-2</v>
      </c>
      <c r="W50" s="43">
        <v>3.1262005130171744E-2</v>
      </c>
      <c r="X50" s="46">
        <v>2.8092922024161693E-2</v>
      </c>
      <c r="Y50" s="6"/>
      <c r="Z50" s="31"/>
    </row>
    <row r="51" spans="1:26" x14ac:dyDescent="0.25">
      <c r="B51" s="47" t="s">
        <v>128</v>
      </c>
      <c r="C51" s="218">
        <f>SKY!D2</f>
        <v>31704823791.377499</v>
      </c>
      <c r="E51" s="248"/>
      <c r="F51" s="12">
        <v>76000000</v>
      </c>
      <c r="G51" s="13">
        <v>6.0888293667504367E-2</v>
      </c>
      <c r="H51" s="13">
        <v>6.1826278634677045E-2</v>
      </c>
      <c r="I51" s="13">
        <v>6.2894082382432659E-2</v>
      </c>
      <c r="J51" s="13">
        <v>6.4092089458170465E-2</v>
      </c>
      <c r="K51" s="13">
        <v>6.5420731590422276E-2</v>
      </c>
      <c r="L51" s="13">
        <v>6.6880487944419587E-2</v>
      </c>
      <c r="M51" s="13">
        <v>6.8471885406198307E-2</v>
      </c>
      <c r="N51" s="13">
        <v>7.0195498895048614E-2</v>
      </c>
      <c r="O51" s="13">
        <v>7.2051951704857675E-2</v>
      </c>
      <c r="P51" s="13">
        <v>7.4041915874443642E-2</v>
      </c>
      <c r="Q51" s="13">
        <v>7.0993635602972116E-2</v>
      </c>
      <c r="R51" s="43">
        <v>6.3487523843869464E-2</v>
      </c>
      <c r="S51" s="43">
        <v>5.6963946458796988E-2</v>
      </c>
      <c r="T51" s="43">
        <v>4.7252516085561469E-2</v>
      </c>
      <c r="U51" s="43">
        <v>4.0369714566776294E-2</v>
      </c>
      <c r="V51" s="43">
        <v>3.5236910817732614E-2</v>
      </c>
      <c r="W51" s="43">
        <v>3.1262005130171744E-2</v>
      </c>
      <c r="X51" s="46">
        <v>2.8092922024161693E-2</v>
      </c>
      <c r="Y51" s="6"/>
      <c r="Z51" s="31"/>
    </row>
    <row r="52" spans="1:26" x14ac:dyDescent="0.25">
      <c r="B52" s="47" t="s">
        <v>123</v>
      </c>
      <c r="C52" s="218">
        <f>SKY!D4</f>
        <v>31784278115.900009</v>
      </c>
      <c r="E52" s="248"/>
      <c r="F52" s="12">
        <v>83000000</v>
      </c>
      <c r="G52" s="13">
        <v>6.0802805216173983E-2</v>
      </c>
      <c r="H52" s="13">
        <v>6.1813372099291053E-2</v>
      </c>
      <c r="I52" s="13">
        <v>6.2978757311757949E-2</v>
      </c>
      <c r="J52" s="13">
        <v>6.4299461418148685E-2</v>
      </c>
      <c r="K52" s="13">
        <v>6.5776052116531591E-2</v>
      </c>
      <c r="L52" s="13">
        <v>6.740916463955382E-2</v>
      </c>
      <c r="M52" s="13">
        <v>6.9199502203545871E-2</v>
      </c>
      <c r="N52" s="43">
        <v>7.1147836506087581E-2</v>
      </c>
      <c r="O52" s="43">
        <v>7.3255008272638422E-2</v>
      </c>
      <c r="P52" s="43">
        <v>7.5521927852640891E-2</v>
      </c>
      <c r="Q52" s="43">
        <v>7.1697863669600403E-2</v>
      </c>
      <c r="R52" s="43">
        <v>6.3487523843869464E-2</v>
      </c>
      <c r="S52" s="43">
        <v>5.6963946458796988E-2</v>
      </c>
      <c r="T52" s="43">
        <v>4.7252516085561469E-2</v>
      </c>
      <c r="U52" s="43">
        <v>4.0369714566776294E-2</v>
      </c>
      <c r="V52" s="43">
        <v>3.5236910817732614E-2</v>
      </c>
      <c r="W52" s="43">
        <v>3.1262005130171744E-2</v>
      </c>
      <c r="X52" s="46">
        <v>2.8092922024161693E-2</v>
      </c>
      <c r="Y52" s="6"/>
      <c r="Z52" s="31"/>
    </row>
    <row r="53" spans="1:26" x14ac:dyDescent="0.25">
      <c r="B53" s="47" t="s">
        <v>124</v>
      </c>
      <c r="C53" s="218">
        <f>SKY!D5</f>
        <v>31823826595.451485</v>
      </c>
      <c r="E53" s="248"/>
      <c r="F53" s="12">
        <v>150000000</v>
      </c>
      <c r="G53" s="13" t="e">
        <v>#DIV/0!</v>
      </c>
      <c r="H53" s="13" t="e">
        <v>#DIV/0!</v>
      </c>
      <c r="I53" s="13" t="e">
        <v>#DIV/0!</v>
      </c>
      <c r="J53" s="43" t="e">
        <v>#DIV/0!</v>
      </c>
      <c r="K53" s="43" t="e">
        <v>#DIV/0!</v>
      </c>
      <c r="L53" s="43" t="e">
        <v>#DIV/0!</v>
      </c>
      <c r="M53" s="43" t="e">
        <v>#DIV/0!</v>
      </c>
      <c r="N53" s="43" t="e">
        <v>#DIV/0!</v>
      </c>
      <c r="O53" s="43" t="e">
        <v>#DIV/0!</v>
      </c>
      <c r="P53" s="43" t="e">
        <v>#DIV/0!</v>
      </c>
      <c r="Q53" s="43" t="e">
        <v>#DIV/0!</v>
      </c>
      <c r="R53" s="43" t="e">
        <v>#DIV/0!</v>
      </c>
      <c r="S53" s="43" t="e">
        <v>#DIV/0!</v>
      </c>
      <c r="T53" s="43" t="e">
        <v>#DIV/0!</v>
      </c>
      <c r="U53" s="43" t="e">
        <v>#DIV/0!</v>
      </c>
      <c r="V53" s="43" t="e">
        <v>#DIV/0!</v>
      </c>
      <c r="W53" s="43" t="e">
        <v>#DIV/0!</v>
      </c>
      <c r="X53" s="46" t="e">
        <v>#DIV/0!</v>
      </c>
      <c r="Y53" s="6"/>
      <c r="Z53" s="31"/>
    </row>
    <row r="54" spans="1:26" x14ac:dyDescent="0.25">
      <c r="B54" s="47" t="s">
        <v>125</v>
      </c>
      <c r="C54" s="218">
        <f>SKY!D6</f>
        <v>31863256429.564308</v>
      </c>
      <c r="E54" s="248"/>
      <c r="F54" s="12">
        <v>175000000</v>
      </c>
      <c r="G54" s="13" t="e">
        <v>#DIV/0!</v>
      </c>
      <c r="H54" s="13" t="e">
        <v>#DIV/0!</v>
      </c>
      <c r="I54" s="43" t="e">
        <v>#DIV/0!</v>
      </c>
      <c r="J54" s="43" t="e">
        <v>#DIV/0!</v>
      </c>
      <c r="K54" s="43" t="e">
        <v>#DIV/0!</v>
      </c>
      <c r="L54" s="43" t="e">
        <v>#DIV/0!</v>
      </c>
      <c r="M54" s="43" t="e">
        <v>#DIV/0!</v>
      </c>
      <c r="N54" s="43" t="e">
        <v>#DIV/0!</v>
      </c>
      <c r="O54" s="43" t="e">
        <v>#DIV/0!</v>
      </c>
      <c r="P54" s="43" t="e">
        <v>#DIV/0!</v>
      </c>
      <c r="Q54" s="43" t="e">
        <v>#DIV/0!</v>
      </c>
      <c r="R54" s="43" t="e">
        <v>#DIV/0!</v>
      </c>
      <c r="S54" s="43" t="e">
        <v>#DIV/0!</v>
      </c>
      <c r="T54" s="43" t="e">
        <v>#DIV/0!</v>
      </c>
      <c r="U54" s="43" t="e">
        <v>#DIV/0!</v>
      </c>
      <c r="V54" s="43" t="e">
        <v>#DIV/0!</v>
      </c>
      <c r="W54" s="43" t="e">
        <v>#DIV/0!</v>
      </c>
      <c r="X54" s="46" t="e">
        <v>#DIV/0!</v>
      </c>
      <c r="Y54" s="6"/>
      <c r="Z54" s="31"/>
    </row>
    <row r="55" spans="1:26" x14ac:dyDescent="0.25">
      <c r="B55" s="47" t="s">
        <v>126</v>
      </c>
      <c r="C55" s="218">
        <f>SKY!D7</f>
        <v>31902567974.174789</v>
      </c>
      <c r="E55" s="248"/>
      <c r="F55" s="12">
        <v>185000000</v>
      </c>
      <c r="G55" s="13" t="e">
        <v>#DIV/0!</v>
      </c>
      <c r="H55" s="43" t="e">
        <v>#DIV/0!</v>
      </c>
      <c r="I55" s="43" t="e">
        <v>#DIV/0!</v>
      </c>
      <c r="J55" s="43" t="e">
        <v>#DIV/0!</v>
      </c>
      <c r="K55" s="43" t="e">
        <v>#DIV/0!</v>
      </c>
      <c r="L55" s="43" t="e">
        <v>#DIV/0!</v>
      </c>
      <c r="M55" s="43" t="e">
        <v>#DIV/0!</v>
      </c>
      <c r="N55" s="43" t="e">
        <v>#DIV/0!</v>
      </c>
      <c r="O55" s="43" t="e">
        <v>#DIV/0!</v>
      </c>
      <c r="P55" s="43" t="e">
        <v>#DIV/0!</v>
      </c>
      <c r="Q55" s="43" t="e">
        <v>#DIV/0!</v>
      </c>
      <c r="R55" s="43" t="e">
        <v>#DIV/0!</v>
      </c>
      <c r="S55" s="43" t="e">
        <v>#DIV/0!</v>
      </c>
      <c r="T55" s="43" t="e">
        <v>#DIV/0!</v>
      </c>
      <c r="U55" s="43" t="e">
        <v>#DIV/0!</v>
      </c>
      <c r="V55" s="43" t="e">
        <v>#DIV/0!</v>
      </c>
      <c r="W55" s="43" t="e">
        <v>#DIV/0!</v>
      </c>
      <c r="X55" s="46" t="e">
        <v>#DIV/0!</v>
      </c>
      <c r="Y55" s="6"/>
      <c r="Z55" s="31"/>
    </row>
    <row r="56" spans="1:26" x14ac:dyDescent="0.25">
      <c r="A56" s="88"/>
      <c r="B56" s="6"/>
      <c r="C56" s="31"/>
      <c r="D56" s="73"/>
      <c r="E56" s="248"/>
      <c r="F56" s="12">
        <v>195000000</v>
      </c>
      <c r="G56" s="13" t="e">
        <v>#DIV/0!</v>
      </c>
      <c r="H56" s="43" t="e">
        <v>#DIV/0!</v>
      </c>
      <c r="I56" s="43" t="e">
        <v>#DIV/0!</v>
      </c>
      <c r="J56" s="43" t="e">
        <v>#DIV/0!</v>
      </c>
      <c r="K56" s="43" t="e">
        <v>#DIV/0!</v>
      </c>
      <c r="L56" s="43" t="e">
        <v>#DIV/0!</v>
      </c>
      <c r="M56" s="43" t="e">
        <v>#DIV/0!</v>
      </c>
      <c r="N56" s="43" t="e">
        <v>#DIV/0!</v>
      </c>
      <c r="O56" s="43" t="e">
        <v>#DIV/0!</v>
      </c>
      <c r="P56" s="43" t="e">
        <v>#DIV/0!</v>
      </c>
      <c r="Q56" s="43" t="e">
        <v>#DIV/0!</v>
      </c>
      <c r="R56" s="43" t="e">
        <v>#DIV/0!</v>
      </c>
      <c r="S56" s="43" t="e">
        <v>#DIV/0!</v>
      </c>
      <c r="T56" s="43" t="e">
        <v>#DIV/0!</v>
      </c>
      <c r="U56" s="43" t="e">
        <v>#DIV/0!</v>
      </c>
      <c r="V56" s="43" t="e">
        <v>#DIV/0!</v>
      </c>
      <c r="W56" s="43" t="e">
        <v>#DIV/0!</v>
      </c>
      <c r="X56" s="46" t="e">
        <v>#DIV/0!</v>
      </c>
      <c r="Y56" s="78">
        <f>SUM(G28:X28)</f>
        <v>150</v>
      </c>
      <c r="Z56" s="31"/>
    </row>
    <row r="57" spans="1:26" x14ac:dyDescent="0.25">
      <c r="A57" s="88"/>
      <c r="B57" s="17" t="s">
        <v>70</v>
      </c>
      <c r="C57" s="31"/>
      <c r="E57" s="249"/>
      <c r="F57" s="27">
        <v>209968861</v>
      </c>
      <c r="G57" s="14" t="e">
        <v>#DIV/0!</v>
      </c>
      <c r="H57" s="44" t="e">
        <v>#DIV/0!</v>
      </c>
      <c r="I57" s="44" t="e">
        <v>#DIV/0!</v>
      </c>
      <c r="J57" s="44" t="e">
        <v>#DIV/0!</v>
      </c>
      <c r="K57" s="44" t="e">
        <v>#DIV/0!</v>
      </c>
      <c r="L57" s="44" t="e">
        <v>#DIV/0!</v>
      </c>
      <c r="M57" s="44" t="e">
        <v>#DIV/0!</v>
      </c>
      <c r="N57" s="44" t="e">
        <v>#DIV/0!</v>
      </c>
      <c r="O57" s="44" t="e">
        <v>#DIV/0!</v>
      </c>
      <c r="P57" s="44" t="e">
        <v>#DIV/0!</v>
      </c>
      <c r="Q57" s="44" t="e">
        <v>#DIV/0!</v>
      </c>
      <c r="R57" s="44" t="e">
        <v>#DIV/0!</v>
      </c>
      <c r="S57" s="44" t="e">
        <v>#DIV/0!</v>
      </c>
      <c r="T57" s="44" t="e">
        <v>#DIV/0!</v>
      </c>
      <c r="U57" s="44" t="e">
        <v>#DIV/0!</v>
      </c>
      <c r="V57" s="44" t="e">
        <v>#DIV/0!</v>
      </c>
      <c r="W57" s="44" t="e">
        <v>#DIV/0!</v>
      </c>
      <c r="X57" s="45" t="e">
        <v>#DIV/0!</v>
      </c>
      <c r="Y57" s="6"/>
      <c r="Z57" s="31"/>
    </row>
    <row r="58" spans="1:26" x14ac:dyDescent="0.25">
      <c r="A58" s="47">
        <v>211</v>
      </c>
      <c r="B58" s="47" t="str">
        <f>B51</f>
        <v>Epoch 211</v>
      </c>
      <c r="C58" s="73">
        <f>rho!F8</f>
        <v>39786842.525043599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31"/>
    </row>
    <row r="59" spans="1:26" x14ac:dyDescent="0.25">
      <c r="A59" s="47">
        <v>212</v>
      </c>
      <c r="B59" s="47" t="str">
        <f t="shared" ref="B59:B62" si="5">B52</f>
        <v>Epoch 212</v>
      </c>
      <c r="C59" s="73">
        <f>rho!F9</f>
        <v>39667481.997468472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31"/>
    </row>
    <row r="60" spans="1:26" x14ac:dyDescent="0.25">
      <c r="A60" s="47">
        <v>213</v>
      </c>
      <c r="B60" s="47" t="str">
        <f t="shared" si="5"/>
        <v>Epoch 213</v>
      </c>
      <c r="C60" s="73">
        <f>rho!F10</f>
        <v>39548479.551476061</v>
      </c>
      <c r="E60" s="17" t="s">
        <v>55</v>
      </c>
      <c r="F60" s="31">
        <f>$C$27</f>
        <v>211</v>
      </c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4"/>
      <c r="T60" s="64"/>
      <c r="U60" s="63"/>
      <c r="V60" s="63"/>
      <c r="W60" s="63"/>
      <c r="X60" s="63"/>
      <c r="Y60" s="6"/>
      <c r="Z60" s="31"/>
    </row>
    <row r="61" spans="1:26" x14ac:dyDescent="0.25">
      <c r="A61" s="47">
        <v>214</v>
      </c>
      <c r="B61" s="47" t="str">
        <f t="shared" si="5"/>
        <v>Epoch 214</v>
      </c>
      <c r="C61" s="73">
        <f>rho!F11</f>
        <v>39429834.112821639</v>
      </c>
      <c r="E61" s="17" t="s">
        <v>73</v>
      </c>
      <c r="F61" s="70">
        <f>$C$39</f>
        <v>0.113</v>
      </c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4"/>
      <c r="T61" s="64"/>
      <c r="U61" s="63"/>
      <c r="V61" s="63"/>
      <c r="W61" s="63"/>
      <c r="X61" s="63"/>
      <c r="Y61" s="6"/>
      <c r="Z61" s="31"/>
    </row>
    <row r="62" spans="1:26" x14ac:dyDescent="0.25">
      <c r="A62" s="47">
        <v>215</v>
      </c>
      <c r="B62" s="47" t="str">
        <f t="shared" si="5"/>
        <v>Epoch 215</v>
      </c>
      <c r="C62" s="73">
        <f>rho!F12</f>
        <v>39311544.61048317</v>
      </c>
      <c r="E62" s="17" t="s">
        <v>72</v>
      </c>
      <c r="F62" s="71">
        <f>$C$41</f>
        <v>0.05</v>
      </c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4"/>
      <c r="T62" s="64"/>
      <c r="U62" s="63"/>
      <c r="V62" s="63"/>
      <c r="W62" s="63"/>
      <c r="X62" s="63"/>
      <c r="Y62" s="6"/>
      <c r="Z62" s="31"/>
    </row>
    <row r="63" spans="1:26" ht="15.75" thickBot="1" x14ac:dyDescent="0.3">
      <c r="B63" s="6"/>
      <c r="C63" s="6"/>
      <c r="E63" s="17" t="s">
        <v>46</v>
      </c>
      <c r="F63" s="101">
        <f>$C$42</f>
        <v>250000</v>
      </c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4"/>
      <c r="T63" s="64"/>
      <c r="U63" s="63"/>
      <c r="V63" s="63"/>
      <c r="W63" s="63"/>
      <c r="X63" s="63"/>
      <c r="Y63" s="6"/>
      <c r="Z63" s="31"/>
    </row>
    <row r="64" spans="1:26" ht="15.75" thickBot="1" x14ac:dyDescent="0.3">
      <c r="B64" s="6" t="s">
        <v>101</v>
      </c>
      <c r="C64" s="74">
        <v>21600</v>
      </c>
      <c r="E64" s="93" t="s">
        <v>88</v>
      </c>
      <c r="F64" s="102">
        <f>$C$28</f>
        <v>150</v>
      </c>
      <c r="G64" s="252" t="s">
        <v>75</v>
      </c>
      <c r="H64" s="252"/>
      <c r="I64" s="252"/>
      <c r="J64" s="252"/>
      <c r="K64" s="252"/>
      <c r="L64" s="252"/>
      <c r="M64" s="252"/>
      <c r="N64" s="252"/>
      <c r="O64" s="252"/>
      <c r="P64" s="252"/>
      <c r="Q64" s="252"/>
      <c r="R64" s="252"/>
      <c r="S64" s="252"/>
      <c r="T64" s="252"/>
      <c r="U64" s="252"/>
      <c r="V64" s="252"/>
      <c r="W64" s="252"/>
      <c r="X64" s="252"/>
      <c r="Y64" s="87">
        <v>0</v>
      </c>
      <c r="Z64" s="31"/>
    </row>
    <row r="65" spans="1:26" x14ac:dyDescent="0.25">
      <c r="B65" s="6"/>
      <c r="C65" s="31"/>
      <c r="E65" s="247" t="s">
        <v>28</v>
      </c>
      <c r="F65" s="250" t="s">
        <v>120</v>
      </c>
      <c r="G65" s="250"/>
      <c r="H65" s="250"/>
      <c r="I65" s="250"/>
      <c r="J65" s="250"/>
      <c r="K65" s="250"/>
      <c r="L65" s="250"/>
      <c r="M65" s="250"/>
      <c r="N65" s="250"/>
      <c r="O65" s="250"/>
      <c r="P65" s="250"/>
      <c r="Q65" s="250"/>
      <c r="R65" s="250"/>
      <c r="S65" s="250"/>
      <c r="T65" s="250"/>
      <c r="U65" s="250"/>
      <c r="V65" s="250"/>
      <c r="W65" s="250"/>
      <c r="X65" s="251"/>
      <c r="Y65" s="87">
        <v>3.1200077904872279E-3</v>
      </c>
      <c r="Z65" s="31"/>
    </row>
    <row r="66" spans="1:26" x14ac:dyDescent="0.25">
      <c r="A66" s="47"/>
      <c r="B66" s="6"/>
      <c r="C66" s="30"/>
      <c r="E66" s="248"/>
      <c r="F66" s="51">
        <f>C44</f>
        <v>64776.522819632424</v>
      </c>
      <c r="G66" s="10">
        <f t="shared" ref="G66:X66" si="6">G40</f>
        <v>150</v>
      </c>
      <c r="H66" s="10">
        <f t="shared" si="6"/>
        <v>175</v>
      </c>
      <c r="I66" s="10">
        <f t="shared" si="6"/>
        <v>200</v>
      </c>
      <c r="J66" s="10">
        <f t="shared" si="6"/>
        <v>225</v>
      </c>
      <c r="K66" s="10">
        <f t="shared" si="6"/>
        <v>250</v>
      </c>
      <c r="L66" s="10">
        <f t="shared" si="6"/>
        <v>275</v>
      </c>
      <c r="M66" s="10">
        <f t="shared" si="6"/>
        <v>300</v>
      </c>
      <c r="N66" s="10">
        <f t="shared" si="6"/>
        <v>325</v>
      </c>
      <c r="O66" s="10">
        <f t="shared" si="6"/>
        <v>350</v>
      </c>
      <c r="P66" s="10">
        <f t="shared" si="6"/>
        <v>375</v>
      </c>
      <c r="Q66" s="10">
        <f t="shared" si="6"/>
        <v>400</v>
      </c>
      <c r="R66" s="10">
        <f t="shared" si="6"/>
        <v>450</v>
      </c>
      <c r="S66" s="10">
        <f t="shared" si="6"/>
        <v>500</v>
      </c>
      <c r="T66" s="10">
        <f t="shared" si="6"/>
        <v>600</v>
      </c>
      <c r="U66" s="10">
        <f t="shared" si="6"/>
        <v>700</v>
      </c>
      <c r="V66" s="10">
        <f t="shared" si="6"/>
        <v>800</v>
      </c>
      <c r="W66" s="10">
        <f t="shared" si="6"/>
        <v>900</v>
      </c>
      <c r="X66" s="11">
        <f t="shared" si="6"/>
        <v>1000</v>
      </c>
      <c r="Y66" s="87">
        <v>7.8000194762180711E-3</v>
      </c>
      <c r="Z66" s="31"/>
    </row>
    <row r="67" spans="1:26" ht="15.75" thickBot="1" x14ac:dyDescent="0.3">
      <c r="A67" s="47"/>
      <c r="B67" s="6"/>
      <c r="C67" s="30"/>
      <c r="E67" s="248"/>
      <c r="F67" s="12">
        <v>500000</v>
      </c>
      <c r="G67" s="52">
        <f t="dataTable" ref="G67:X83" dt2D="1" dtr="1" r1="C28" r2="C43" ca="1"/>
        <v>386.19620087483349</v>
      </c>
      <c r="H67" s="52">
        <v>386.2076770442813</v>
      </c>
      <c r="I67" s="53">
        <v>386.21916221681448</v>
      </c>
      <c r="J67" s="53">
        <v>386.23065639243293</v>
      </c>
      <c r="K67" s="53">
        <v>386.24215957113677</v>
      </c>
      <c r="L67" s="53">
        <v>386.25367175292598</v>
      </c>
      <c r="M67" s="53">
        <v>386.26519293780058</v>
      </c>
      <c r="N67" s="53">
        <v>386.27672312576055</v>
      </c>
      <c r="O67" s="53">
        <v>386.28826231680574</v>
      </c>
      <c r="P67" s="53">
        <v>386.29981051093637</v>
      </c>
      <c r="Q67" s="53">
        <v>386.31136770815237</v>
      </c>
      <c r="R67" s="53">
        <v>386.33450911184036</v>
      </c>
      <c r="S67" s="53">
        <v>386.35768652786987</v>
      </c>
      <c r="T67" s="53">
        <v>386.40414939695313</v>
      </c>
      <c r="U67" s="53">
        <v>386.45075631540203</v>
      </c>
      <c r="V67" s="53">
        <v>386.49750728321663</v>
      </c>
      <c r="W67" s="53">
        <v>386.54440230039705</v>
      </c>
      <c r="X67" s="54">
        <v>386.59144136694312</v>
      </c>
      <c r="Y67" s="87">
        <v>3.1200077904872284E-2</v>
      </c>
      <c r="Z67" s="31"/>
    </row>
    <row r="68" spans="1:26" ht="15.75" thickBot="1" x14ac:dyDescent="0.3">
      <c r="A68" s="47"/>
      <c r="B68" s="6"/>
      <c r="C68" s="30"/>
      <c r="E68" s="248"/>
      <c r="F68" s="89">
        <v>544000</v>
      </c>
      <c r="G68" s="90">
        <v>420.18749507069845</v>
      </c>
      <c r="H68" s="90">
        <v>420.2009858962042</v>
      </c>
      <c r="I68" s="91">
        <v>420.2144865170668</v>
      </c>
      <c r="J68" s="91">
        <v>420.22799693328625</v>
      </c>
      <c r="K68" s="91">
        <v>420.24151714486266</v>
      </c>
      <c r="L68" s="91">
        <v>420.25504715179591</v>
      </c>
      <c r="M68" s="91">
        <v>420.26858695408595</v>
      </c>
      <c r="N68" s="91">
        <v>420.28213655173289</v>
      </c>
      <c r="O68" s="91">
        <v>420.29569594473674</v>
      </c>
      <c r="P68" s="91">
        <v>420.30926513309743</v>
      </c>
      <c r="Q68" s="91">
        <v>420.32284411681508</v>
      </c>
      <c r="R68" s="91">
        <v>420.3500314703208</v>
      </c>
      <c r="S68" s="91">
        <v>420.37725800525396</v>
      </c>
      <c r="T68" s="91">
        <v>420.43182861940289</v>
      </c>
      <c r="U68" s="91">
        <v>420.48655595926169</v>
      </c>
      <c r="V68" s="91">
        <v>420.54144002483031</v>
      </c>
      <c r="W68" s="91">
        <v>420.59648081610885</v>
      </c>
      <c r="X68" s="92">
        <v>420.65167833309738</v>
      </c>
      <c r="Y68" s="87">
        <v>4.6800116857308421E-2</v>
      </c>
      <c r="Z68" s="31"/>
    </row>
    <row r="69" spans="1:26" x14ac:dyDescent="0.25">
      <c r="A69" s="47"/>
      <c r="B69" s="6"/>
      <c r="C69" s="30"/>
      <c r="E69" s="248"/>
      <c r="F69" s="12">
        <v>1000000</v>
      </c>
      <c r="G69" s="52">
        <v>772.46090764602479</v>
      </c>
      <c r="H69" s="52">
        <v>772.49527763431331</v>
      </c>
      <c r="I69" s="53">
        <v>772.52966562877248</v>
      </c>
      <c r="J69" s="53">
        <v>772.56407162940241</v>
      </c>
      <c r="K69" s="53">
        <v>772.5984956362031</v>
      </c>
      <c r="L69" s="53">
        <v>772.63293764917444</v>
      </c>
      <c r="M69" s="53">
        <v>772.66739766831665</v>
      </c>
      <c r="N69" s="53">
        <v>772.70187569362929</v>
      </c>
      <c r="O69" s="53">
        <v>772.7363717251128</v>
      </c>
      <c r="P69" s="53">
        <v>772.77088576276697</v>
      </c>
      <c r="Q69" s="53">
        <v>772.805417806592</v>
      </c>
      <c r="R69" s="53">
        <v>772.87453591275391</v>
      </c>
      <c r="S69" s="53">
        <v>772.94372604359864</v>
      </c>
      <c r="T69" s="53">
        <v>773.08232237933703</v>
      </c>
      <c r="U69" s="53">
        <v>773.2212068138067</v>
      </c>
      <c r="V69" s="53">
        <v>773.36037934700778</v>
      </c>
      <c r="W69" s="53">
        <v>773.49983997894026</v>
      </c>
      <c r="X69" s="54">
        <v>773.63958870960425</v>
      </c>
      <c r="Y69" s="87">
        <v>9.3600233714616843E-2</v>
      </c>
      <c r="Z69" s="31"/>
    </row>
    <row r="70" spans="1:26" x14ac:dyDescent="0.25">
      <c r="A70" s="47"/>
      <c r="B70" s="6"/>
      <c r="C70" s="30"/>
      <c r="E70" s="248"/>
      <c r="F70" s="12">
        <v>1458717</v>
      </c>
      <c r="G70" s="52">
        <v>1126.833282637946</v>
      </c>
      <c r="H70" s="52">
        <v>1126.8886561940287</v>
      </c>
      <c r="I70" s="53">
        <v>1126.944056016019</v>
      </c>
      <c r="J70" s="53">
        <v>1126.9994821039161</v>
      </c>
      <c r="K70" s="53">
        <v>1127.0549344577209</v>
      </c>
      <c r="L70" s="53">
        <v>1127.1104130774331</v>
      </c>
      <c r="M70" s="53">
        <v>1127.1659179630526</v>
      </c>
      <c r="N70" s="53">
        <v>1127.2214491145794</v>
      </c>
      <c r="O70" s="53">
        <v>1127.2770065320135</v>
      </c>
      <c r="P70" s="53">
        <v>1127.3325902153549</v>
      </c>
      <c r="Q70" s="53">
        <v>1127.3882001646034</v>
      </c>
      <c r="R70" s="53">
        <v>1127.499498860823</v>
      </c>
      <c r="S70" s="53">
        <v>1127.6109026206721</v>
      </c>
      <c r="T70" s="53">
        <v>1127.8340253312572</v>
      </c>
      <c r="U70" s="53">
        <v>1128.0575682963602</v>
      </c>
      <c r="V70" s="53">
        <v>1128.2815315159799</v>
      </c>
      <c r="W70" s="53">
        <v>1128.5059149901169</v>
      </c>
      <c r="X70" s="54">
        <v>1128.7307187187712</v>
      </c>
      <c r="Y70" s="87">
        <v>0.15</v>
      </c>
      <c r="Z70" s="31"/>
    </row>
    <row r="71" spans="1:26" x14ac:dyDescent="0.25">
      <c r="B71" s="6"/>
      <c r="C71" s="31"/>
      <c r="E71" s="248"/>
      <c r="F71" s="12">
        <v>5000000</v>
      </c>
      <c r="G71" s="52">
        <v>3862.5785618155551</v>
      </c>
      <c r="H71" s="52">
        <v>3862.7960823545691</v>
      </c>
      <c r="I71" s="53">
        <v>3863.0136929244363</v>
      </c>
      <c r="J71" s="53">
        <v>3863.2313935251582</v>
      </c>
      <c r="K71" s="53">
        <v>3863.4491841567333</v>
      </c>
      <c r="L71" s="53">
        <v>3863.6670648191621</v>
      </c>
      <c r="M71" s="53">
        <v>3863.8850355124437</v>
      </c>
      <c r="N71" s="53">
        <v>3864.1030962365799</v>
      </c>
      <c r="O71" s="53">
        <v>3864.3212469915693</v>
      </c>
      <c r="P71" s="53">
        <v>3864.539487777412</v>
      </c>
      <c r="Q71" s="53">
        <v>3864.7578185941079</v>
      </c>
      <c r="R71" s="53">
        <v>3865.1947503200618</v>
      </c>
      <c r="S71" s="53">
        <v>3865.63204216943</v>
      </c>
      <c r="T71" s="53">
        <v>3866.507706238408</v>
      </c>
      <c r="U71" s="53">
        <v>3867.3848108010434</v>
      </c>
      <c r="V71" s="53">
        <v>3868.263355857337</v>
      </c>
      <c r="W71" s="53">
        <v>3869.1433414072862</v>
      </c>
      <c r="X71" s="54">
        <v>3870.0247674508937</v>
      </c>
      <c r="Y71" s="87">
        <v>0.2</v>
      </c>
      <c r="Z71" s="31"/>
    </row>
    <row r="72" spans="1:26" x14ac:dyDescent="0.25">
      <c r="B72" s="6"/>
      <c r="C72" s="6"/>
      <c r="D72" s="23"/>
      <c r="E72" s="248"/>
      <c r="F72" s="12">
        <v>10000000</v>
      </c>
      <c r="G72" s="52">
        <v>7725.2256295274674</v>
      </c>
      <c r="H72" s="52">
        <v>7725.6720882548898</v>
      </c>
      <c r="I72" s="53">
        <v>7726.1187270440178</v>
      </c>
      <c r="J72" s="53">
        <v>7726.5655458948531</v>
      </c>
      <c r="K72" s="53">
        <v>7727.0125448073959</v>
      </c>
      <c r="L72" s="53">
        <v>7727.4597237816461</v>
      </c>
      <c r="M72" s="53">
        <v>7727.9070828176045</v>
      </c>
      <c r="N72" s="53">
        <v>7728.3546219152695</v>
      </c>
      <c r="O72" s="53">
        <v>7728.8023410746409</v>
      </c>
      <c r="P72" s="53">
        <v>7729.250240295718</v>
      </c>
      <c r="Q72" s="53">
        <v>7729.6983195785042</v>
      </c>
      <c r="R72" s="53">
        <v>7730.595018329197</v>
      </c>
      <c r="S72" s="53">
        <v>7731.4924373267195</v>
      </c>
      <c r="T72" s="53">
        <v>7733.2894360622468</v>
      </c>
      <c r="U72" s="53">
        <v>7735.0893157850896</v>
      </c>
      <c r="V72" s="53">
        <v>7736.8920764952481</v>
      </c>
      <c r="W72" s="53">
        <v>7738.6977181927186</v>
      </c>
      <c r="X72" s="54">
        <v>7740.5062408775048</v>
      </c>
      <c r="Y72" s="87">
        <v>0.25</v>
      </c>
      <c r="Z72" s="31"/>
    </row>
    <row r="73" spans="1:26" ht="14.25" customHeight="1" x14ac:dyDescent="0.25">
      <c r="B73" s="6"/>
      <c r="C73" s="6"/>
      <c r="E73" s="248"/>
      <c r="F73" s="12">
        <v>15000000</v>
      </c>
      <c r="G73" s="52">
        <v>11587.87269723938</v>
      </c>
      <c r="H73" s="52">
        <v>11588.548094155209</v>
      </c>
      <c r="I73" s="53">
        <v>11589.223761163597</v>
      </c>
      <c r="J73" s="53">
        <v>11589.899698264548</v>
      </c>
      <c r="K73" s="53">
        <v>11590.575905458059</v>
      </c>
      <c r="L73" s="53">
        <v>11591.252382744131</v>
      </c>
      <c r="M73" s="53">
        <v>11591.929130122764</v>
      </c>
      <c r="N73" s="53">
        <v>11592.606147593957</v>
      </c>
      <c r="O73" s="53">
        <v>11593.283435157709</v>
      </c>
      <c r="P73" s="53">
        <v>11593.960992814023</v>
      </c>
      <c r="Q73" s="53">
        <v>11594.638820562899</v>
      </c>
      <c r="R73" s="53">
        <v>11595.995286338331</v>
      </c>
      <c r="S73" s="53">
        <v>11597.352832484008</v>
      </c>
      <c r="T73" s="53">
        <v>11600.071165886087</v>
      </c>
      <c r="U73" s="53">
        <v>11602.793820769135</v>
      </c>
      <c r="V73" s="53">
        <v>11605.520797133158</v>
      </c>
      <c r="W73" s="53">
        <v>11608.252094978154</v>
      </c>
      <c r="X73" s="54">
        <v>11610.987714304116</v>
      </c>
      <c r="Y73" s="87">
        <v>0.3</v>
      </c>
      <c r="Z73" s="31"/>
    </row>
    <row r="74" spans="1:26" x14ac:dyDescent="0.25">
      <c r="B74" s="6"/>
      <c r="C74" s="6"/>
      <c r="E74" s="248"/>
      <c r="F74" s="12">
        <v>20000000</v>
      </c>
      <c r="G74" s="52">
        <v>15450.519764951292</v>
      </c>
      <c r="H74" s="52">
        <v>15451.424100055528</v>
      </c>
      <c r="I74" s="52">
        <v>15452.328795283178</v>
      </c>
      <c r="J74" s="52">
        <v>15453.233850634244</v>
      </c>
      <c r="K74" s="52">
        <v>15454.139266108723</v>
      </c>
      <c r="L74" s="52">
        <v>15455.045041706615</v>
      </c>
      <c r="M74" s="52">
        <v>15455.951177427922</v>
      </c>
      <c r="N74" s="52">
        <v>15456.857673272645</v>
      </c>
      <c r="O74" s="52">
        <v>15457.764529240778</v>
      </c>
      <c r="P74" s="52">
        <v>15458.671745332329</v>
      </c>
      <c r="Q74" s="52">
        <v>15459.579321547295</v>
      </c>
      <c r="R74" s="52">
        <v>15461.395554347468</v>
      </c>
      <c r="S74" s="52">
        <v>15463.213227641298</v>
      </c>
      <c r="T74" s="52">
        <v>15466.852895709926</v>
      </c>
      <c r="U74" s="52">
        <v>15470.498325753184</v>
      </c>
      <c r="V74" s="52">
        <v>15474.149517771069</v>
      </c>
      <c r="W74" s="52">
        <v>15477.806471763586</v>
      </c>
      <c r="X74" s="55">
        <v>15481.469187730729</v>
      </c>
      <c r="Y74" s="87">
        <v>0.4</v>
      </c>
      <c r="Z74" s="31"/>
    </row>
    <row r="75" spans="1:26" x14ac:dyDescent="0.25">
      <c r="B75" s="6"/>
      <c r="C75" s="6"/>
      <c r="E75" s="248"/>
      <c r="F75" s="12">
        <v>32000000</v>
      </c>
      <c r="G75" s="52">
        <v>24720.872727459886</v>
      </c>
      <c r="H75" s="52">
        <v>24722.3265142163</v>
      </c>
      <c r="I75" s="52">
        <v>24723.780877170171</v>
      </c>
      <c r="J75" s="52">
        <v>24725.23581632151</v>
      </c>
      <c r="K75" s="52">
        <v>24726.691331670314</v>
      </c>
      <c r="L75" s="52">
        <v>24728.147423216578</v>
      </c>
      <c r="M75" s="52">
        <v>24729.604090960303</v>
      </c>
      <c r="N75" s="52">
        <v>24731.061334901497</v>
      </c>
      <c r="O75" s="52">
        <v>24732.519155040151</v>
      </c>
      <c r="P75" s="52">
        <v>24733.977551376265</v>
      </c>
      <c r="Q75" s="52">
        <v>24735.436523909848</v>
      </c>
      <c r="R75" s="52">
        <v>24738.356197569392</v>
      </c>
      <c r="S75" s="52">
        <v>24741.27817601879</v>
      </c>
      <c r="T75" s="52">
        <v>24747.129047287137</v>
      </c>
      <c r="U75" s="52">
        <v>24752.989137714892</v>
      </c>
      <c r="V75" s="52">
        <v>24758.858447302056</v>
      </c>
      <c r="W75" s="52">
        <v>24764.736976048625</v>
      </c>
      <c r="X75" s="55">
        <v>24542.129914580655</v>
      </c>
      <c r="Y75" s="87">
        <v>0.5</v>
      </c>
      <c r="Z75" s="31"/>
    </row>
    <row r="76" spans="1:26" x14ac:dyDescent="0.25">
      <c r="B76" s="6"/>
      <c r="C76" s="6"/>
      <c r="E76" s="248"/>
      <c r="F76" s="12">
        <v>50000000</v>
      </c>
      <c r="G76" s="56">
        <v>38626.402171222762</v>
      </c>
      <c r="H76" s="56">
        <v>38628.680135457442</v>
      </c>
      <c r="I76" s="56">
        <v>38630.959000000657</v>
      </c>
      <c r="J76" s="56">
        <v>38633.238764852409</v>
      </c>
      <c r="K76" s="56">
        <v>38635.519430012697</v>
      </c>
      <c r="L76" s="56">
        <v>38637.800995481513</v>
      </c>
      <c r="M76" s="56">
        <v>38640.083461258873</v>
      </c>
      <c r="N76" s="56">
        <v>38642.366827344769</v>
      </c>
      <c r="O76" s="56">
        <v>38644.651093739194</v>
      </c>
      <c r="P76" s="56">
        <v>38646.936260442162</v>
      </c>
      <c r="Q76" s="56">
        <v>38649.222327453659</v>
      </c>
      <c r="R76" s="56">
        <v>38653.797162402268</v>
      </c>
      <c r="S76" s="56">
        <v>38658.375598585029</v>
      </c>
      <c r="T76" s="56">
        <v>38667.543274652962</v>
      </c>
      <c r="U76" s="56">
        <v>35035.363107998746</v>
      </c>
      <c r="V76" s="56">
        <v>30663.182610741205</v>
      </c>
      <c r="W76" s="56">
        <v>27262.597779540905</v>
      </c>
      <c r="X76" s="57">
        <v>24542.129914580655</v>
      </c>
      <c r="Y76" s="87">
        <v>0.6</v>
      </c>
      <c r="Z76" s="31"/>
    </row>
    <row r="77" spans="1:26" x14ac:dyDescent="0.25">
      <c r="B77" s="6"/>
      <c r="C77" s="6"/>
      <c r="E77" s="248"/>
      <c r="F77" s="12">
        <v>75000000</v>
      </c>
      <c r="G77" s="56">
        <v>57939.637509782311</v>
      </c>
      <c r="H77" s="56">
        <v>57943.060164959046</v>
      </c>
      <c r="I77" s="56">
        <v>57946.48417059856</v>
      </c>
      <c r="J77" s="56">
        <v>57949.909526700882</v>
      </c>
      <c r="K77" s="56">
        <v>57953.336233266018</v>
      </c>
      <c r="L77" s="56">
        <v>57956.764290293941</v>
      </c>
      <c r="M77" s="56">
        <v>57960.193697784671</v>
      </c>
      <c r="N77" s="56">
        <v>57963.624455738209</v>
      </c>
      <c r="O77" s="56">
        <v>57967.056564154547</v>
      </c>
      <c r="P77" s="56">
        <v>57970.490023033686</v>
      </c>
      <c r="Q77" s="56">
        <v>57973.924832375633</v>
      </c>
      <c r="R77" s="56">
        <v>54467.276429143363</v>
      </c>
      <c r="S77" s="56">
        <v>49026.34069922287</v>
      </c>
      <c r="T77" s="56">
        <v>40864.937104342134</v>
      </c>
      <c r="U77" s="56">
        <v>35035.363107998746</v>
      </c>
      <c r="V77" s="56">
        <v>30663.182610741205</v>
      </c>
      <c r="W77" s="56">
        <v>27262.597779540905</v>
      </c>
      <c r="X77" s="57">
        <v>24542.129914580655</v>
      </c>
      <c r="Y77" s="87">
        <v>0.7</v>
      </c>
      <c r="Z77" s="31"/>
    </row>
    <row r="78" spans="1:26" x14ac:dyDescent="0.25">
      <c r="B78" s="6"/>
      <c r="C78" s="6"/>
      <c r="E78" s="248"/>
      <c r="F78" s="12">
        <v>100000000</v>
      </c>
      <c r="G78" s="56">
        <v>77252.872848341882</v>
      </c>
      <c r="H78" s="56">
        <v>77257.440194460636</v>
      </c>
      <c r="I78" s="56">
        <v>77262.009341196448</v>
      </c>
      <c r="J78" s="56">
        <v>77266.580288549347</v>
      </c>
      <c r="K78" s="56">
        <v>77271.153036519318</v>
      </c>
      <c r="L78" s="56">
        <v>77275.72758510636</v>
      </c>
      <c r="M78" s="56">
        <v>77280.303934310476</v>
      </c>
      <c r="N78" s="56">
        <v>75393.952313452945</v>
      </c>
      <c r="O78" s="56">
        <v>70012.807086059052</v>
      </c>
      <c r="P78" s="56">
        <v>65349.147888984349</v>
      </c>
      <c r="Q78" s="56">
        <v>61268.446091543978</v>
      </c>
      <c r="R78" s="56">
        <v>54467.276429143363</v>
      </c>
      <c r="S78" s="56">
        <v>49026.34069922287</v>
      </c>
      <c r="T78" s="56">
        <v>40864.937104342134</v>
      </c>
      <c r="U78" s="56">
        <v>35035.363107998746</v>
      </c>
      <c r="V78" s="56">
        <v>30663.182610741205</v>
      </c>
      <c r="W78" s="56">
        <v>27262.597779540905</v>
      </c>
      <c r="X78" s="57">
        <v>24542.129914580655</v>
      </c>
      <c r="Y78" s="87">
        <v>0.8</v>
      </c>
      <c r="Z78" s="31"/>
    </row>
    <row r="79" spans="1:26" x14ac:dyDescent="0.25">
      <c r="B79" s="6"/>
      <c r="C79" s="6"/>
      <c r="E79" s="248"/>
      <c r="F79" s="12">
        <v>150000000</v>
      </c>
      <c r="G79" s="56">
        <v>115879.34352546099</v>
      </c>
      <c r="H79" s="56">
        <v>115886.20025346382</v>
      </c>
      <c r="I79" s="56">
        <v>115893.05968239224</v>
      </c>
      <c r="J79" s="56">
        <v>108876.63372834829</v>
      </c>
      <c r="K79" s="56">
        <v>97994.762268507286</v>
      </c>
      <c r="L79" s="56">
        <v>89091.412892273773</v>
      </c>
      <c r="M79" s="56">
        <v>81671.955078745828</v>
      </c>
      <c r="N79" s="56">
        <v>75393.952313452945</v>
      </c>
      <c r="O79" s="56">
        <v>70012.807086059052</v>
      </c>
      <c r="P79" s="56">
        <v>65349.147888984349</v>
      </c>
      <c r="Q79" s="56">
        <v>61268.446091543978</v>
      </c>
      <c r="R79" s="56">
        <v>54467.276429143363</v>
      </c>
      <c r="S79" s="56">
        <v>49026.34069922287</v>
      </c>
      <c r="T79" s="56">
        <v>40864.937104342134</v>
      </c>
      <c r="U79" s="56">
        <v>35035.363107998746</v>
      </c>
      <c r="V79" s="56">
        <v>30663.182610741205</v>
      </c>
      <c r="W79" s="56">
        <v>27262.597779540905</v>
      </c>
      <c r="X79" s="57">
        <v>24542.129914580655</v>
      </c>
      <c r="Y79" s="87">
        <v>0.85</v>
      </c>
      <c r="Z79" s="31"/>
    </row>
    <row r="80" spans="1:26" x14ac:dyDescent="0.25">
      <c r="B80" s="6"/>
      <c r="C80" s="6"/>
      <c r="E80" s="248"/>
      <c r="F80" s="12">
        <v>175000000</v>
      </c>
      <c r="G80" s="56">
        <v>135192.57886402059</v>
      </c>
      <c r="H80" s="56">
        <v>135200.58028296544</v>
      </c>
      <c r="I80" s="56">
        <v>122478.97305314952</v>
      </c>
      <c r="J80" s="56">
        <v>108876.63372834829</v>
      </c>
      <c r="K80" s="56">
        <v>97994.762268507286</v>
      </c>
      <c r="L80" s="56">
        <v>89091.412892273773</v>
      </c>
      <c r="M80" s="56">
        <v>81671.955078745828</v>
      </c>
      <c r="N80" s="56">
        <v>75393.952313452945</v>
      </c>
      <c r="O80" s="56">
        <v>70012.807086059052</v>
      </c>
      <c r="P80" s="56">
        <v>65349.147888984349</v>
      </c>
      <c r="Q80" s="56">
        <v>61268.446091543978</v>
      </c>
      <c r="R80" s="56">
        <v>54467.276429143363</v>
      </c>
      <c r="S80" s="56">
        <v>49026.34069922287</v>
      </c>
      <c r="T80" s="56">
        <v>40864.937104342134</v>
      </c>
      <c r="U80" s="56">
        <v>35035.363107998746</v>
      </c>
      <c r="V80" s="56">
        <v>30663.182610741205</v>
      </c>
      <c r="W80" s="56">
        <v>27262.597779540905</v>
      </c>
      <c r="X80" s="57">
        <v>24542.129914580655</v>
      </c>
      <c r="Y80" s="87">
        <v>0.9</v>
      </c>
      <c r="Z80" s="31"/>
    </row>
    <row r="81" spans="1:26" x14ac:dyDescent="0.25">
      <c r="B81" s="17"/>
      <c r="C81" s="6"/>
      <c r="E81" s="248"/>
      <c r="F81" s="12">
        <v>185000000</v>
      </c>
      <c r="G81" s="56">
        <v>142917.8729994444</v>
      </c>
      <c r="H81" s="56">
        <v>139967.69504217964</v>
      </c>
      <c r="I81" s="56">
        <v>122478.97305314952</v>
      </c>
      <c r="J81" s="56">
        <v>108876.63372834829</v>
      </c>
      <c r="K81" s="56">
        <v>97994.762268507286</v>
      </c>
      <c r="L81" s="56">
        <v>89091.412892273773</v>
      </c>
      <c r="M81" s="56">
        <v>81671.955078745828</v>
      </c>
      <c r="N81" s="56">
        <v>75393.952313452945</v>
      </c>
      <c r="O81" s="56">
        <v>70012.807086059052</v>
      </c>
      <c r="P81" s="56">
        <v>65349.147888984349</v>
      </c>
      <c r="Q81" s="56">
        <v>61268.446091543978</v>
      </c>
      <c r="R81" s="56">
        <v>54467.276429143363</v>
      </c>
      <c r="S81" s="56">
        <v>49026.34069922287</v>
      </c>
      <c r="T81" s="56">
        <v>40864.937104342134</v>
      </c>
      <c r="U81" s="56">
        <v>35035.363107998746</v>
      </c>
      <c r="V81" s="56">
        <v>30663.182610741205</v>
      </c>
      <c r="W81" s="56">
        <v>27262.597779540905</v>
      </c>
      <c r="X81" s="57">
        <v>24542.129914580655</v>
      </c>
      <c r="Y81" s="88">
        <v>1</v>
      </c>
      <c r="Z81" s="31"/>
    </row>
    <row r="82" spans="1:26" x14ac:dyDescent="0.25">
      <c r="B82" s="6"/>
      <c r="C82" s="100"/>
      <c r="E82" s="248"/>
      <c r="F82" s="12">
        <v>195000000</v>
      </c>
      <c r="G82" s="56">
        <v>150643.16713486824</v>
      </c>
      <c r="H82" s="56">
        <v>139967.69504217964</v>
      </c>
      <c r="I82" s="56">
        <v>122478.97305314952</v>
      </c>
      <c r="J82" s="56">
        <v>108876.63372834829</v>
      </c>
      <c r="K82" s="56">
        <v>97994.762268507286</v>
      </c>
      <c r="L82" s="56">
        <v>89091.412892273773</v>
      </c>
      <c r="M82" s="56">
        <v>81671.955078745828</v>
      </c>
      <c r="N82" s="56">
        <v>75393.952313452945</v>
      </c>
      <c r="O82" s="56">
        <v>70012.807086059052</v>
      </c>
      <c r="P82" s="56">
        <v>65349.147888984349</v>
      </c>
      <c r="Q82" s="56">
        <v>61268.446091543978</v>
      </c>
      <c r="R82" s="56">
        <v>54467.276429143363</v>
      </c>
      <c r="S82" s="56">
        <v>49026.34069922287</v>
      </c>
      <c r="T82" s="56">
        <v>40864.937104342134</v>
      </c>
      <c r="U82" s="56">
        <v>35035.363107998746</v>
      </c>
      <c r="V82" s="56">
        <v>30663.182610741205</v>
      </c>
      <c r="W82" s="56">
        <v>27262.597779540905</v>
      </c>
      <c r="X82" s="57">
        <v>24542.129914580655</v>
      </c>
      <c r="Y82" s="6"/>
      <c r="Z82" s="31"/>
    </row>
    <row r="83" spans="1:26" x14ac:dyDescent="0.25">
      <c r="B83" s="6"/>
      <c r="C83" s="31"/>
      <c r="E83" s="249"/>
      <c r="F83" s="27">
        <v>220000000</v>
      </c>
      <c r="G83" s="58">
        <v>163285.99102755322</v>
      </c>
      <c r="H83" s="58">
        <v>139967.69504217964</v>
      </c>
      <c r="I83" s="58">
        <v>122478.97305314952</v>
      </c>
      <c r="J83" s="58">
        <v>108876.63372834829</v>
      </c>
      <c r="K83" s="58">
        <v>97994.762268507286</v>
      </c>
      <c r="L83" s="58">
        <v>89091.412892273773</v>
      </c>
      <c r="M83" s="58">
        <v>81671.955078745828</v>
      </c>
      <c r="N83" s="58">
        <v>75393.952313452945</v>
      </c>
      <c r="O83" s="58">
        <v>70012.807086059052</v>
      </c>
      <c r="P83" s="58">
        <v>65349.147888984349</v>
      </c>
      <c r="Q83" s="58">
        <v>61268.446091543978</v>
      </c>
      <c r="R83" s="58">
        <v>54467.276429143363</v>
      </c>
      <c r="S83" s="58">
        <v>49026.34069922287</v>
      </c>
      <c r="T83" s="58">
        <v>40864.937104342134</v>
      </c>
      <c r="U83" s="58">
        <v>35035.363107998746</v>
      </c>
      <c r="V83" s="58">
        <v>30663.182610741205</v>
      </c>
      <c r="W83" s="58">
        <v>27262.597779540905</v>
      </c>
      <c r="X83" s="59">
        <v>24542.129914580655</v>
      </c>
      <c r="Y83" s="6"/>
      <c r="Z83" s="31"/>
    </row>
    <row r="84" spans="1:26" s="146" customFormat="1" x14ac:dyDescent="0.25">
      <c r="A84" s="163"/>
      <c r="C84" s="164"/>
      <c r="Z84" s="147"/>
    </row>
    <row r="85" spans="1:26" s="146" customFormat="1" x14ac:dyDescent="0.25">
      <c r="C85" s="165"/>
      <c r="Z85" s="147"/>
    </row>
    <row r="86" spans="1:26" s="146" customFormat="1" x14ac:dyDescent="0.25">
      <c r="C86" s="165"/>
      <c r="E86" s="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25"/>
      <c r="T86" s="25"/>
      <c r="U86" s="8"/>
      <c r="V86" s="8"/>
      <c r="W86" s="8"/>
      <c r="X86" s="8"/>
      <c r="Z86" s="147"/>
    </row>
    <row r="87" spans="1:26" s="146" customFormat="1" x14ac:dyDescent="0.25">
      <c r="C87" s="166"/>
      <c r="Z87" s="147"/>
    </row>
    <row r="88" spans="1:26" s="146" customFormat="1" x14ac:dyDescent="0.25">
      <c r="C88" s="167"/>
      <c r="Z88" s="147"/>
    </row>
    <row r="89" spans="1:26" s="146" customFormat="1" x14ac:dyDescent="0.25">
      <c r="C89" s="167"/>
      <c r="Z89" s="147"/>
    </row>
    <row r="90" spans="1:26" s="146" customFormat="1" ht="6" customHeight="1" x14ac:dyDescent="0.25">
      <c r="Z90" s="147"/>
    </row>
    <row r="91" spans="1:26" s="146" customFormat="1" x14ac:dyDescent="0.25">
      <c r="C91" s="165"/>
      <c r="D91" s="168"/>
      <c r="Z91" s="147"/>
    </row>
    <row r="92" spans="1:26" s="146" customFormat="1" x14ac:dyDescent="0.25">
      <c r="Z92" s="147"/>
    </row>
    <row r="93" spans="1:26" s="146" customFormat="1" x14ac:dyDescent="0.25">
      <c r="C93" s="165"/>
      <c r="Z93" s="147"/>
    </row>
    <row r="94" spans="1:26" s="146" customFormat="1" x14ac:dyDescent="0.25">
      <c r="B94" s="169"/>
      <c r="C94" s="170"/>
      <c r="Z94" s="147"/>
    </row>
    <row r="95" spans="1:26" s="146" customFormat="1" x14ac:dyDescent="0.25">
      <c r="C95" s="147"/>
      <c r="Z95" s="147"/>
    </row>
    <row r="96" spans="1:26" s="146" customFormat="1" x14ac:dyDescent="0.25">
      <c r="C96" s="165"/>
      <c r="Z96" s="147"/>
    </row>
    <row r="97" spans="2:26" s="146" customFormat="1" x14ac:dyDescent="0.25">
      <c r="C97" s="165"/>
      <c r="Z97" s="147"/>
    </row>
    <row r="98" spans="2:26" s="146" customFormat="1" x14ac:dyDescent="0.25">
      <c r="C98" s="165"/>
      <c r="Z98" s="147"/>
    </row>
    <row r="99" spans="2:26" s="146" customFormat="1" x14ac:dyDescent="0.25">
      <c r="B99" s="7"/>
      <c r="C99" s="171"/>
      <c r="Z99" s="147"/>
    </row>
    <row r="100" spans="2:26" s="146" customFormat="1" x14ac:dyDescent="0.25">
      <c r="Z100" s="147"/>
    </row>
    <row r="101" spans="2:26" s="146" customFormat="1" x14ac:dyDescent="0.25">
      <c r="B101" s="7"/>
      <c r="C101" s="172"/>
      <c r="Z101" s="147"/>
    </row>
    <row r="102" spans="2:26" s="146" customFormat="1" x14ac:dyDescent="0.25">
      <c r="B102" s="173"/>
      <c r="C102" s="174"/>
      <c r="Z102" s="147"/>
    </row>
    <row r="103" spans="2:26" s="146" customFormat="1" x14ac:dyDescent="0.25">
      <c r="B103" s="175"/>
      <c r="C103" s="176"/>
      <c r="Z103" s="147"/>
    </row>
    <row r="104" spans="2:26" s="146" customFormat="1" x14ac:dyDescent="0.25">
      <c r="B104" s="175"/>
      <c r="C104" s="177"/>
      <c r="Z104" s="147"/>
    </row>
    <row r="105" spans="2:26" s="146" customFormat="1" x14ac:dyDescent="0.25">
      <c r="B105" s="173"/>
      <c r="C105" s="174"/>
      <c r="Z105" s="147"/>
    </row>
    <row r="106" spans="2:26" s="146" customFormat="1" x14ac:dyDescent="0.25">
      <c r="B106" s="173"/>
      <c r="C106" s="178"/>
      <c r="Z106" s="147"/>
    </row>
    <row r="107" spans="2:26" s="146" customFormat="1" x14ac:dyDescent="0.25">
      <c r="Z107" s="147"/>
    </row>
    <row r="108" spans="2:26" s="146" customFormat="1" x14ac:dyDescent="0.25">
      <c r="B108" s="173"/>
      <c r="C108" s="177"/>
      <c r="Z108" s="147"/>
    </row>
    <row r="109" spans="2:26" s="146" customFormat="1" x14ac:dyDescent="0.25">
      <c r="Z109" s="147"/>
    </row>
    <row r="110" spans="2:26" s="146" customFormat="1" x14ac:dyDescent="0.25">
      <c r="Z110" s="147"/>
    </row>
    <row r="111" spans="2:26" s="146" customFormat="1" x14ac:dyDescent="0.25">
      <c r="Z111" s="147"/>
    </row>
    <row r="112" spans="2:26" s="146" customFormat="1" x14ac:dyDescent="0.25">
      <c r="Z112" s="147"/>
    </row>
    <row r="113" spans="11:26" s="146" customFormat="1" x14ac:dyDescent="0.25">
      <c r="Z113" s="147"/>
    </row>
    <row r="114" spans="11:26" s="146" customFormat="1" x14ac:dyDescent="0.25">
      <c r="Z114" s="147"/>
    </row>
    <row r="115" spans="11:26" s="146" customFormat="1" x14ac:dyDescent="0.25">
      <c r="Z115" s="147"/>
    </row>
    <row r="116" spans="11:26" s="146" customFormat="1" x14ac:dyDescent="0.25">
      <c r="Z116" s="147"/>
    </row>
    <row r="117" spans="11:26" s="146" customFormat="1" x14ac:dyDescent="0.25">
      <c r="Z117" s="147"/>
    </row>
    <row r="118" spans="11:26" s="146" customFormat="1" x14ac:dyDescent="0.25">
      <c r="Z118" s="147"/>
    </row>
    <row r="119" spans="11:26" s="146" customFormat="1" x14ac:dyDescent="0.25">
      <c r="Z119" s="147"/>
    </row>
    <row r="120" spans="11:26" s="146" customFormat="1" x14ac:dyDescent="0.25">
      <c r="Z120" s="147"/>
    </row>
    <row r="121" spans="11:26" s="146" customFormat="1" x14ac:dyDescent="0.25">
      <c r="Z121" s="147"/>
    </row>
    <row r="122" spans="11:26" s="146" customFormat="1" x14ac:dyDescent="0.25">
      <c r="Z122" s="147"/>
    </row>
    <row r="123" spans="11:26" s="146" customFormat="1" x14ac:dyDescent="0.25">
      <c r="Z123" s="147"/>
    </row>
    <row r="124" spans="11:26" s="146" customFormat="1" x14ac:dyDescent="0.25">
      <c r="Z124" s="147"/>
    </row>
    <row r="125" spans="11:26" s="146" customFormat="1" x14ac:dyDescent="0.25">
      <c r="Z125" s="147"/>
    </row>
    <row r="126" spans="11:26" s="146" customFormat="1" x14ac:dyDescent="0.25">
      <c r="K126" s="148"/>
      <c r="Z126" s="147"/>
    </row>
    <row r="127" spans="11:26" s="146" customFormat="1" x14ac:dyDescent="0.25">
      <c r="Z127" s="147"/>
    </row>
    <row r="128" spans="11:26" s="146" customFormat="1" ht="15" customHeight="1" x14ac:dyDescent="0.25">
      <c r="Z128" s="147"/>
    </row>
    <row r="129" spans="5:26" s="146" customFormat="1" ht="15" customHeight="1" x14ac:dyDescent="0.25">
      <c r="Z129" s="147"/>
    </row>
    <row r="130" spans="5:26" s="146" customFormat="1" x14ac:dyDescent="0.25">
      <c r="Z130" s="147"/>
    </row>
    <row r="131" spans="5:26" s="146" customFormat="1" x14ac:dyDescent="0.25">
      <c r="Z131" s="147"/>
    </row>
    <row r="132" spans="5:26" s="146" customFormat="1" x14ac:dyDescent="0.25">
      <c r="Z132" s="147"/>
    </row>
    <row r="133" spans="5:26" s="146" customFormat="1" x14ac:dyDescent="0.25">
      <c r="Z133" s="147"/>
    </row>
    <row r="134" spans="5:26" s="146" customFormat="1" x14ac:dyDescent="0.25">
      <c r="Z134" s="147"/>
    </row>
    <row r="135" spans="5:26" s="146" customFormat="1" x14ac:dyDescent="0.25">
      <c r="Z135" s="147"/>
    </row>
    <row r="136" spans="5:26" s="146" customFormat="1" x14ac:dyDescent="0.25">
      <c r="Z136" s="147"/>
    </row>
    <row r="137" spans="5:26" s="146" customFormat="1" x14ac:dyDescent="0.25">
      <c r="Z137" s="147"/>
    </row>
    <row r="138" spans="5:26" s="146" customFormat="1" x14ac:dyDescent="0.25">
      <c r="Z138" s="147"/>
    </row>
    <row r="139" spans="5:26" s="109" customFormat="1" x14ac:dyDescent="0.25">
      <c r="Z139" s="108"/>
    </row>
    <row r="140" spans="5:26" s="109" customFormat="1" x14ac:dyDescent="0.25">
      <c r="E140" s="111"/>
      <c r="F140" s="108"/>
      <c r="Z140" s="108"/>
    </row>
    <row r="141" spans="5:26" s="109" customFormat="1" x14ac:dyDescent="0.25">
      <c r="E141" s="111"/>
      <c r="F141" s="154"/>
      <c r="G141" s="155"/>
      <c r="Z141" s="108"/>
    </row>
    <row r="142" spans="5:26" s="109" customFormat="1" x14ac:dyDescent="0.25">
      <c r="E142" s="111"/>
      <c r="F142" s="156"/>
      <c r="G142" s="155"/>
      <c r="Z142" s="108"/>
    </row>
    <row r="143" spans="5:26" s="109" customFormat="1" x14ac:dyDescent="0.25">
      <c r="E143" s="111"/>
      <c r="F143" s="157"/>
      <c r="G143" s="155"/>
      <c r="Z143" s="108"/>
    </row>
    <row r="144" spans="5:26" s="109" customFormat="1" x14ac:dyDescent="0.25">
      <c r="E144" s="111"/>
      <c r="F144" s="158"/>
      <c r="G144" s="180"/>
      <c r="H144" s="180"/>
      <c r="I144" s="180"/>
      <c r="J144" s="180"/>
      <c r="K144" s="180"/>
      <c r="L144" s="180"/>
      <c r="M144" s="180"/>
      <c r="N144" s="180"/>
      <c r="O144" s="180"/>
      <c r="P144" s="180"/>
      <c r="Q144" s="180"/>
      <c r="R144" s="180"/>
      <c r="S144" s="180"/>
      <c r="T144" s="180"/>
      <c r="U144" s="180"/>
      <c r="V144" s="180"/>
      <c r="W144" s="180"/>
      <c r="X144" s="180"/>
      <c r="Z144" s="108"/>
    </row>
    <row r="145" spans="5:26" s="109" customFormat="1" x14ac:dyDescent="0.25">
      <c r="E145" s="162"/>
      <c r="F145" s="179"/>
      <c r="G145" s="179"/>
      <c r="H145" s="179"/>
      <c r="I145" s="179"/>
      <c r="J145" s="179"/>
      <c r="K145" s="179"/>
      <c r="L145" s="179"/>
      <c r="M145" s="179"/>
      <c r="N145" s="179"/>
      <c r="O145" s="179"/>
      <c r="P145" s="179"/>
      <c r="Q145" s="179"/>
      <c r="R145" s="179"/>
      <c r="S145" s="179"/>
      <c r="T145" s="179"/>
      <c r="U145" s="179"/>
      <c r="V145" s="179"/>
      <c r="W145" s="179"/>
      <c r="X145" s="179"/>
      <c r="Z145" s="108"/>
    </row>
    <row r="146" spans="5:26" s="109" customFormat="1" x14ac:dyDescent="0.25">
      <c r="E146" s="162"/>
      <c r="F146" s="159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Z146" s="108"/>
    </row>
    <row r="147" spans="5:26" s="109" customFormat="1" x14ac:dyDescent="0.25">
      <c r="E147" s="162"/>
      <c r="F147" s="160"/>
      <c r="G147" s="149"/>
      <c r="H147" s="149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Z147" s="108"/>
    </row>
    <row r="148" spans="5:26" s="109" customFormat="1" x14ac:dyDescent="0.25">
      <c r="E148" s="162"/>
      <c r="F148" s="160"/>
      <c r="G148" s="149"/>
      <c r="H148" s="149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Z148" s="108"/>
    </row>
    <row r="149" spans="5:26" s="109" customFormat="1" x14ac:dyDescent="0.25">
      <c r="E149" s="162"/>
      <c r="F149" s="160"/>
      <c r="G149" s="149"/>
      <c r="H149" s="149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Z149" s="108"/>
    </row>
    <row r="150" spans="5:26" s="109" customFormat="1" x14ac:dyDescent="0.25">
      <c r="E150" s="162"/>
      <c r="F150" s="160"/>
      <c r="G150" s="149"/>
      <c r="H150" s="149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Z150" s="108"/>
    </row>
    <row r="151" spans="5:26" s="109" customFormat="1" x14ac:dyDescent="0.25">
      <c r="E151" s="162"/>
      <c r="F151" s="160"/>
      <c r="G151" s="149"/>
      <c r="H151" s="149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Z151" s="108"/>
    </row>
    <row r="152" spans="5:26" s="109" customFormat="1" x14ac:dyDescent="0.25">
      <c r="E152" s="162"/>
      <c r="F152" s="160"/>
      <c r="G152" s="149"/>
      <c r="H152" s="149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Z152" s="108"/>
    </row>
    <row r="153" spans="5:26" s="109" customFormat="1" x14ac:dyDescent="0.25">
      <c r="E153" s="162"/>
      <c r="F153" s="160"/>
      <c r="G153" s="149"/>
      <c r="H153" s="149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Z153" s="108"/>
    </row>
    <row r="154" spans="5:26" s="109" customFormat="1" x14ac:dyDescent="0.25">
      <c r="E154" s="162"/>
      <c r="F154" s="160"/>
      <c r="G154" s="149"/>
      <c r="H154" s="149"/>
      <c r="I154" s="149"/>
      <c r="J154" s="149"/>
      <c r="K154" s="149"/>
      <c r="L154" s="149"/>
      <c r="M154" s="149"/>
      <c r="N154" s="149"/>
      <c r="O154" s="149"/>
      <c r="P154" s="149"/>
      <c r="Q154" s="149"/>
      <c r="R154" s="149"/>
      <c r="S154" s="149"/>
      <c r="T154" s="149"/>
      <c r="U154" s="149"/>
      <c r="V154" s="149"/>
      <c r="W154" s="149"/>
      <c r="X154" s="149"/>
      <c r="Z154" s="108"/>
    </row>
    <row r="155" spans="5:26" s="109" customFormat="1" x14ac:dyDescent="0.25">
      <c r="E155" s="162"/>
      <c r="F155" s="160"/>
      <c r="G155" s="149"/>
      <c r="H155" s="149"/>
      <c r="I155" s="149"/>
      <c r="J155" s="149"/>
      <c r="K155" s="149"/>
      <c r="L155" s="149"/>
      <c r="M155" s="149"/>
      <c r="N155" s="149"/>
      <c r="O155" s="149"/>
      <c r="P155" s="149"/>
      <c r="Q155" s="149"/>
      <c r="R155" s="149"/>
      <c r="S155" s="149"/>
      <c r="T155" s="149"/>
      <c r="U155" s="149"/>
      <c r="V155" s="149"/>
      <c r="W155" s="149"/>
      <c r="X155" s="149"/>
      <c r="Z155" s="108"/>
    </row>
    <row r="156" spans="5:26" s="109" customFormat="1" x14ac:dyDescent="0.25">
      <c r="E156" s="162"/>
      <c r="F156" s="160"/>
      <c r="G156" s="151"/>
      <c r="H156" s="151"/>
      <c r="I156" s="151"/>
      <c r="J156" s="151"/>
      <c r="K156" s="151"/>
      <c r="L156" s="151"/>
      <c r="M156" s="151"/>
      <c r="N156" s="151"/>
      <c r="O156" s="151"/>
      <c r="P156" s="151"/>
      <c r="Q156" s="151"/>
      <c r="R156" s="151"/>
      <c r="S156" s="151"/>
      <c r="T156" s="151"/>
      <c r="U156" s="151"/>
      <c r="V156" s="151"/>
      <c r="W156" s="151"/>
      <c r="X156" s="151"/>
      <c r="Z156" s="108"/>
    </row>
    <row r="157" spans="5:26" s="109" customFormat="1" x14ac:dyDescent="0.25">
      <c r="E157" s="162"/>
      <c r="F157" s="160"/>
      <c r="G157" s="151"/>
      <c r="H157" s="151"/>
      <c r="I157" s="151"/>
      <c r="J157" s="151"/>
      <c r="K157" s="151"/>
      <c r="L157" s="151"/>
      <c r="M157" s="151"/>
      <c r="N157" s="151"/>
      <c r="O157" s="151"/>
      <c r="P157" s="151"/>
      <c r="Q157" s="151"/>
      <c r="R157" s="151"/>
      <c r="S157" s="151"/>
      <c r="T157" s="151"/>
      <c r="U157" s="151"/>
      <c r="V157" s="151"/>
      <c r="W157" s="151"/>
      <c r="X157" s="151"/>
      <c r="Z157" s="108"/>
    </row>
    <row r="158" spans="5:26" s="109" customFormat="1" x14ac:dyDescent="0.25">
      <c r="E158" s="162"/>
      <c r="F158" s="160"/>
      <c r="G158" s="151"/>
      <c r="H158" s="151"/>
      <c r="I158" s="151"/>
      <c r="J158" s="151"/>
      <c r="K158" s="151"/>
      <c r="L158" s="151"/>
      <c r="M158" s="151"/>
      <c r="N158" s="151"/>
      <c r="O158" s="151"/>
      <c r="P158" s="151"/>
      <c r="Q158" s="151"/>
      <c r="R158" s="151"/>
      <c r="S158" s="151"/>
      <c r="T158" s="151"/>
      <c r="U158" s="151"/>
      <c r="V158" s="151"/>
      <c r="W158" s="151"/>
      <c r="X158" s="151"/>
      <c r="Z158" s="108"/>
    </row>
    <row r="159" spans="5:26" s="109" customFormat="1" x14ac:dyDescent="0.25">
      <c r="E159" s="162"/>
      <c r="F159" s="160"/>
      <c r="G159" s="151"/>
      <c r="H159" s="151"/>
      <c r="I159" s="151"/>
      <c r="J159" s="151"/>
      <c r="K159" s="151"/>
      <c r="L159" s="151"/>
      <c r="M159" s="151"/>
      <c r="N159" s="151"/>
      <c r="O159" s="151"/>
      <c r="P159" s="151"/>
      <c r="Q159" s="151"/>
      <c r="R159" s="151"/>
      <c r="S159" s="151"/>
      <c r="T159" s="151"/>
      <c r="U159" s="151"/>
      <c r="V159" s="151"/>
      <c r="W159" s="151"/>
      <c r="X159" s="151"/>
      <c r="Z159" s="108"/>
    </row>
    <row r="160" spans="5:26" s="109" customFormat="1" x14ac:dyDescent="0.25">
      <c r="E160" s="162"/>
      <c r="F160" s="160"/>
      <c r="G160" s="151"/>
      <c r="H160" s="151"/>
      <c r="I160" s="151"/>
      <c r="J160" s="151"/>
      <c r="K160" s="151"/>
      <c r="L160" s="151"/>
      <c r="M160" s="151"/>
      <c r="N160" s="151"/>
      <c r="O160" s="151"/>
      <c r="P160" s="151"/>
      <c r="Q160" s="151"/>
      <c r="R160" s="151"/>
      <c r="S160" s="151"/>
      <c r="T160" s="151"/>
      <c r="U160" s="151"/>
      <c r="V160" s="151"/>
      <c r="W160" s="151"/>
      <c r="X160" s="151"/>
      <c r="Z160" s="108"/>
    </row>
    <row r="161" spans="5:26" s="109" customFormat="1" x14ac:dyDescent="0.25">
      <c r="E161" s="162"/>
      <c r="F161" s="160"/>
      <c r="G161" s="151"/>
      <c r="H161" s="151"/>
      <c r="I161" s="151"/>
      <c r="J161" s="151"/>
      <c r="K161" s="151"/>
      <c r="L161" s="151"/>
      <c r="M161" s="151"/>
      <c r="N161" s="151"/>
      <c r="O161" s="151"/>
      <c r="P161" s="151"/>
      <c r="Q161" s="151"/>
      <c r="R161" s="151"/>
      <c r="S161" s="151"/>
      <c r="T161" s="151"/>
      <c r="U161" s="151"/>
      <c r="V161" s="151"/>
      <c r="W161" s="151"/>
      <c r="X161" s="151"/>
      <c r="Z161" s="108"/>
    </row>
    <row r="162" spans="5:26" s="109" customFormat="1" x14ac:dyDescent="0.25">
      <c r="E162" s="162"/>
      <c r="F162" s="160"/>
      <c r="G162" s="151"/>
      <c r="H162" s="151"/>
      <c r="I162" s="151"/>
      <c r="J162" s="151"/>
      <c r="K162" s="151"/>
      <c r="L162" s="151"/>
      <c r="M162" s="151"/>
      <c r="N162" s="151"/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Z162" s="108"/>
    </row>
    <row r="163" spans="5:26" s="109" customFormat="1" x14ac:dyDescent="0.25">
      <c r="E163" s="162"/>
      <c r="F163" s="160"/>
      <c r="G163" s="151"/>
      <c r="H163" s="151"/>
      <c r="I163" s="151"/>
      <c r="J163" s="151"/>
      <c r="K163" s="151"/>
      <c r="L163" s="151"/>
      <c r="M163" s="151"/>
      <c r="N163" s="151"/>
      <c r="O163" s="151"/>
      <c r="P163" s="151"/>
      <c r="Q163" s="151"/>
      <c r="R163" s="151"/>
      <c r="S163" s="151"/>
      <c r="T163" s="151"/>
      <c r="U163" s="151"/>
      <c r="V163" s="151"/>
      <c r="W163" s="151"/>
      <c r="X163" s="151"/>
      <c r="Z163" s="108"/>
    </row>
    <row r="164" spans="5:26" s="109" customFormat="1" x14ac:dyDescent="0.25">
      <c r="Z164" s="108"/>
    </row>
    <row r="165" spans="5:26" s="109" customFormat="1" x14ac:dyDescent="0.25">
      <c r="Z165" s="108"/>
    </row>
    <row r="166" spans="5:26" s="109" customFormat="1" x14ac:dyDescent="0.25">
      <c r="F166" s="108"/>
      <c r="Z166" s="108"/>
    </row>
    <row r="167" spans="5:26" s="109" customFormat="1" x14ac:dyDescent="0.25">
      <c r="E167" s="111"/>
      <c r="F167" s="154"/>
      <c r="G167" s="155"/>
      <c r="Z167" s="108"/>
    </row>
    <row r="168" spans="5:26" s="109" customFormat="1" x14ac:dyDescent="0.25">
      <c r="E168" s="111"/>
      <c r="F168" s="156"/>
      <c r="G168" s="155"/>
      <c r="Z168" s="108"/>
    </row>
    <row r="169" spans="5:26" s="109" customFormat="1" x14ac:dyDescent="0.25">
      <c r="E169" s="111"/>
      <c r="F169" s="157"/>
      <c r="G169" s="155"/>
      <c r="Z169" s="108"/>
    </row>
    <row r="170" spans="5:26" s="109" customFormat="1" x14ac:dyDescent="0.25">
      <c r="E170" s="111"/>
      <c r="F170" s="161"/>
      <c r="G170" s="180"/>
      <c r="H170" s="180"/>
      <c r="I170" s="180"/>
      <c r="J170" s="180"/>
      <c r="K170" s="180"/>
      <c r="L170" s="180"/>
      <c r="M170" s="180"/>
      <c r="N170" s="180"/>
      <c r="O170" s="180"/>
      <c r="P170" s="180"/>
      <c r="Q170" s="180"/>
      <c r="R170" s="180"/>
      <c r="S170" s="180"/>
      <c r="T170" s="180"/>
      <c r="U170" s="180"/>
      <c r="V170" s="180"/>
      <c r="W170" s="180"/>
      <c r="X170" s="180"/>
      <c r="Z170" s="108"/>
    </row>
    <row r="171" spans="5:26" s="109" customFormat="1" x14ac:dyDescent="0.25">
      <c r="E171" s="162"/>
      <c r="F171" s="179"/>
      <c r="G171" s="179"/>
      <c r="H171" s="179"/>
      <c r="I171" s="179"/>
      <c r="J171" s="179"/>
      <c r="K171" s="179"/>
      <c r="L171" s="179"/>
      <c r="M171" s="179"/>
      <c r="N171" s="179"/>
      <c r="O171" s="179"/>
      <c r="P171" s="179"/>
      <c r="Q171" s="179"/>
      <c r="R171" s="179"/>
      <c r="S171" s="179"/>
      <c r="T171" s="179"/>
      <c r="U171" s="179"/>
      <c r="V171" s="179"/>
      <c r="W171" s="179"/>
      <c r="X171" s="179"/>
      <c r="Z171" s="108"/>
    </row>
    <row r="172" spans="5:26" s="109" customFormat="1" x14ac:dyDescent="0.25">
      <c r="E172" s="162"/>
      <c r="F172" s="159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Z172" s="108"/>
    </row>
    <row r="173" spans="5:26" s="109" customFormat="1" x14ac:dyDescent="0.25">
      <c r="E173" s="162"/>
      <c r="F173" s="160"/>
      <c r="G173" s="149"/>
      <c r="H173" s="152"/>
      <c r="I173" s="152"/>
      <c r="J173" s="152"/>
      <c r="K173" s="152"/>
      <c r="L173" s="152"/>
      <c r="M173" s="152"/>
      <c r="N173" s="152"/>
      <c r="O173" s="152"/>
      <c r="P173" s="152"/>
      <c r="Q173" s="152"/>
      <c r="R173" s="153"/>
      <c r="S173" s="153"/>
      <c r="T173" s="153"/>
      <c r="U173" s="153"/>
      <c r="V173" s="153"/>
      <c r="W173" s="153"/>
      <c r="X173" s="153"/>
      <c r="Z173" s="108"/>
    </row>
    <row r="174" spans="5:26" s="109" customFormat="1" x14ac:dyDescent="0.25">
      <c r="E174" s="162"/>
      <c r="F174" s="160"/>
      <c r="G174" s="149"/>
      <c r="H174" s="151"/>
      <c r="I174" s="153"/>
      <c r="J174" s="152"/>
      <c r="K174" s="152"/>
      <c r="L174" s="152"/>
      <c r="M174" s="152"/>
      <c r="N174" s="152"/>
      <c r="O174" s="152"/>
      <c r="P174" s="152"/>
      <c r="Q174" s="152"/>
      <c r="R174" s="153"/>
      <c r="S174" s="153"/>
      <c r="T174" s="153"/>
      <c r="U174" s="153"/>
      <c r="V174" s="153"/>
      <c r="W174" s="153"/>
      <c r="X174" s="153"/>
      <c r="Z174" s="108"/>
    </row>
    <row r="175" spans="5:26" s="109" customFormat="1" x14ac:dyDescent="0.25">
      <c r="E175" s="162"/>
      <c r="F175" s="160"/>
      <c r="G175" s="149"/>
      <c r="H175" s="151"/>
      <c r="I175" s="150"/>
      <c r="J175" s="153"/>
      <c r="K175" s="152"/>
      <c r="L175" s="152"/>
      <c r="M175" s="152"/>
      <c r="N175" s="152"/>
      <c r="O175" s="152"/>
      <c r="P175" s="152"/>
      <c r="Q175" s="152"/>
      <c r="R175" s="153"/>
      <c r="S175" s="153"/>
      <c r="T175" s="153"/>
      <c r="U175" s="153"/>
      <c r="V175" s="153"/>
      <c r="W175" s="153"/>
      <c r="X175" s="153"/>
      <c r="Z175" s="108"/>
    </row>
    <row r="176" spans="5:26" s="109" customFormat="1" x14ac:dyDescent="0.25">
      <c r="E176" s="162"/>
      <c r="F176" s="160"/>
      <c r="G176" s="149"/>
      <c r="H176" s="151"/>
      <c r="I176" s="150"/>
      <c r="J176" s="150"/>
      <c r="K176" s="153"/>
      <c r="L176" s="152"/>
      <c r="M176" s="152"/>
      <c r="N176" s="152"/>
      <c r="O176" s="152"/>
      <c r="P176" s="152"/>
      <c r="Q176" s="152"/>
      <c r="R176" s="153"/>
      <c r="S176" s="153"/>
      <c r="T176" s="153"/>
      <c r="U176" s="153"/>
      <c r="V176" s="153"/>
      <c r="W176" s="153"/>
      <c r="X176" s="153"/>
      <c r="Z176" s="108"/>
    </row>
    <row r="177" spans="5:26" s="109" customFormat="1" x14ac:dyDescent="0.25">
      <c r="E177" s="162"/>
      <c r="F177" s="160"/>
      <c r="G177" s="149"/>
      <c r="H177" s="151"/>
      <c r="I177" s="150"/>
      <c r="J177" s="150"/>
      <c r="K177" s="150"/>
      <c r="L177" s="153"/>
      <c r="M177" s="152"/>
      <c r="N177" s="152"/>
      <c r="O177" s="152"/>
      <c r="P177" s="152"/>
      <c r="Q177" s="152"/>
      <c r="R177" s="153"/>
      <c r="S177" s="153"/>
      <c r="T177" s="153"/>
      <c r="U177" s="153"/>
      <c r="V177" s="153"/>
      <c r="W177" s="153"/>
      <c r="X177" s="153"/>
      <c r="Z177" s="108"/>
    </row>
    <row r="178" spans="5:26" s="109" customFormat="1" x14ac:dyDescent="0.25">
      <c r="E178" s="162"/>
      <c r="F178" s="160"/>
      <c r="G178" s="149"/>
      <c r="H178" s="151"/>
      <c r="I178" s="150"/>
      <c r="J178" s="150"/>
      <c r="K178" s="150"/>
      <c r="L178" s="150"/>
      <c r="M178" s="153"/>
      <c r="N178" s="152"/>
      <c r="O178" s="152"/>
      <c r="P178" s="152"/>
      <c r="Q178" s="152"/>
      <c r="R178" s="153"/>
      <c r="S178" s="153"/>
      <c r="T178" s="153"/>
      <c r="U178" s="153"/>
      <c r="V178" s="153"/>
      <c r="W178" s="153"/>
      <c r="X178" s="153"/>
      <c r="Z178" s="108"/>
    </row>
    <row r="179" spans="5:26" s="109" customFormat="1" x14ac:dyDescent="0.25">
      <c r="E179" s="162"/>
      <c r="F179" s="160"/>
      <c r="G179" s="149"/>
      <c r="H179" s="151"/>
      <c r="I179" s="150"/>
      <c r="J179" s="150"/>
      <c r="K179" s="150"/>
      <c r="L179" s="150"/>
      <c r="M179" s="150"/>
      <c r="N179" s="153"/>
      <c r="O179" s="152"/>
      <c r="P179" s="152"/>
      <c r="Q179" s="152"/>
      <c r="R179" s="153"/>
      <c r="S179" s="153"/>
      <c r="T179" s="153"/>
      <c r="U179" s="153"/>
      <c r="V179" s="153"/>
      <c r="W179" s="153"/>
      <c r="X179" s="153"/>
      <c r="Z179" s="108"/>
    </row>
    <row r="180" spans="5:26" s="109" customFormat="1" x14ac:dyDescent="0.25">
      <c r="E180" s="162"/>
      <c r="F180" s="160"/>
      <c r="G180" s="149"/>
      <c r="H180" s="151"/>
      <c r="I180" s="149"/>
      <c r="J180" s="149"/>
      <c r="K180" s="149"/>
      <c r="L180" s="149"/>
      <c r="M180" s="149"/>
      <c r="N180" s="149"/>
      <c r="O180" s="152"/>
      <c r="P180" s="152"/>
      <c r="Q180" s="152"/>
      <c r="R180" s="152"/>
      <c r="S180" s="152"/>
      <c r="T180" s="152"/>
      <c r="U180" s="152"/>
      <c r="V180" s="152"/>
      <c r="W180" s="152"/>
      <c r="X180" s="152"/>
      <c r="Z180" s="108"/>
    </row>
    <row r="181" spans="5:26" s="109" customFormat="1" x14ac:dyDescent="0.25">
      <c r="E181" s="162"/>
      <c r="F181" s="160"/>
      <c r="G181" s="149"/>
      <c r="H181" s="151"/>
      <c r="I181" s="149"/>
      <c r="J181" s="149"/>
      <c r="K181" s="149"/>
      <c r="L181" s="149"/>
      <c r="M181" s="149"/>
      <c r="N181" s="149"/>
      <c r="O181" s="149"/>
      <c r="P181" s="152"/>
      <c r="Q181" s="152"/>
      <c r="R181" s="152"/>
      <c r="S181" s="152"/>
      <c r="T181" s="152"/>
      <c r="U181" s="152"/>
      <c r="V181" s="152"/>
      <c r="W181" s="152"/>
      <c r="X181" s="152"/>
      <c r="Z181" s="108"/>
    </row>
    <row r="182" spans="5:26" s="109" customFormat="1" x14ac:dyDescent="0.25">
      <c r="E182" s="162"/>
      <c r="F182" s="160"/>
      <c r="G182" s="151"/>
      <c r="H182" s="151"/>
      <c r="I182" s="151"/>
      <c r="J182" s="151"/>
      <c r="K182" s="151"/>
      <c r="L182" s="151"/>
      <c r="M182" s="151"/>
      <c r="N182" s="151"/>
      <c r="O182" s="151"/>
      <c r="P182" s="151"/>
      <c r="Q182" s="152"/>
      <c r="R182" s="152"/>
      <c r="S182" s="152"/>
      <c r="T182" s="152"/>
      <c r="U182" s="152"/>
      <c r="V182" s="152"/>
      <c r="W182" s="152"/>
      <c r="X182" s="152"/>
      <c r="Z182" s="108"/>
    </row>
    <row r="183" spans="5:26" s="109" customFormat="1" x14ac:dyDescent="0.25">
      <c r="E183" s="162"/>
      <c r="F183" s="160"/>
      <c r="G183" s="151"/>
      <c r="H183" s="151"/>
      <c r="I183" s="151"/>
      <c r="J183" s="151"/>
      <c r="K183" s="151"/>
      <c r="L183" s="151"/>
      <c r="M183" s="151"/>
      <c r="N183" s="151"/>
      <c r="O183" s="151"/>
      <c r="P183" s="151"/>
      <c r="Q183" s="151"/>
      <c r="R183" s="152"/>
      <c r="S183" s="152"/>
      <c r="T183" s="152"/>
      <c r="U183" s="152"/>
      <c r="V183" s="152"/>
      <c r="W183" s="152"/>
      <c r="X183" s="152"/>
      <c r="Z183" s="108"/>
    </row>
    <row r="184" spans="5:26" s="109" customFormat="1" x14ac:dyDescent="0.25">
      <c r="E184" s="162"/>
      <c r="F184" s="160"/>
      <c r="G184" s="151"/>
      <c r="H184" s="151"/>
      <c r="I184" s="151"/>
      <c r="J184" s="151"/>
      <c r="K184" s="151"/>
      <c r="L184" s="151"/>
      <c r="M184" s="151"/>
      <c r="N184" s="151"/>
      <c r="O184" s="151"/>
      <c r="P184" s="151"/>
      <c r="Q184" s="151"/>
      <c r="R184" s="151"/>
      <c r="S184" s="152"/>
      <c r="T184" s="152"/>
      <c r="U184" s="152"/>
      <c r="V184" s="152"/>
      <c r="W184" s="152"/>
      <c r="X184" s="152"/>
      <c r="Z184" s="108"/>
    </row>
    <row r="185" spans="5:26" s="109" customFormat="1" x14ac:dyDescent="0.25">
      <c r="E185" s="162"/>
      <c r="F185" s="160"/>
      <c r="G185" s="151"/>
      <c r="H185" s="151"/>
      <c r="I185" s="151"/>
      <c r="J185" s="151"/>
      <c r="K185" s="151"/>
      <c r="L185" s="151"/>
      <c r="M185" s="151"/>
      <c r="N185" s="151"/>
      <c r="O185" s="151"/>
      <c r="P185" s="151"/>
      <c r="Q185" s="151"/>
      <c r="R185" s="151"/>
      <c r="S185" s="151"/>
      <c r="T185" s="152"/>
      <c r="U185" s="152"/>
      <c r="V185" s="152"/>
      <c r="W185" s="152"/>
      <c r="X185" s="152"/>
      <c r="Z185" s="108"/>
    </row>
    <row r="186" spans="5:26" s="109" customFormat="1" x14ac:dyDescent="0.25">
      <c r="E186" s="162"/>
      <c r="F186" s="160"/>
      <c r="G186" s="151"/>
      <c r="H186" s="151"/>
      <c r="I186" s="151"/>
      <c r="J186" s="151"/>
      <c r="K186" s="151"/>
      <c r="L186" s="151"/>
      <c r="M186" s="151"/>
      <c r="N186" s="151"/>
      <c r="O186" s="151"/>
      <c r="P186" s="151"/>
      <c r="Q186" s="151"/>
      <c r="R186" s="151"/>
      <c r="S186" s="151"/>
      <c r="T186" s="151"/>
      <c r="U186" s="152"/>
      <c r="V186" s="152"/>
      <c r="W186" s="152"/>
      <c r="X186" s="152"/>
      <c r="Z186" s="108"/>
    </row>
    <row r="187" spans="5:26" s="109" customFormat="1" x14ac:dyDescent="0.25">
      <c r="E187" s="162"/>
      <c r="F187" s="160"/>
      <c r="G187" s="151"/>
      <c r="H187" s="151"/>
      <c r="I187" s="151"/>
      <c r="J187" s="151"/>
      <c r="K187" s="151"/>
      <c r="L187" s="151"/>
      <c r="M187" s="151"/>
      <c r="N187" s="151"/>
      <c r="O187" s="151"/>
      <c r="P187" s="151"/>
      <c r="Q187" s="151"/>
      <c r="R187" s="151"/>
      <c r="S187" s="151"/>
      <c r="T187" s="151"/>
      <c r="U187" s="151"/>
      <c r="V187" s="152"/>
      <c r="W187" s="152"/>
      <c r="X187" s="152"/>
      <c r="Z187" s="108"/>
    </row>
    <row r="188" spans="5:26" s="109" customFormat="1" x14ac:dyDescent="0.25">
      <c r="E188" s="162"/>
      <c r="F188" s="160"/>
      <c r="G188" s="151"/>
      <c r="H188" s="151"/>
      <c r="I188" s="151"/>
      <c r="J188" s="151"/>
      <c r="K188" s="151"/>
      <c r="L188" s="151"/>
      <c r="M188" s="151"/>
      <c r="N188" s="151"/>
      <c r="O188" s="151"/>
      <c r="P188" s="151"/>
      <c r="Q188" s="151"/>
      <c r="R188" s="151"/>
      <c r="S188" s="151"/>
      <c r="T188" s="151"/>
      <c r="U188" s="151"/>
      <c r="V188" s="151"/>
      <c r="W188" s="152"/>
      <c r="X188" s="152"/>
      <c r="Z188" s="108"/>
    </row>
    <row r="189" spans="5:26" s="109" customFormat="1" x14ac:dyDescent="0.25">
      <c r="E189" s="162"/>
      <c r="F189" s="160"/>
      <c r="G189" s="151"/>
      <c r="H189" s="151"/>
      <c r="I189" s="151"/>
      <c r="J189" s="151"/>
      <c r="K189" s="151"/>
      <c r="L189" s="151"/>
      <c r="M189" s="151"/>
      <c r="N189" s="151"/>
      <c r="O189" s="151"/>
      <c r="P189" s="151"/>
      <c r="Q189" s="151"/>
      <c r="R189" s="151"/>
      <c r="S189" s="151"/>
      <c r="T189" s="151"/>
      <c r="U189" s="151"/>
      <c r="V189" s="151"/>
      <c r="W189" s="151"/>
      <c r="X189" s="152"/>
      <c r="Z189" s="108"/>
    </row>
    <row r="190" spans="5:26" s="109" customFormat="1" x14ac:dyDescent="0.25">
      <c r="E190" s="162"/>
      <c r="F190" s="160"/>
      <c r="G190" s="151"/>
      <c r="H190" s="151"/>
      <c r="I190" s="151"/>
      <c r="J190" s="151"/>
      <c r="K190" s="151"/>
      <c r="L190" s="151"/>
      <c r="M190" s="151"/>
      <c r="N190" s="151"/>
      <c r="O190" s="151"/>
      <c r="P190" s="151"/>
      <c r="Q190" s="151"/>
      <c r="R190" s="151"/>
      <c r="S190" s="151"/>
      <c r="T190" s="151"/>
      <c r="U190" s="151"/>
      <c r="V190" s="151"/>
      <c r="W190" s="151"/>
      <c r="X190" s="151"/>
      <c r="Z190" s="108"/>
    </row>
    <row r="191" spans="5:26" s="109" customFormat="1" x14ac:dyDescent="0.25">
      <c r="Z191" s="108"/>
    </row>
    <row r="192" spans="5:26" s="109" customFormat="1" x14ac:dyDescent="0.25">
      <c r="Z192" s="108"/>
    </row>
    <row r="193" spans="26:26" s="109" customFormat="1" x14ac:dyDescent="0.25">
      <c r="Z193" s="108"/>
    </row>
    <row r="194" spans="26:26" s="109" customFormat="1" x14ac:dyDescent="0.25">
      <c r="Z194" s="108"/>
    </row>
    <row r="195" spans="26:26" s="109" customFormat="1" x14ac:dyDescent="0.25">
      <c r="Z195" s="108"/>
    </row>
    <row r="196" spans="26:26" s="109" customFormat="1" x14ac:dyDescent="0.25">
      <c r="Z196" s="108"/>
    </row>
    <row r="197" spans="26:26" s="109" customFormat="1" x14ac:dyDescent="0.25">
      <c r="Z197" s="108"/>
    </row>
    <row r="198" spans="26:26" s="109" customFormat="1" x14ac:dyDescent="0.25">
      <c r="Z198" s="108"/>
    </row>
    <row r="199" spans="26:26" s="109" customFormat="1" x14ac:dyDescent="0.25">
      <c r="Z199" s="108"/>
    </row>
    <row r="200" spans="26:26" s="109" customFormat="1" x14ac:dyDescent="0.25">
      <c r="Z200" s="108"/>
    </row>
    <row r="201" spans="26:26" s="109" customFormat="1" x14ac:dyDescent="0.25">
      <c r="Z201" s="108"/>
    </row>
    <row r="202" spans="26:26" s="109" customFormat="1" x14ac:dyDescent="0.25">
      <c r="Z202" s="108"/>
    </row>
    <row r="203" spans="26:26" s="109" customFormat="1" x14ac:dyDescent="0.25">
      <c r="Z203" s="108"/>
    </row>
    <row r="204" spans="26:26" s="109" customFormat="1" x14ac:dyDescent="0.25">
      <c r="Z204" s="108"/>
    </row>
    <row r="205" spans="26:26" s="109" customFormat="1" x14ac:dyDescent="0.25">
      <c r="Z205" s="108"/>
    </row>
    <row r="206" spans="26:26" s="109" customFormat="1" x14ac:dyDescent="0.25">
      <c r="Z206" s="108"/>
    </row>
    <row r="207" spans="26:26" s="109" customFormat="1" x14ac:dyDescent="0.25">
      <c r="Z207" s="108"/>
    </row>
    <row r="208" spans="26:26" s="109" customFormat="1" x14ac:dyDescent="0.25">
      <c r="Z208" s="108"/>
    </row>
    <row r="209" spans="26:26" s="109" customFormat="1" x14ac:dyDescent="0.25">
      <c r="Z209" s="108"/>
    </row>
    <row r="210" spans="26:26" s="109" customFormat="1" x14ac:dyDescent="0.25">
      <c r="Z210" s="108"/>
    </row>
    <row r="211" spans="26:26" s="109" customFormat="1" x14ac:dyDescent="0.25">
      <c r="Z211" s="108"/>
    </row>
    <row r="212" spans="26:26" s="109" customFormat="1" x14ac:dyDescent="0.25">
      <c r="Z212" s="108"/>
    </row>
    <row r="213" spans="26:26" s="109" customFormat="1" x14ac:dyDescent="0.25">
      <c r="Z213" s="108"/>
    </row>
    <row r="214" spans="26:26" s="109" customFormat="1" x14ac:dyDescent="0.25">
      <c r="Z214" s="108"/>
    </row>
    <row r="215" spans="26:26" s="109" customFormat="1" x14ac:dyDescent="0.25">
      <c r="Z215" s="108"/>
    </row>
    <row r="216" spans="26:26" s="109" customFormat="1" x14ac:dyDescent="0.25">
      <c r="Z216" s="108"/>
    </row>
    <row r="217" spans="26:26" s="109" customFormat="1" x14ac:dyDescent="0.25">
      <c r="Z217" s="108"/>
    </row>
    <row r="218" spans="26:26" s="109" customFormat="1" x14ac:dyDescent="0.25">
      <c r="Z218" s="108"/>
    </row>
    <row r="219" spans="26:26" s="109" customFormat="1" x14ac:dyDescent="0.25">
      <c r="Z219" s="108"/>
    </row>
    <row r="220" spans="26:26" s="109" customFormat="1" x14ac:dyDescent="0.25">
      <c r="Z220" s="108"/>
    </row>
    <row r="221" spans="26:26" s="109" customFormat="1" x14ac:dyDescent="0.25">
      <c r="Z221" s="108"/>
    </row>
    <row r="222" spans="26:26" s="109" customFormat="1" x14ac:dyDescent="0.25">
      <c r="Z222" s="108"/>
    </row>
    <row r="223" spans="26:26" s="109" customFormat="1" x14ac:dyDescent="0.25">
      <c r="Z223" s="108"/>
    </row>
    <row r="224" spans="26:26" s="109" customFormat="1" x14ac:dyDescent="0.25">
      <c r="Z224" s="108"/>
    </row>
    <row r="225" spans="26:26" s="109" customFormat="1" x14ac:dyDescent="0.25">
      <c r="Z225" s="108"/>
    </row>
    <row r="226" spans="26:26" s="109" customFormat="1" x14ac:dyDescent="0.25">
      <c r="Z226" s="108"/>
    </row>
    <row r="227" spans="26:26" s="109" customFormat="1" x14ac:dyDescent="0.25">
      <c r="Z227" s="108"/>
    </row>
    <row r="228" spans="26:26" s="109" customFormat="1" x14ac:dyDescent="0.25">
      <c r="Z228" s="108"/>
    </row>
    <row r="229" spans="26:26" s="109" customFormat="1" x14ac:dyDescent="0.25">
      <c r="Z229" s="108"/>
    </row>
    <row r="230" spans="26:26" s="109" customFormat="1" x14ac:dyDescent="0.25">
      <c r="Z230" s="108"/>
    </row>
    <row r="231" spans="26:26" s="109" customFormat="1" x14ac:dyDescent="0.25">
      <c r="Z231" s="108"/>
    </row>
    <row r="232" spans="26:26" s="109" customFormat="1" x14ac:dyDescent="0.25">
      <c r="Z232" s="108"/>
    </row>
    <row r="233" spans="26:26" s="109" customFormat="1" x14ac:dyDescent="0.25">
      <c r="Z233" s="108"/>
    </row>
    <row r="234" spans="26:26" s="109" customFormat="1" x14ac:dyDescent="0.25">
      <c r="Z234" s="108"/>
    </row>
  </sheetData>
  <mergeCells count="8">
    <mergeCell ref="E65:E83"/>
    <mergeCell ref="F65:X65"/>
    <mergeCell ref="G64:X64"/>
    <mergeCell ref="E6:E24"/>
    <mergeCell ref="F6:X6"/>
    <mergeCell ref="G38:X38"/>
    <mergeCell ref="E39:E57"/>
    <mergeCell ref="F39:X39"/>
  </mergeCells>
  <phoneticPr fontId="9" type="noConversion"/>
  <conditionalFormatting sqref="AB7:AC23">
    <cfRule type="dataBar" priority="19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{D2B1A6F3-1F29-41DD-9BC5-AD1B39F5EE36}</x14:id>
        </ext>
      </extLst>
    </cfRule>
  </conditionalFormatting>
  <conditionalFormatting sqref="AD7:AE23">
    <cfRule type="dataBar" priority="14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{26503BE1-5C46-4DAE-95E1-D29F4CD4C5EF}</x14:id>
        </ext>
      </extLst>
    </cfRule>
  </conditionalFormatting>
  <conditionalFormatting sqref="AF7:AI23">
    <cfRule type="dataBar" priority="1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{5E7C434F-1C06-4FF7-929B-8DA07FF07A01}</x14:id>
        </ext>
      </extLst>
    </cfRule>
  </conditionalFormatting>
  <conditionalFormatting sqref="H8:H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9:I24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2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K24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2:L24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M24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:N2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5:O2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6:P2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17:Q24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8:R2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9:S2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0:T2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1:U2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2:V2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3:W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5:X25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K7:AK23">
    <cfRule type="dataBar" priority="1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{FEADA099-8AC2-4541-8617-63D8F2EC0389}</x14:id>
        </ext>
      </extLst>
    </cfRule>
  </conditionalFormatting>
  <conditionalFormatting sqref="AM7:AM23">
    <cfRule type="expression" dxfId="1" priority="121">
      <formula>AM7&lt;AK7</formula>
    </cfRule>
  </conditionalFormatting>
  <conditionalFormatting sqref="AP7:AP23">
    <cfRule type="dataBar" priority="1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{CCA3201C-2FE1-4334-BF94-4C8DD7723819}</x14:id>
        </ext>
      </extLst>
    </cfRule>
  </conditionalFormatting>
  <conditionalFormatting sqref="AR7:AR23">
    <cfRule type="expression" dxfId="0" priority="118">
      <formula>AR7&lt;AP7</formula>
    </cfRule>
  </conditionalFormatting>
  <conditionalFormatting sqref="G38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86:X86 G60:X63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7:X8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7:X16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1:X5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X5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90:X190 G173 G174:H174 G175:I175 G176:J176 G177:K177 G178:L178 G179:M179 G180:N180 G181:O181 G182:P182 G186:T186 G189:W189 G188:V188 G187:U187 G185:S185 G184:R184 G183:Q1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promptTitle="Pick an epoch" prompt="pick an epoch 211-215" sqref="C27" xr:uid="{E10C12A9-A833-4112-B789-467D46A126DC}">
      <formula1>$A$58:$A$62</formula1>
    </dataValidation>
  </dataValidations>
  <pageMargins left="0.7" right="0.7" top="0.75" bottom="0.75" header="0.3" footer="0.3"/>
  <pageSetup orientation="portrait" r:id="rId1"/>
  <ignoredErrors>
    <ignoredError sqref="U50:X50 R51:X51 O52:X52 J53:X53 I54:X55 H56:X57 I8:V19 W8:X23 U20:V2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B1A6F3-1F29-41DD-9BC5-AD1B39F5EE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AB7:AC23</xm:sqref>
        </x14:conditionalFormatting>
        <x14:conditionalFormatting xmlns:xm="http://schemas.microsoft.com/office/excel/2006/main">
          <x14:cfRule type="dataBar" id="{26503BE1-5C46-4DAE-95E1-D29F4CD4C5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AD7:AE23</xm:sqref>
        </x14:conditionalFormatting>
        <x14:conditionalFormatting xmlns:xm="http://schemas.microsoft.com/office/excel/2006/main">
          <x14:cfRule type="dataBar" id="{5E7C434F-1C06-4FF7-929B-8DA07FF07A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AF7:AI23</xm:sqref>
        </x14:conditionalFormatting>
        <x14:conditionalFormatting xmlns:xm="http://schemas.microsoft.com/office/excel/2006/main">
          <x14:cfRule type="dataBar" id="{FEADA099-8AC2-4541-8617-63D8F2EC03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AK7:AK23</xm:sqref>
        </x14:conditionalFormatting>
        <x14:conditionalFormatting xmlns:xm="http://schemas.microsoft.com/office/excel/2006/main">
          <x14:cfRule type="dataBar" id="{CCA3201C-2FE1-4334-BF94-4C8DD77238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AP7:AP23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E21C-EC63-427C-89FB-000C12D7D2E3}">
  <dimension ref="A1:AI148"/>
  <sheetViews>
    <sheetView zoomScale="81" zoomScaleNormal="81" workbookViewId="0">
      <selection activeCell="L14" sqref="L14"/>
    </sheetView>
  </sheetViews>
  <sheetFormatPr defaultRowHeight="15" x14ac:dyDescent="0.25"/>
  <cols>
    <col min="1" max="1" width="1.85546875" style="6" customWidth="1"/>
    <col min="2" max="2" width="27.140625" bestFit="1" customWidth="1"/>
    <col min="3" max="3" width="20.28515625" style="1" bestFit="1" customWidth="1"/>
    <col min="4" max="4" width="20.7109375" style="6" bestFit="1" customWidth="1"/>
    <col min="5" max="5" width="14.7109375" style="31" bestFit="1" customWidth="1"/>
    <col min="6" max="6" width="16.140625" style="31" customWidth="1"/>
    <col min="7" max="7" width="7.42578125" style="31" bestFit="1" customWidth="1"/>
    <col min="8" max="8" width="12.140625" style="31" bestFit="1" customWidth="1"/>
    <col min="9" max="11" width="12.140625" style="31" customWidth="1"/>
    <col min="12" max="12" width="19.28515625" style="31" bestFit="1" customWidth="1"/>
    <col min="13" max="13" width="19.28515625" style="31" customWidth="1"/>
    <col min="14" max="14" width="10.5703125" style="31" bestFit="1" customWidth="1"/>
    <col min="15" max="15" width="2.28515625" style="31" customWidth="1"/>
    <col min="16" max="16" width="12.85546875" style="31" bestFit="1" customWidth="1"/>
    <col min="17" max="17" width="14.7109375" style="31" bestFit="1" customWidth="1"/>
    <col min="18" max="18" width="11.85546875" style="31" bestFit="1" customWidth="1"/>
    <col min="19" max="19" width="2.5703125" customWidth="1"/>
    <col min="21" max="21" width="8.85546875" style="6"/>
    <col min="22" max="22" width="8.85546875" style="31"/>
    <col min="23" max="29" width="9.140625" style="31"/>
    <col min="30" max="35" width="9.140625" style="6"/>
  </cols>
  <sheetData>
    <row r="1" spans="1:35" s="103" customFormat="1" ht="15.75" thickBot="1" x14ac:dyDescent="0.3">
      <c r="A1" s="17"/>
      <c r="B1" s="3" t="s">
        <v>55</v>
      </c>
      <c r="C1" s="142" t="s">
        <v>111</v>
      </c>
      <c r="D1" s="3" t="s">
        <v>105</v>
      </c>
      <c r="E1" s="3" t="s">
        <v>103</v>
      </c>
      <c r="F1" s="3" t="s">
        <v>104</v>
      </c>
      <c r="G1" s="3" t="s">
        <v>46</v>
      </c>
      <c r="H1" s="3" t="s">
        <v>107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121</v>
      </c>
      <c r="N1" s="3" t="s">
        <v>96</v>
      </c>
      <c r="O1" s="3"/>
      <c r="P1" s="3" t="s">
        <v>112</v>
      </c>
      <c r="Q1" s="3" t="s">
        <v>113</v>
      </c>
      <c r="R1" s="3" t="s">
        <v>108</v>
      </c>
      <c r="S1" s="17"/>
      <c r="T1" s="206" t="s">
        <v>0</v>
      </c>
      <c r="U1" s="206" t="s">
        <v>106</v>
      </c>
      <c r="V1" s="3" t="s">
        <v>109</v>
      </c>
      <c r="W1" s="143" t="s">
        <v>3</v>
      </c>
      <c r="X1" s="143" t="s">
        <v>5</v>
      </c>
      <c r="Y1" s="3" t="s">
        <v>38</v>
      </c>
      <c r="Z1" s="143" t="s">
        <v>6</v>
      </c>
      <c r="AA1" s="3" t="s">
        <v>9</v>
      </c>
      <c r="AE1" s="17"/>
      <c r="AF1" s="17"/>
      <c r="AG1" s="17"/>
      <c r="AH1" s="17"/>
      <c r="AI1" s="17"/>
    </row>
    <row r="2" spans="1:35" ht="15.75" thickBot="1" x14ac:dyDescent="0.3">
      <c r="B2" s="31">
        <v>211</v>
      </c>
      <c r="C2" s="30">
        <f>rho!E6 * (1-tr_tax)</f>
        <v>31829474.020034879</v>
      </c>
      <c r="D2" s="219">
        <v>31704823791.377499</v>
      </c>
      <c r="E2" s="181">
        <f>76545000</f>
        <v>76545000</v>
      </c>
      <c r="F2" s="181">
        <v>10177000000</v>
      </c>
      <c r="G2" s="181">
        <v>250000</v>
      </c>
      <c r="H2" s="140">
        <v>16</v>
      </c>
      <c r="I2" s="140">
        <v>340</v>
      </c>
      <c r="J2" s="210">
        <v>0.05</v>
      </c>
      <c r="K2" s="220">
        <f>R2*P2 *J2 +I2</f>
        <v>3296.6597726852656</v>
      </c>
      <c r="L2" s="212">
        <f t="shared" ref="L2:L21" si="0">R2*P2-K2</f>
        <v>55836.535681020046</v>
      </c>
      <c r="M2" s="224">
        <f>(1+L2/E2)^(365/5) -1</f>
        <v>5.4673443090866636E-2</v>
      </c>
      <c r="N2" s="213">
        <f t="shared" ref="N2:N21" si="1">L2/H2</f>
        <v>3489.7834800637529</v>
      </c>
      <c r="O2" s="182"/>
      <c r="P2" s="183">
        <f t="shared" ref="P2:P21" si="2">(((Z2-((1-Z2/Y2)*AA2))/Y2*AA2*U2)+Z2) * C2/(1+U2)</f>
        <v>59133.19545370531</v>
      </c>
      <c r="Q2" s="184">
        <f t="shared" ref="Q2:Q20" si="3">E2/F2 * 21600 * (1-V2)</f>
        <v>16.246162916380069</v>
      </c>
      <c r="R2" s="185">
        <f>IF(V2&gt;=0.8,1,H2/Q2)</f>
        <v>1</v>
      </c>
      <c r="S2" s="6"/>
      <c r="T2" s="140">
        <v>150</v>
      </c>
      <c r="U2" s="140">
        <v>0.3</v>
      </c>
      <c r="V2" s="192">
        <v>0.9</v>
      </c>
      <c r="W2" s="193">
        <f t="shared" ref="W2:W21" si="4">G2/D2</f>
        <v>7.8852354343628451E-6</v>
      </c>
      <c r="X2" s="193">
        <f t="shared" ref="X2:X21" si="5">E2/D2</f>
        <v>2.4143013852932159E-3</v>
      </c>
      <c r="Y2" s="194">
        <f t="shared" ref="Y2:Y21" si="6">1/T2</f>
        <v>6.6666666666666671E-3</v>
      </c>
      <c r="Z2" s="195">
        <f>MIN(X2,Y2)</f>
        <v>2.4143013852932159E-3</v>
      </c>
      <c r="AA2" s="196">
        <f>MIN(W2,Y2)</f>
        <v>7.8852354343628451E-6</v>
      </c>
    </row>
    <row r="3" spans="1:35" x14ac:dyDescent="0.25">
      <c r="B3" s="31">
        <v>212</v>
      </c>
      <c r="C3" s="30">
        <f>rho!E7 * (1-tr_tax)</f>
        <v>31733985.597974777</v>
      </c>
      <c r="D3" s="30">
        <f t="shared" ref="D3:D21" si="7">D2+(C2/(1-tr_tax))</f>
        <v>31744610633.902542</v>
      </c>
      <c r="E3" s="181">
        <v>77590000</v>
      </c>
      <c r="F3" s="181">
        <v>12100000000</v>
      </c>
      <c r="G3" s="181">
        <v>250000</v>
      </c>
      <c r="H3" s="140">
        <v>22</v>
      </c>
      <c r="I3" s="140">
        <v>340</v>
      </c>
      <c r="J3" s="210">
        <v>0.05</v>
      </c>
      <c r="K3" s="221">
        <f>R3*P3 *J3 +I3</f>
        <v>3324.2870089945754</v>
      </c>
      <c r="L3" s="211">
        <f t="shared" si="0"/>
        <v>56361.45317089693</v>
      </c>
      <c r="M3" s="225">
        <f>(1+L3/E3)^(365/5) -1</f>
        <v>5.4438104205019489E-2</v>
      </c>
      <c r="N3" s="214">
        <f t="shared" si="1"/>
        <v>2561.8842350407695</v>
      </c>
      <c r="O3" s="182"/>
      <c r="P3" s="186">
        <f t="shared" si="2"/>
        <v>59685.740179891502</v>
      </c>
      <c r="Q3" s="187">
        <f t="shared" si="3"/>
        <v>27.701553719008263</v>
      </c>
      <c r="R3" s="188">
        <f>IF(V3&gt;=0.8,1,H3/Q3)</f>
        <v>1</v>
      </c>
      <c r="S3" s="6"/>
      <c r="T3" s="140">
        <v>150</v>
      </c>
      <c r="U3" s="140">
        <v>0.3</v>
      </c>
      <c r="V3" s="197">
        <v>0.8</v>
      </c>
      <c r="W3" s="129">
        <f t="shared" si="4"/>
        <v>7.8753525404090341E-6</v>
      </c>
      <c r="X3" s="129">
        <f t="shared" si="5"/>
        <v>2.4441944144413478E-3</v>
      </c>
      <c r="Y3" s="198">
        <f t="shared" si="6"/>
        <v>6.6666666666666671E-3</v>
      </c>
      <c r="Z3" s="199">
        <f t="shared" ref="Z3:Z16" si="8">MIN(X3,Y3)</f>
        <v>2.4441944144413478E-3</v>
      </c>
      <c r="AA3" s="200">
        <f t="shared" ref="AA3:AA16" si="9">MIN(W3,Y3)</f>
        <v>7.8753525404090341E-6</v>
      </c>
    </row>
    <row r="4" spans="1:35" x14ac:dyDescent="0.25">
      <c r="B4" s="31">
        <v>213</v>
      </c>
      <c r="C4" s="30">
        <f>rho!E8 * (1-tr_tax)</f>
        <v>31638783.641180851</v>
      </c>
      <c r="D4" s="30">
        <f t="shared" si="7"/>
        <v>31784278115.900009</v>
      </c>
      <c r="E4" s="181">
        <v>83850000</v>
      </c>
      <c r="F4" s="181">
        <v>12760000000</v>
      </c>
      <c r="G4" s="181">
        <f>G3</f>
        <v>250000</v>
      </c>
      <c r="H4" s="140">
        <v>14</v>
      </c>
      <c r="I4" s="140">
        <v>340</v>
      </c>
      <c r="J4" s="210">
        <v>0.05</v>
      </c>
      <c r="K4" s="221">
        <f t="shared" ref="K4:K21" si="10">R4*P4 *J4 +I4</f>
        <v>1779.7588952556034</v>
      </c>
      <c r="L4" s="211">
        <f t="shared" si="0"/>
        <v>27015.419009856461</v>
      </c>
      <c r="M4" s="225">
        <f t="shared" ref="M4:M21" si="11">(1+L4/E4)^(365/5) -1</f>
        <v>2.379457582370792E-2</v>
      </c>
      <c r="N4" s="214">
        <f t="shared" si="1"/>
        <v>1929.6727864183188</v>
      </c>
      <c r="O4" s="182"/>
      <c r="P4" s="186">
        <f t="shared" si="2"/>
        <v>64227.431545101914</v>
      </c>
      <c r="Q4" s="187">
        <f t="shared" si="3"/>
        <v>31.226896551724128</v>
      </c>
      <c r="R4" s="188">
        <f>IF(V4&gt;=0.8,1,H4/Q4)</f>
        <v>0.4483314560833942</v>
      </c>
      <c r="S4" s="6"/>
      <c r="T4" s="140">
        <v>150</v>
      </c>
      <c r="U4" s="140">
        <v>0.3</v>
      </c>
      <c r="V4" s="197">
        <v>0.78</v>
      </c>
      <c r="W4" s="129">
        <f t="shared" si="4"/>
        <v>7.8655239262753027E-6</v>
      </c>
      <c r="X4" s="129">
        <f t="shared" si="5"/>
        <v>2.6380967248727364E-3</v>
      </c>
      <c r="Y4" s="198">
        <f t="shared" si="6"/>
        <v>6.6666666666666671E-3</v>
      </c>
      <c r="Z4" s="199">
        <f t="shared" si="8"/>
        <v>2.6380967248727364E-3</v>
      </c>
      <c r="AA4" s="200">
        <f t="shared" si="9"/>
        <v>7.8655239262753027E-6</v>
      </c>
    </row>
    <row r="5" spans="1:35" x14ac:dyDescent="0.25">
      <c r="B5" s="31">
        <v>214</v>
      </c>
      <c r="C5" s="30">
        <f>rho!E9 * (1-tr_tax)</f>
        <v>31543867.290257312</v>
      </c>
      <c r="D5" s="30">
        <f t="shared" si="7"/>
        <v>31823826595.451485</v>
      </c>
      <c r="E5" s="144"/>
      <c r="F5" s="181"/>
      <c r="G5" s="181"/>
      <c r="H5" s="140"/>
      <c r="I5" s="140">
        <v>340</v>
      </c>
      <c r="J5" s="210">
        <v>0.05</v>
      </c>
      <c r="K5" s="229" t="e">
        <f t="shared" si="10"/>
        <v>#DIV/0!</v>
      </c>
      <c r="L5" s="211" t="e">
        <f t="shared" si="0"/>
        <v>#DIV/0!</v>
      </c>
      <c r="M5" s="225" t="e">
        <f t="shared" si="11"/>
        <v>#DIV/0!</v>
      </c>
      <c r="N5" s="214" t="e">
        <f t="shared" si="1"/>
        <v>#DIV/0!</v>
      </c>
      <c r="O5" s="182"/>
      <c r="P5" s="186">
        <f t="shared" si="2"/>
        <v>0</v>
      </c>
      <c r="Q5" s="187" t="e">
        <f t="shared" si="3"/>
        <v>#DIV/0!</v>
      </c>
      <c r="R5" s="188" t="e">
        <f t="shared" ref="R5:R21" si="12">IF(OR(B5=212, B5=211),1,H5/Q5)</f>
        <v>#DIV/0!</v>
      </c>
      <c r="S5" s="6"/>
      <c r="T5" s="140">
        <v>150</v>
      </c>
      <c r="U5" s="140">
        <v>0.3</v>
      </c>
      <c r="V5" s="197">
        <f>V4-0.02</f>
        <v>0.76</v>
      </c>
      <c r="W5" s="129">
        <f t="shared" si="4"/>
        <v>0</v>
      </c>
      <c r="X5" s="129">
        <f t="shared" si="5"/>
        <v>0</v>
      </c>
      <c r="Y5" s="198">
        <f t="shared" si="6"/>
        <v>6.6666666666666671E-3</v>
      </c>
      <c r="Z5" s="199">
        <f t="shared" si="8"/>
        <v>0</v>
      </c>
      <c r="AA5" s="200">
        <f t="shared" si="9"/>
        <v>0</v>
      </c>
    </row>
    <row r="6" spans="1:35" x14ac:dyDescent="0.25">
      <c r="B6" s="31">
        <v>215</v>
      </c>
      <c r="C6" s="30">
        <f>rho!E10 * (1-tr_tax)</f>
        <v>31449235.688386537</v>
      </c>
      <c r="D6" s="30">
        <f t="shared" si="7"/>
        <v>31863256429.564308</v>
      </c>
      <c r="E6" s="144"/>
      <c r="F6" s="181"/>
      <c r="G6" s="181"/>
      <c r="H6" s="140"/>
      <c r="I6" s="140">
        <v>340</v>
      </c>
      <c r="J6" s="210">
        <v>0.05</v>
      </c>
      <c r="K6" s="229" t="e">
        <f t="shared" si="10"/>
        <v>#DIV/0!</v>
      </c>
      <c r="L6" s="211" t="e">
        <f t="shared" si="0"/>
        <v>#DIV/0!</v>
      </c>
      <c r="M6" s="225" t="e">
        <f t="shared" si="11"/>
        <v>#DIV/0!</v>
      </c>
      <c r="N6" s="214" t="e">
        <f t="shared" si="1"/>
        <v>#DIV/0!</v>
      </c>
      <c r="O6" s="182"/>
      <c r="P6" s="186">
        <f t="shared" si="2"/>
        <v>0</v>
      </c>
      <c r="Q6" s="187" t="e">
        <f t="shared" si="3"/>
        <v>#DIV/0!</v>
      </c>
      <c r="R6" s="188" t="e">
        <f t="shared" si="12"/>
        <v>#DIV/0!</v>
      </c>
      <c r="S6" s="6"/>
      <c r="T6" s="140">
        <v>150</v>
      </c>
      <c r="U6" s="140">
        <v>0.3</v>
      </c>
      <c r="V6" s="197">
        <f t="shared" ref="V6:V18" si="13">V5-0.02</f>
        <v>0.74</v>
      </c>
      <c r="W6" s="129">
        <f t="shared" si="4"/>
        <v>0</v>
      </c>
      <c r="X6" s="129">
        <f t="shared" si="5"/>
        <v>0</v>
      </c>
      <c r="Y6" s="198">
        <f t="shared" si="6"/>
        <v>6.6666666666666671E-3</v>
      </c>
      <c r="Z6" s="199">
        <f t="shared" si="8"/>
        <v>0</v>
      </c>
      <c r="AA6" s="200">
        <f t="shared" si="9"/>
        <v>0</v>
      </c>
    </row>
    <row r="7" spans="1:35" x14ac:dyDescent="0.25">
      <c r="B7" s="31">
        <v>216</v>
      </c>
      <c r="C7" s="30">
        <f>rho!E11 * (1-tr_tax)</f>
        <v>31354887.98132138</v>
      </c>
      <c r="D7" s="30">
        <f t="shared" si="7"/>
        <v>31902567974.174789</v>
      </c>
      <c r="E7" s="144"/>
      <c r="F7" s="181"/>
      <c r="G7" s="181"/>
      <c r="H7" s="140"/>
      <c r="I7" s="140">
        <v>340</v>
      </c>
      <c r="J7" s="210">
        <v>0.05</v>
      </c>
      <c r="K7" s="229" t="e">
        <f t="shared" si="10"/>
        <v>#DIV/0!</v>
      </c>
      <c r="L7" s="211" t="e">
        <f t="shared" si="0"/>
        <v>#DIV/0!</v>
      </c>
      <c r="M7" s="225" t="e">
        <f t="shared" si="11"/>
        <v>#DIV/0!</v>
      </c>
      <c r="N7" s="214" t="e">
        <f t="shared" si="1"/>
        <v>#DIV/0!</v>
      </c>
      <c r="O7" s="182"/>
      <c r="P7" s="186">
        <f t="shared" si="2"/>
        <v>0</v>
      </c>
      <c r="Q7" s="187" t="e">
        <f t="shared" si="3"/>
        <v>#DIV/0!</v>
      </c>
      <c r="R7" s="188" t="e">
        <f t="shared" si="12"/>
        <v>#DIV/0!</v>
      </c>
      <c r="S7" s="6"/>
      <c r="T7" s="140">
        <v>150</v>
      </c>
      <c r="U7" s="140">
        <v>0.3</v>
      </c>
      <c r="V7" s="197">
        <f t="shared" si="13"/>
        <v>0.72</v>
      </c>
      <c r="W7" s="129">
        <f t="shared" si="4"/>
        <v>0</v>
      </c>
      <c r="X7" s="129">
        <f t="shared" si="5"/>
        <v>0</v>
      </c>
      <c r="Y7" s="198">
        <f t="shared" si="6"/>
        <v>6.6666666666666671E-3</v>
      </c>
      <c r="Z7" s="199">
        <f t="shared" si="8"/>
        <v>0</v>
      </c>
      <c r="AA7" s="200">
        <f t="shared" si="9"/>
        <v>0</v>
      </c>
    </row>
    <row r="8" spans="1:35" x14ac:dyDescent="0.25">
      <c r="B8" s="31">
        <v>217</v>
      </c>
      <c r="C8" s="30">
        <f>rho!E12 * (1-tr_tax)</f>
        <v>31260823.317377415</v>
      </c>
      <c r="D8" s="30">
        <f t="shared" si="7"/>
        <v>31941761584.15144</v>
      </c>
      <c r="E8" s="144"/>
      <c r="F8" s="181"/>
      <c r="G8" s="181"/>
      <c r="H8" s="140"/>
      <c r="I8" s="140">
        <v>340</v>
      </c>
      <c r="J8" s="210">
        <v>0.05</v>
      </c>
      <c r="K8" s="229" t="e">
        <f t="shared" si="10"/>
        <v>#DIV/0!</v>
      </c>
      <c r="L8" s="211" t="e">
        <f t="shared" si="0"/>
        <v>#DIV/0!</v>
      </c>
      <c r="M8" s="225" t="e">
        <f t="shared" si="11"/>
        <v>#DIV/0!</v>
      </c>
      <c r="N8" s="214" t="e">
        <f t="shared" si="1"/>
        <v>#DIV/0!</v>
      </c>
      <c r="O8" s="182"/>
      <c r="P8" s="186">
        <f t="shared" si="2"/>
        <v>0</v>
      </c>
      <c r="Q8" s="187" t="e">
        <f t="shared" si="3"/>
        <v>#DIV/0!</v>
      </c>
      <c r="R8" s="188" t="e">
        <f t="shared" si="12"/>
        <v>#DIV/0!</v>
      </c>
      <c r="S8" s="6"/>
      <c r="T8" s="140">
        <v>150</v>
      </c>
      <c r="U8" s="140">
        <v>0.3</v>
      </c>
      <c r="V8" s="197">
        <f t="shared" si="13"/>
        <v>0.7</v>
      </c>
      <c r="W8" s="129">
        <f t="shared" si="4"/>
        <v>0</v>
      </c>
      <c r="X8" s="129">
        <f t="shared" si="5"/>
        <v>0</v>
      </c>
      <c r="Y8" s="198">
        <f t="shared" si="6"/>
        <v>6.6666666666666671E-3</v>
      </c>
      <c r="Z8" s="199">
        <f t="shared" si="8"/>
        <v>0</v>
      </c>
      <c r="AA8" s="200">
        <f t="shared" si="9"/>
        <v>0</v>
      </c>
    </row>
    <row r="9" spans="1:35" x14ac:dyDescent="0.25">
      <c r="B9" s="31">
        <v>218</v>
      </c>
      <c r="C9" s="30">
        <f>rho!E13 * (1-tr_tax)</f>
        <v>31167040.847425282</v>
      </c>
      <c r="D9" s="30">
        <f t="shared" si="7"/>
        <v>31980837613.298161</v>
      </c>
      <c r="E9" s="144"/>
      <c r="F9" s="181"/>
      <c r="G9" s="181"/>
      <c r="H9" s="140"/>
      <c r="I9" s="140">
        <v>340</v>
      </c>
      <c r="J9" s="210">
        <v>0.05</v>
      </c>
      <c r="K9" s="229" t="e">
        <f t="shared" si="10"/>
        <v>#DIV/0!</v>
      </c>
      <c r="L9" s="211" t="e">
        <f t="shared" si="0"/>
        <v>#DIV/0!</v>
      </c>
      <c r="M9" s="225" t="e">
        <f t="shared" si="11"/>
        <v>#DIV/0!</v>
      </c>
      <c r="N9" s="214" t="e">
        <f t="shared" si="1"/>
        <v>#DIV/0!</v>
      </c>
      <c r="O9" s="182"/>
      <c r="P9" s="186">
        <f t="shared" si="2"/>
        <v>0</v>
      </c>
      <c r="Q9" s="187" t="e">
        <f t="shared" si="3"/>
        <v>#DIV/0!</v>
      </c>
      <c r="R9" s="188" t="e">
        <f t="shared" si="12"/>
        <v>#DIV/0!</v>
      </c>
      <c r="S9" s="6"/>
      <c r="T9" s="140">
        <v>150</v>
      </c>
      <c r="U9" s="140">
        <v>0.3</v>
      </c>
      <c r="V9" s="197">
        <f t="shared" si="13"/>
        <v>0.67999999999999994</v>
      </c>
      <c r="W9" s="129">
        <f t="shared" si="4"/>
        <v>0</v>
      </c>
      <c r="X9" s="129">
        <f t="shared" si="5"/>
        <v>0</v>
      </c>
      <c r="Y9" s="198">
        <f t="shared" si="6"/>
        <v>6.6666666666666671E-3</v>
      </c>
      <c r="Z9" s="199">
        <f t="shared" si="8"/>
        <v>0</v>
      </c>
      <c r="AA9" s="200">
        <f t="shared" si="9"/>
        <v>0</v>
      </c>
    </row>
    <row r="10" spans="1:35" x14ac:dyDescent="0.25">
      <c r="B10" s="31">
        <v>219</v>
      </c>
      <c r="C10" s="30">
        <f>rho!E14 * (1-tr_tax)</f>
        <v>31073539.724883009</v>
      </c>
      <c r="D10" s="30">
        <f t="shared" si="7"/>
        <v>32019796414.357441</v>
      </c>
      <c r="E10" s="144"/>
      <c r="F10" s="181"/>
      <c r="G10" s="181"/>
      <c r="H10" s="140"/>
      <c r="I10" s="140">
        <v>340</v>
      </c>
      <c r="J10" s="210">
        <v>0.05</v>
      </c>
      <c r="K10" s="229" t="e">
        <f t="shared" si="10"/>
        <v>#DIV/0!</v>
      </c>
      <c r="L10" s="211" t="e">
        <f t="shared" si="0"/>
        <v>#DIV/0!</v>
      </c>
      <c r="M10" s="225" t="e">
        <f t="shared" si="11"/>
        <v>#DIV/0!</v>
      </c>
      <c r="N10" s="214" t="e">
        <f t="shared" si="1"/>
        <v>#DIV/0!</v>
      </c>
      <c r="O10" s="182"/>
      <c r="P10" s="186">
        <f t="shared" si="2"/>
        <v>0</v>
      </c>
      <c r="Q10" s="187" t="e">
        <f t="shared" si="3"/>
        <v>#DIV/0!</v>
      </c>
      <c r="R10" s="188" t="e">
        <f t="shared" si="12"/>
        <v>#DIV/0!</v>
      </c>
      <c r="S10" s="6"/>
      <c r="T10" s="140">
        <v>150</v>
      </c>
      <c r="U10" s="140">
        <v>0.3</v>
      </c>
      <c r="V10" s="197">
        <f t="shared" si="13"/>
        <v>0.65999999999999992</v>
      </c>
      <c r="W10" s="129">
        <f t="shared" si="4"/>
        <v>0</v>
      </c>
      <c r="X10" s="129">
        <f t="shared" si="5"/>
        <v>0</v>
      </c>
      <c r="Y10" s="198">
        <f t="shared" si="6"/>
        <v>6.6666666666666671E-3</v>
      </c>
      <c r="Z10" s="199">
        <f t="shared" si="8"/>
        <v>0</v>
      </c>
      <c r="AA10" s="200">
        <f t="shared" si="9"/>
        <v>0</v>
      </c>
    </row>
    <row r="11" spans="1:35" x14ac:dyDescent="0.25">
      <c r="B11" s="31">
        <v>220</v>
      </c>
      <c r="C11" s="30">
        <f>rho!E15 * (1-tr_tax)</f>
        <v>30980319.105708361</v>
      </c>
      <c r="D11" s="30">
        <f t="shared" si="7"/>
        <v>32058638339.013546</v>
      </c>
      <c r="E11" s="144"/>
      <c r="F11" s="181"/>
      <c r="G11" s="181"/>
      <c r="H11" s="140"/>
      <c r="I11" s="140">
        <v>340</v>
      </c>
      <c r="J11" s="210">
        <v>0.05</v>
      </c>
      <c r="K11" s="229" t="e">
        <f t="shared" si="10"/>
        <v>#DIV/0!</v>
      </c>
      <c r="L11" s="211" t="e">
        <f t="shared" si="0"/>
        <v>#DIV/0!</v>
      </c>
      <c r="M11" s="225" t="e">
        <f t="shared" si="11"/>
        <v>#DIV/0!</v>
      </c>
      <c r="N11" s="214" t="e">
        <f t="shared" si="1"/>
        <v>#DIV/0!</v>
      </c>
      <c r="O11" s="182"/>
      <c r="P11" s="186">
        <f t="shared" si="2"/>
        <v>0</v>
      </c>
      <c r="Q11" s="187" t="e">
        <f t="shared" si="3"/>
        <v>#DIV/0!</v>
      </c>
      <c r="R11" s="188" t="e">
        <f t="shared" si="12"/>
        <v>#DIV/0!</v>
      </c>
      <c r="S11" s="6"/>
      <c r="T11" s="140">
        <v>150</v>
      </c>
      <c r="U11" s="140">
        <v>0.3</v>
      </c>
      <c r="V11" s="197">
        <f t="shared" si="13"/>
        <v>0.6399999999999999</v>
      </c>
      <c r="W11" s="129">
        <f t="shared" si="4"/>
        <v>0</v>
      </c>
      <c r="X11" s="129">
        <f t="shared" si="5"/>
        <v>0</v>
      </c>
      <c r="Y11" s="198">
        <f t="shared" si="6"/>
        <v>6.6666666666666671E-3</v>
      </c>
      <c r="Z11" s="199">
        <f t="shared" si="8"/>
        <v>0</v>
      </c>
      <c r="AA11" s="200">
        <f t="shared" si="9"/>
        <v>0</v>
      </c>
    </row>
    <row r="12" spans="1:35" x14ac:dyDescent="0.25">
      <c r="B12" s="31">
        <v>221</v>
      </c>
      <c r="C12" s="30">
        <f>rho!E16 * (1-tr_tax)</f>
        <v>30887378.148391236</v>
      </c>
      <c r="D12" s="30">
        <f t="shared" si="7"/>
        <v>32097363737.895683</v>
      </c>
      <c r="E12" s="144"/>
      <c r="F12" s="181"/>
      <c r="G12" s="181"/>
      <c r="H12" s="140"/>
      <c r="I12" s="140">
        <v>340</v>
      </c>
      <c r="J12" s="210">
        <v>0.05</v>
      </c>
      <c r="K12" s="229" t="e">
        <f t="shared" si="10"/>
        <v>#DIV/0!</v>
      </c>
      <c r="L12" s="211" t="e">
        <f t="shared" si="0"/>
        <v>#DIV/0!</v>
      </c>
      <c r="M12" s="225" t="e">
        <f t="shared" si="11"/>
        <v>#DIV/0!</v>
      </c>
      <c r="N12" s="214" t="e">
        <f t="shared" si="1"/>
        <v>#DIV/0!</v>
      </c>
      <c r="O12" s="182"/>
      <c r="P12" s="186">
        <f t="shared" si="2"/>
        <v>0</v>
      </c>
      <c r="Q12" s="187" t="e">
        <f t="shared" si="3"/>
        <v>#DIV/0!</v>
      </c>
      <c r="R12" s="188" t="e">
        <f t="shared" si="12"/>
        <v>#DIV/0!</v>
      </c>
      <c r="S12" s="6"/>
      <c r="T12" s="140">
        <v>150</v>
      </c>
      <c r="U12" s="140">
        <v>0.3</v>
      </c>
      <c r="V12" s="197">
        <f t="shared" si="13"/>
        <v>0.61999999999999988</v>
      </c>
      <c r="W12" s="129">
        <f t="shared" si="4"/>
        <v>0</v>
      </c>
      <c r="X12" s="129">
        <f t="shared" si="5"/>
        <v>0</v>
      </c>
      <c r="Y12" s="198">
        <f t="shared" si="6"/>
        <v>6.6666666666666671E-3</v>
      </c>
      <c r="Z12" s="199">
        <f t="shared" si="8"/>
        <v>0</v>
      </c>
      <c r="AA12" s="200">
        <f t="shared" si="9"/>
        <v>0</v>
      </c>
    </row>
    <row r="13" spans="1:35" x14ac:dyDescent="0.25">
      <c r="B13" s="31">
        <v>222</v>
      </c>
      <c r="C13" s="30">
        <f>rho!E17 * (1-tr_tax)</f>
        <v>30794716.013946056</v>
      </c>
      <c r="D13" s="30">
        <f t="shared" si="7"/>
        <v>32135972960.581173</v>
      </c>
      <c r="E13" s="144"/>
      <c r="F13" s="181"/>
      <c r="G13" s="181"/>
      <c r="H13" s="140"/>
      <c r="I13" s="140">
        <v>340</v>
      </c>
      <c r="J13" s="210">
        <v>0.05</v>
      </c>
      <c r="K13" s="229" t="e">
        <f t="shared" si="10"/>
        <v>#DIV/0!</v>
      </c>
      <c r="L13" s="211" t="e">
        <f t="shared" si="0"/>
        <v>#DIV/0!</v>
      </c>
      <c r="M13" s="225" t="e">
        <f t="shared" si="11"/>
        <v>#DIV/0!</v>
      </c>
      <c r="N13" s="214" t="e">
        <f t="shared" si="1"/>
        <v>#DIV/0!</v>
      </c>
      <c r="O13" s="182"/>
      <c r="P13" s="186">
        <f t="shared" si="2"/>
        <v>0</v>
      </c>
      <c r="Q13" s="187" t="e">
        <f t="shared" si="3"/>
        <v>#DIV/0!</v>
      </c>
      <c r="R13" s="188" t="e">
        <f t="shared" si="12"/>
        <v>#DIV/0!</v>
      </c>
      <c r="S13" s="6"/>
      <c r="T13" s="140">
        <v>150</v>
      </c>
      <c r="U13" s="140">
        <v>0.3</v>
      </c>
      <c r="V13" s="197">
        <f t="shared" si="13"/>
        <v>0.59999999999999987</v>
      </c>
      <c r="W13" s="129">
        <f t="shared" si="4"/>
        <v>0</v>
      </c>
      <c r="X13" s="129">
        <f t="shared" si="5"/>
        <v>0</v>
      </c>
      <c r="Y13" s="198">
        <f t="shared" si="6"/>
        <v>6.6666666666666671E-3</v>
      </c>
      <c r="Z13" s="199">
        <f t="shared" si="8"/>
        <v>0</v>
      </c>
      <c r="AA13" s="200">
        <f t="shared" si="9"/>
        <v>0</v>
      </c>
    </row>
    <row r="14" spans="1:35" x14ac:dyDescent="0.25">
      <c r="B14" s="31">
        <v>223</v>
      </c>
      <c r="C14" s="30">
        <f>rho!E18 * (1-tr_tax)</f>
        <v>30702331.865904219</v>
      </c>
      <c r="D14" s="30">
        <f t="shared" si="7"/>
        <v>32174466355.598606</v>
      </c>
      <c r="E14" s="144"/>
      <c r="F14" s="181"/>
      <c r="G14" s="181"/>
      <c r="H14" s="140"/>
      <c r="I14" s="140">
        <v>340</v>
      </c>
      <c r="J14" s="210">
        <v>0.05</v>
      </c>
      <c r="K14" s="229" t="e">
        <f t="shared" si="10"/>
        <v>#DIV/0!</v>
      </c>
      <c r="L14" s="211" t="e">
        <f t="shared" si="0"/>
        <v>#DIV/0!</v>
      </c>
      <c r="M14" s="225" t="e">
        <f t="shared" si="11"/>
        <v>#DIV/0!</v>
      </c>
      <c r="N14" s="214" t="e">
        <f t="shared" si="1"/>
        <v>#DIV/0!</v>
      </c>
      <c r="O14" s="182"/>
      <c r="P14" s="186">
        <f t="shared" si="2"/>
        <v>0</v>
      </c>
      <c r="Q14" s="187" t="e">
        <f t="shared" si="3"/>
        <v>#DIV/0!</v>
      </c>
      <c r="R14" s="188" t="e">
        <f t="shared" si="12"/>
        <v>#DIV/0!</v>
      </c>
      <c r="S14" s="6"/>
      <c r="T14" s="140">
        <v>150</v>
      </c>
      <c r="U14" s="140">
        <v>0.3</v>
      </c>
      <c r="V14" s="197">
        <f t="shared" si="13"/>
        <v>0.57999999999999985</v>
      </c>
      <c r="W14" s="129">
        <f t="shared" si="4"/>
        <v>0</v>
      </c>
      <c r="X14" s="129">
        <f t="shared" si="5"/>
        <v>0</v>
      </c>
      <c r="Y14" s="198">
        <f t="shared" si="6"/>
        <v>6.6666666666666671E-3</v>
      </c>
      <c r="Z14" s="199">
        <f t="shared" si="8"/>
        <v>0</v>
      </c>
      <c r="AA14" s="200">
        <f t="shared" si="9"/>
        <v>0</v>
      </c>
    </row>
    <row r="15" spans="1:35" x14ac:dyDescent="0.25">
      <c r="B15" s="31">
        <v>224</v>
      </c>
      <c r="C15" s="30">
        <f>rho!E19 * (1-tr_tax)</f>
        <v>30610224.870306507</v>
      </c>
      <c r="D15" s="30">
        <f t="shared" si="7"/>
        <v>32212844270.430984</v>
      </c>
      <c r="E15" s="144"/>
      <c r="F15" s="181"/>
      <c r="G15" s="181"/>
      <c r="H15" s="140"/>
      <c r="I15" s="140">
        <v>340</v>
      </c>
      <c r="J15" s="210">
        <v>0.05</v>
      </c>
      <c r="K15" s="229" t="e">
        <f t="shared" si="10"/>
        <v>#DIV/0!</v>
      </c>
      <c r="L15" s="211" t="e">
        <f t="shared" si="0"/>
        <v>#DIV/0!</v>
      </c>
      <c r="M15" s="225" t="e">
        <f t="shared" si="11"/>
        <v>#DIV/0!</v>
      </c>
      <c r="N15" s="214" t="e">
        <f t="shared" si="1"/>
        <v>#DIV/0!</v>
      </c>
      <c r="O15" s="182"/>
      <c r="P15" s="186">
        <f t="shared" si="2"/>
        <v>0</v>
      </c>
      <c r="Q15" s="187" t="e">
        <f t="shared" si="3"/>
        <v>#DIV/0!</v>
      </c>
      <c r="R15" s="188" t="e">
        <f t="shared" si="12"/>
        <v>#DIV/0!</v>
      </c>
      <c r="S15" s="6"/>
      <c r="T15" s="140">
        <v>150</v>
      </c>
      <c r="U15" s="140">
        <v>0.3</v>
      </c>
      <c r="V15" s="197">
        <f t="shared" si="13"/>
        <v>0.55999999999999983</v>
      </c>
      <c r="W15" s="129">
        <f t="shared" si="4"/>
        <v>0</v>
      </c>
      <c r="X15" s="129">
        <f t="shared" si="5"/>
        <v>0</v>
      </c>
      <c r="Y15" s="198">
        <f t="shared" si="6"/>
        <v>6.6666666666666671E-3</v>
      </c>
      <c r="Z15" s="199">
        <f t="shared" si="8"/>
        <v>0</v>
      </c>
      <c r="AA15" s="200">
        <f t="shared" si="9"/>
        <v>0</v>
      </c>
    </row>
    <row r="16" spans="1:35" x14ac:dyDescent="0.25">
      <c r="B16" s="31">
        <v>225</v>
      </c>
      <c r="C16" s="30">
        <f>rho!E20 * (1-tr_tax)</f>
        <v>30518394.195695587</v>
      </c>
      <c r="D16" s="30">
        <f t="shared" si="7"/>
        <v>32251107051.518867</v>
      </c>
      <c r="E16" s="144"/>
      <c r="F16" s="181"/>
      <c r="G16" s="181"/>
      <c r="H16" s="140"/>
      <c r="I16" s="140">
        <v>340</v>
      </c>
      <c r="J16" s="210">
        <v>0.05</v>
      </c>
      <c r="K16" s="229" t="e">
        <f t="shared" si="10"/>
        <v>#DIV/0!</v>
      </c>
      <c r="L16" s="211" t="e">
        <f t="shared" si="0"/>
        <v>#DIV/0!</v>
      </c>
      <c r="M16" s="225" t="e">
        <f t="shared" si="11"/>
        <v>#DIV/0!</v>
      </c>
      <c r="N16" s="214" t="e">
        <f t="shared" si="1"/>
        <v>#DIV/0!</v>
      </c>
      <c r="O16" s="182"/>
      <c r="P16" s="186">
        <f t="shared" si="2"/>
        <v>0</v>
      </c>
      <c r="Q16" s="187" t="e">
        <f t="shared" si="3"/>
        <v>#DIV/0!</v>
      </c>
      <c r="R16" s="188" t="e">
        <f t="shared" si="12"/>
        <v>#DIV/0!</v>
      </c>
      <c r="S16" s="6"/>
      <c r="T16" s="140">
        <v>150</v>
      </c>
      <c r="U16" s="140">
        <v>0.3</v>
      </c>
      <c r="V16" s="197">
        <f t="shared" si="13"/>
        <v>0.53999999999999981</v>
      </c>
      <c r="W16" s="129">
        <f t="shared" si="4"/>
        <v>0</v>
      </c>
      <c r="X16" s="129">
        <f t="shared" si="5"/>
        <v>0</v>
      </c>
      <c r="Y16" s="198">
        <f t="shared" si="6"/>
        <v>6.6666666666666671E-3</v>
      </c>
      <c r="Z16" s="199">
        <f t="shared" si="8"/>
        <v>0</v>
      </c>
      <c r="AA16" s="200">
        <f t="shared" si="9"/>
        <v>0</v>
      </c>
    </row>
    <row r="17" spans="2:27" x14ac:dyDescent="0.25">
      <c r="B17" s="31">
        <v>226</v>
      </c>
      <c r="C17" s="30">
        <f>rho!E21 * (1-tr_tax)</f>
        <v>30426839.013108499</v>
      </c>
      <c r="D17" s="30">
        <f t="shared" si="7"/>
        <v>32289255044.263489</v>
      </c>
      <c r="E17" s="144"/>
      <c r="F17" s="181"/>
      <c r="G17" s="181"/>
      <c r="H17" s="140"/>
      <c r="I17" s="140">
        <v>340</v>
      </c>
      <c r="J17" s="210">
        <v>0.05</v>
      </c>
      <c r="K17" s="229" t="e">
        <f t="shared" si="10"/>
        <v>#DIV/0!</v>
      </c>
      <c r="L17" s="211" t="e">
        <f t="shared" si="0"/>
        <v>#DIV/0!</v>
      </c>
      <c r="M17" s="225" t="e">
        <f t="shared" si="11"/>
        <v>#DIV/0!</v>
      </c>
      <c r="N17" s="214" t="e">
        <f t="shared" si="1"/>
        <v>#DIV/0!</v>
      </c>
      <c r="O17" s="182"/>
      <c r="P17" s="186">
        <f t="shared" si="2"/>
        <v>0</v>
      </c>
      <c r="Q17" s="187" t="e">
        <f t="shared" si="3"/>
        <v>#DIV/0!</v>
      </c>
      <c r="R17" s="188" t="e">
        <f t="shared" si="12"/>
        <v>#DIV/0!</v>
      </c>
      <c r="S17" s="6"/>
      <c r="T17" s="140">
        <v>150</v>
      </c>
      <c r="U17" s="140">
        <v>0.3</v>
      </c>
      <c r="V17" s="197">
        <f t="shared" si="13"/>
        <v>0.5199999999999998</v>
      </c>
      <c r="W17" s="129">
        <f t="shared" si="4"/>
        <v>0</v>
      </c>
      <c r="X17" s="129">
        <f t="shared" si="5"/>
        <v>0</v>
      </c>
      <c r="Y17" s="198">
        <f t="shared" si="6"/>
        <v>6.6666666666666671E-3</v>
      </c>
      <c r="Z17" s="199">
        <f t="shared" ref="Z17:Z20" si="14">MIN(X17,Y17)</f>
        <v>0</v>
      </c>
      <c r="AA17" s="200">
        <f t="shared" ref="AA17:AA20" si="15">MIN(W17,Y17)</f>
        <v>0</v>
      </c>
    </row>
    <row r="18" spans="2:27" x14ac:dyDescent="0.25">
      <c r="B18" s="31">
        <v>227</v>
      </c>
      <c r="C18" s="30">
        <f>rho!E22 * (1-tr_tax)</f>
        <v>30335558.496069178</v>
      </c>
      <c r="D18" s="30">
        <f t="shared" si="7"/>
        <v>32327288593.029873</v>
      </c>
      <c r="E18" s="144"/>
      <c r="F18" s="181"/>
      <c r="G18" s="181"/>
      <c r="H18" s="140"/>
      <c r="I18" s="140">
        <v>340</v>
      </c>
      <c r="J18" s="210">
        <v>0.05</v>
      </c>
      <c r="K18" s="229" t="e">
        <f t="shared" si="10"/>
        <v>#DIV/0!</v>
      </c>
      <c r="L18" s="211" t="e">
        <f t="shared" si="0"/>
        <v>#DIV/0!</v>
      </c>
      <c r="M18" s="225" t="e">
        <f t="shared" si="11"/>
        <v>#DIV/0!</v>
      </c>
      <c r="N18" s="214" t="e">
        <f t="shared" si="1"/>
        <v>#DIV/0!</v>
      </c>
      <c r="O18" s="182"/>
      <c r="P18" s="186">
        <f t="shared" si="2"/>
        <v>0</v>
      </c>
      <c r="Q18" s="187" t="e">
        <f t="shared" si="3"/>
        <v>#DIV/0!</v>
      </c>
      <c r="R18" s="188" t="e">
        <f t="shared" si="12"/>
        <v>#DIV/0!</v>
      </c>
      <c r="S18" s="6"/>
      <c r="T18" s="140">
        <v>150</v>
      </c>
      <c r="U18" s="140">
        <v>0.3</v>
      </c>
      <c r="V18" s="197">
        <f t="shared" si="13"/>
        <v>0.49999999999999978</v>
      </c>
      <c r="W18" s="129">
        <f t="shared" si="4"/>
        <v>0</v>
      </c>
      <c r="X18" s="129">
        <f t="shared" si="5"/>
        <v>0</v>
      </c>
      <c r="Y18" s="198">
        <f t="shared" si="6"/>
        <v>6.6666666666666671E-3</v>
      </c>
      <c r="Z18" s="199">
        <f t="shared" si="14"/>
        <v>0</v>
      </c>
      <c r="AA18" s="200">
        <f t="shared" si="15"/>
        <v>0</v>
      </c>
    </row>
    <row r="19" spans="2:27" x14ac:dyDescent="0.25">
      <c r="B19" s="31">
        <v>228</v>
      </c>
      <c r="C19" s="30">
        <f>rho!E23 * (1-tr_tax)</f>
        <v>30244551.820580967</v>
      </c>
      <c r="D19" s="30">
        <f t="shared" si="7"/>
        <v>32365208041.14996</v>
      </c>
      <c r="E19" s="144"/>
      <c r="F19" s="181"/>
      <c r="G19" s="181"/>
      <c r="H19" s="140"/>
      <c r="I19" s="140">
        <v>340</v>
      </c>
      <c r="J19" s="210">
        <v>0.05</v>
      </c>
      <c r="K19" s="229" t="e">
        <f t="shared" si="10"/>
        <v>#DIV/0!</v>
      </c>
      <c r="L19" s="211" t="e">
        <f t="shared" si="0"/>
        <v>#DIV/0!</v>
      </c>
      <c r="M19" s="225" t="e">
        <f t="shared" si="11"/>
        <v>#DIV/0!</v>
      </c>
      <c r="N19" s="214" t="e">
        <f t="shared" si="1"/>
        <v>#DIV/0!</v>
      </c>
      <c r="O19" s="182"/>
      <c r="P19" s="186">
        <f t="shared" si="2"/>
        <v>0</v>
      </c>
      <c r="Q19" s="187" t="e">
        <f t="shared" si="3"/>
        <v>#DIV/0!</v>
      </c>
      <c r="R19" s="188" t="e">
        <f t="shared" si="12"/>
        <v>#DIV/0!</v>
      </c>
      <c r="S19" s="6"/>
      <c r="T19" s="140">
        <v>150</v>
      </c>
      <c r="U19" s="140">
        <v>0.3</v>
      </c>
      <c r="V19" s="197">
        <v>0.5</v>
      </c>
      <c r="W19" s="129">
        <f t="shared" si="4"/>
        <v>0</v>
      </c>
      <c r="X19" s="129">
        <f t="shared" si="5"/>
        <v>0</v>
      </c>
      <c r="Y19" s="198">
        <f t="shared" si="6"/>
        <v>6.6666666666666671E-3</v>
      </c>
      <c r="Z19" s="199">
        <f t="shared" si="14"/>
        <v>0</v>
      </c>
      <c r="AA19" s="200">
        <f t="shared" si="15"/>
        <v>0</v>
      </c>
    </row>
    <row r="20" spans="2:27" x14ac:dyDescent="0.25">
      <c r="B20" s="31">
        <v>229</v>
      </c>
      <c r="C20" s="30">
        <f>rho!E24 * (1-tr_tax)</f>
        <v>30153818.165119227</v>
      </c>
      <c r="D20" s="30">
        <f t="shared" si="7"/>
        <v>32403013730.925686</v>
      </c>
      <c r="E20" s="144"/>
      <c r="F20" s="181"/>
      <c r="G20" s="181"/>
      <c r="H20" s="140"/>
      <c r="I20" s="140">
        <v>340</v>
      </c>
      <c r="J20" s="210">
        <v>0.05</v>
      </c>
      <c r="K20" s="229" t="e">
        <f t="shared" si="10"/>
        <v>#DIV/0!</v>
      </c>
      <c r="L20" s="211" t="e">
        <f t="shared" si="0"/>
        <v>#DIV/0!</v>
      </c>
      <c r="M20" s="225" t="e">
        <f t="shared" si="11"/>
        <v>#DIV/0!</v>
      </c>
      <c r="N20" s="214" t="e">
        <f t="shared" si="1"/>
        <v>#DIV/0!</v>
      </c>
      <c r="O20" s="182"/>
      <c r="P20" s="186">
        <f t="shared" si="2"/>
        <v>0</v>
      </c>
      <c r="Q20" s="187" t="e">
        <f t="shared" si="3"/>
        <v>#DIV/0!</v>
      </c>
      <c r="R20" s="188" t="e">
        <f t="shared" si="12"/>
        <v>#DIV/0!</v>
      </c>
      <c r="S20" s="6"/>
      <c r="T20" s="140">
        <v>150</v>
      </c>
      <c r="U20" s="140">
        <v>0.3</v>
      </c>
      <c r="V20" s="197">
        <v>0.5</v>
      </c>
      <c r="W20" s="129">
        <f t="shared" si="4"/>
        <v>0</v>
      </c>
      <c r="X20" s="129">
        <f t="shared" si="5"/>
        <v>0</v>
      </c>
      <c r="Y20" s="198">
        <f t="shared" si="6"/>
        <v>6.6666666666666671E-3</v>
      </c>
      <c r="Z20" s="199">
        <f t="shared" si="14"/>
        <v>0</v>
      </c>
      <c r="AA20" s="200">
        <f t="shared" si="15"/>
        <v>0</v>
      </c>
    </row>
    <row r="21" spans="2:27" x14ac:dyDescent="0.25">
      <c r="B21" s="31">
        <v>230</v>
      </c>
      <c r="C21" s="30">
        <f>rho!E25 * (1-tr_tax)</f>
        <v>30063356.71062386</v>
      </c>
      <c r="D21" s="30">
        <f t="shared" si="7"/>
        <v>32440706003.632084</v>
      </c>
      <c r="E21" s="144"/>
      <c r="F21" s="181"/>
      <c r="G21" s="181"/>
      <c r="H21" s="140"/>
      <c r="I21" s="140">
        <v>340</v>
      </c>
      <c r="J21" s="210">
        <v>0.05</v>
      </c>
      <c r="K21" s="230" t="e">
        <f t="shared" si="10"/>
        <v>#DIV/0!</v>
      </c>
      <c r="L21" s="215" t="e">
        <f t="shared" si="0"/>
        <v>#DIV/0!</v>
      </c>
      <c r="M21" s="226" t="e">
        <f t="shared" si="11"/>
        <v>#DIV/0!</v>
      </c>
      <c r="N21" s="216" t="e">
        <f t="shared" si="1"/>
        <v>#DIV/0!</v>
      </c>
      <c r="O21" s="182"/>
      <c r="P21" s="189">
        <f t="shared" si="2"/>
        <v>0</v>
      </c>
      <c r="Q21" s="190" t="e">
        <f>E21/F21 * 21600 * (1-#REF!)</f>
        <v>#DIV/0!</v>
      </c>
      <c r="R21" s="191" t="e">
        <f t="shared" si="12"/>
        <v>#DIV/0!</v>
      </c>
      <c r="S21" s="6"/>
      <c r="T21" s="140">
        <v>150</v>
      </c>
      <c r="U21" s="140">
        <v>0.3</v>
      </c>
      <c r="V21" s="201">
        <v>0.5</v>
      </c>
      <c r="W21" s="202">
        <f t="shared" si="4"/>
        <v>0</v>
      </c>
      <c r="X21" s="202">
        <f t="shared" si="5"/>
        <v>0</v>
      </c>
      <c r="Y21" s="203">
        <f t="shared" si="6"/>
        <v>6.6666666666666671E-3</v>
      </c>
      <c r="Z21" s="204">
        <f t="shared" ref="Z21" si="16">MIN(X21,Y21)</f>
        <v>0</v>
      </c>
      <c r="AA21" s="205">
        <f t="shared" ref="AA21" si="17">MIN(W21,Y21)</f>
        <v>0</v>
      </c>
    </row>
    <row r="22" spans="2:27" x14ac:dyDescent="0.25">
      <c r="B22" s="6"/>
      <c r="C22" s="120"/>
      <c r="S22" s="6"/>
      <c r="T22" s="6"/>
    </row>
    <row r="23" spans="2:27" ht="15.75" thickBot="1" x14ac:dyDescent="0.3">
      <c r="B23" s="19" t="s">
        <v>110</v>
      </c>
      <c r="C23" s="145"/>
      <c r="S23" s="6"/>
      <c r="T23" s="6"/>
    </row>
    <row r="24" spans="2:27" x14ac:dyDescent="0.25">
      <c r="B24" s="6" t="s">
        <v>100</v>
      </c>
      <c r="C24" s="207">
        <f>F4</f>
        <v>12760000000</v>
      </c>
    </row>
    <row r="25" spans="2:27" x14ac:dyDescent="0.25">
      <c r="B25" s="6" t="s">
        <v>94</v>
      </c>
      <c r="C25" s="208">
        <v>83850000</v>
      </c>
    </row>
    <row r="26" spans="2:27" ht="15.75" thickBot="1" x14ac:dyDescent="0.3">
      <c r="B26" s="6" t="s">
        <v>109</v>
      </c>
      <c r="C26" s="209">
        <v>0.78</v>
      </c>
    </row>
    <row r="27" spans="2:27" x14ac:dyDescent="0.25">
      <c r="B27" s="6"/>
      <c r="C27" s="31"/>
    </row>
    <row r="28" spans="2:27" x14ac:dyDescent="0.25">
      <c r="B28" s="6"/>
      <c r="C28" s="72"/>
    </row>
    <row r="29" spans="2:27" x14ac:dyDescent="0.25">
      <c r="B29" s="6" t="s">
        <v>118</v>
      </c>
      <c r="C29" s="30">
        <v>432000</v>
      </c>
      <c r="D29" s="132"/>
      <c r="E29" s="132"/>
      <c r="F29" s="132"/>
      <c r="G29" s="133"/>
      <c r="H29" s="133"/>
      <c r="I29" s="133"/>
      <c r="J29" s="133"/>
      <c r="K29" s="133"/>
      <c r="P29" s="133"/>
    </row>
    <row r="30" spans="2:27" x14ac:dyDescent="0.25">
      <c r="B30" s="6" t="s">
        <v>119</v>
      </c>
      <c r="C30" s="122">
        <f>(C25/C24) *0.05 * 0.985 *(1-C26)</f>
        <v>7.1200215517241365E-5</v>
      </c>
      <c r="D30" s="133"/>
      <c r="E30" s="105"/>
      <c r="F30" s="133"/>
      <c r="G30" s="133"/>
      <c r="H30" s="133"/>
      <c r="I30" s="133"/>
      <c r="J30" s="133"/>
      <c r="K30" s="133"/>
      <c r="P30" s="133"/>
    </row>
    <row r="31" spans="2:27" x14ac:dyDescent="0.25">
      <c r="B31" s="6" t="s">
        <v>89</v>
      </c>
      <c r="C31" s="24">
        <f>C29*C30*(1-C30)</f>
        <v>30.756303092110318</v>
      </c>
      <c r="D31" s="133"/>
      <c r="E31" s="106"/>
      <c r="F31" s="141"/>
      <c r="G31" s="133"/>
      <c r="H31" s="133"/>
      <c r="I31" s="133"/>
      <c r="J31" s="133"/>
      <c r="K31" s="133"/>
      <c r="P31" s="133"/>
    </row>
    <row r="32" spans="2:27" x14ac:dyDescent="0.25">
      <c r="B32" s="6" t="s">
        <v>92</v>
      </c>
      <c r="C32" s="24">
        <f>SQRT(C31)</f>
        <v>5.5458365547598243</v>
      </c>
      <c r="D32" s="133"/>
      <c r="E32" s="139"/>
      <c r="F32" s="133"/>
      <c r="G32" s="133"/>
      <c r="H32" s="133"/>
      <c r="I32" s="133"/>
      <c r="J32" s="133"/>
      <c r="K32" s="133"/>
      <c r="P32" s="133"/>
    </row>
    <row r="33" spans="2:16" x14ac:dyDescent="0.25">
      <c r="B33" s="6" t="s">
        <v>93</v>
      </c>
      <c r="C33" s="24">
        <f>C32*3</f>
        <v>16.637509664279474</v>
      </c>
      <c r="D33" s="134"/>
      <c r="E33" s="133"/>
      <c r="F33" s="133"/>
      <c r="G33" s="133"/>
      <c r="H33" s="133"/>
      <c r="I33" s="133"/>
      <c r="J33" s="133"/>
      <c r="K33" s="133"/>
      <c r="P33" s="133"/>
    </row>
    <row r="34" spans="2:16" x14ac:dyDescent="0.25">
      <c r="B34" s="6"/>
      <c r="C34" s="31"/>
      <c r="D34" s="133"/>
      <c r="E34" s="133"/>
      <c r="F34" s="133"/>
      <c r="G34" s="133"/>
      <c r="H34" s="133"/>
      <c r="I34" s="133"/>
      <c r="J34" s="133"/>
      <c r="K34" s="133"/>
      <c r="P34" s="133"/>
    </row>
    <row r="35" spans="2:16" x14ac:dyDescent="0.25">
      <c r="B35" s="3" t="s">
        <v>90</v>
      </c>
      <c r="C35" s="3" t="s">
        <v>91</v>
      </c>
      <c r="D35" s="134"/>
      <c r="E35" s="133"/>
      <c r="F35" s="133"/>
      <c r="G35" s="133"/>
      <c r="H35" s="133"/>
      <c r="I35" s="133"/>
      <c r="J35" s="133"/>
      <c r="K35" s="133"/>
      <c r="P35" s="133"/>
    </row>
    <row r="36" spans="2:16" x14ac:dyDescent="0.25">
      <c r="B36" s="31">
        <v>0</v>
      </c>
      <c r="C36" s="4">
        <f>_xlfn.BINOM.DIST(B36,$C$29,$C$30,FALSE)</f>
        <v>4.3780487787197947E-14</v>
      </c>
      <c r="D36" s="133"/>
      <c r="E36" s="133"/>
      <c r="F36" s="133"/>
      <c r="G36" s="133"/>
      <c r="H36" s="133"/>
      <c r="I36" s="133"/>
      <c r="J36" s="133"/>
      <c r="K36" s="133"/>
      <c r="P36" s="133"/>
    </row>
    <row r="37" spans="2:16" x14ac:dyDescent="0.25">
      <c r="B37" s="31">
        <v>1</v>
      </c>
      <c r="C37" s="4">
        <f t="shared" ref="C37:C96" si="18">_xlfn.BINOM.DIST(B37,$C$29,$C$30,FALSE)</f>
        <v>1.3467177182599111E-12</v>
      </c>
      <c r="D37" s="22"/>
      <c r="E37" s="133"/>
      <c r="F37" s="133"/>
      <c r="G37" s="133"/>
      <c r="H37" s="133"/>
      <c r="I37" s="133"/>
      <c r="J37" s="133"/>
      <c r="K37" s="133"/>
      <c r="P37" s="133"/>
    </row>
    <row r="38" spans="2:16" x14ac:dyDescent="0.25">
      <c r="B38" s="31">
        <v>2</v>
      </c>
      <c r="C38" s="4">
        <f t="shared" si="18"/>
        <v>2.0712930646524629E-11</v>
      </c>
      <c r="D38" s="133"/>
      <c r="E38" s="135"/>
      <c r="F38" s="133"/>
      <c r="G38" s="133"/>
      <c r="H38" s="133"/>
      <c r="I38" s="133"/>
      <c r="J38" s="133"/>
      <c r="K38" s="133"/>
      <c r="P38" s="133"/>
    </row>
    <row r="39" spans="2:16" x14ac:dyDescent="0.25">
      <c r="B39" s="31">
        <v>3</v>
      </c>
      <c r="C39" s="4">
        <f t="shared" si="18"/>
        <v>2.1238031649533193E-10</v>
      </c>
      <c r="D39" s="133"/>
      <c r="E39" s="136"/>
      <c r="F39" s="133"/>
      <c r="G39" s="133"/>
      <c r="H39" s="133"/>
      <c r="I39" s="133"/>
      <c r="J39" s="133"/>
      <c r="K39" s="133"/>
      <c r="P39" s="133"/>
    </row>
    <row r="40" spans="2:16" x14ac:dyDescent="0.25">
      <c r="B40" s="31">
        <v>4</v>
      </c>
      <c r="C40" s="4">
        <f t="shared" si="18"/>
        <v>1.6332295702116289E-9</v>
      </c>
      <c r="D40" s="133"/>
      <c r="E40" s="136"/>
      <c r="F40" s="133"/>
      <c r="G40" s="133"/>
      <c r="H40" s="133"/>
      <c r="I40" s="133"/>
      <c r="J40" s="133"/>
      <c r="K40" s="133"/>
      <c r="P40" s="133"/>
    </row>
    <row r="41" spans="2:16" x14ac:dyDescent="0.25">
      <c r="B41" s="31">
        <v>5</v>
      </c>
      <c r="C41" s="4">
        <f t="shared" si="18"/>
        <v>1.0047758467870848E-8</v>
      </c>
      <c r="D41" s="133"/>
      <c r="E41" s="136"/>
      <c r="F41" s="133"/>
      <c r="G41" s="133"/>
      <c r="H41" s="133"/>
      <c r="I41" s="133"/>
      <c r="J41" s="133"/>
      <c r="K41" s="133"/>
      <c r="P41" s="133"/>
    </row>
    <row r="42" spans="2:16" x14ac:dyDescent="0.25">
      <c r="B42" s="31">
        <v>6</v>
      </c>
      <c r="C42" s="4">
        <f t="shared" si="18"/>
        <v>5.151205642389878E-8</v>
      </c>
      <c r="D42" s="133"/>
      <c r="E42" s="136"/>
      <c r="F42" s="133"/>
      <c r="G42" s="133"/>
      <c r="H42" s="133"/>
      <c r="I42" s="133"/>
      <c r="J42" s="133"/>
      <c r="K42" s="133"/>
      <c r="P42" s="133"/>
    </row>
    <row r="43" spans="2:16" x14ac:dyDescent="0.25">
      <c r="B43" s="31">
        <v>7</v>
      </c>
      <c r="C43" s="4">
        <f t="shared" si="18"/>
        <v>2.2636057781361252E-7</v>
      </c>
      <c r="D43" s="133"/>
      <c r="E43" s="137"/>
      <c r="F43" s="133"/>
      <c r="G43" s="133"/>
      <c r="H43" s="133"/>
      <c r="I43" s="133"/>
      <c r="J43" s="133"/>
      <c r="K43" s="133"/>
      <c r="P43" s="133"/>
    </row>
    <row r="44" spans="2:16" x14ac:dyDescent="0.25">
      <c r="B44" s="31">
        <v>8</v>
      </c>
      <c r="C44" s="4">
        <f t="shared" si="18"/>
        <v>8.7036165157705832E-7</v>
      </c>
      <c r="D44" s="133"/>
      <c r="E44" s="136"/>
      <c r="F44" s="133"/>
      <c r="G44" s="133"/>
      <c r="H44" s="133"/>
      <c r="I44" s="133"/>
      <c r="J44" s="133"/>
      <c r="K44" s="133"/>
      <c r="P44" s="133"/>
    </row>
    <row r="45" spans="2:16" x14ac:dyDescent="0.25">
      <c r="B45" s="31">
        <v>9</v>
      </c>
      <c r="C45" s="4">
        <f t="shared" si="18"/>
        <v>2.9747137000389299E-6</v>
      </c>
      <c r="D45" s="132"/>
      <c r="E45" s="138"/>
      <c r="F45" s="133"/>
      <c r="G45" s="133"/>
      <c r="H45" s="133"/>
      <c r="I45" s="133"/>
      <c r="J45" s="133"/>
      <c r="K45" s="133"/>
      <c r="P45" s="133"/>
    </row>
    <row r="46" spans="2:16" x14ac:dyDescent="0.25">
      <c r="B46" s="31">
        <v>10</v>
      </c>
      <c r="C46" s="4">
        <f t="shared" si="18"/>
        <v>9.1502319609947749E-6</v>
      </c>
      <c r="D46" s="22"/>
      <c r="E46" s="133"/>
      <c r="F46" s="133"/>
      <c r="G46" s="133"/>
      <c r="H46" s="133"/>
      <c r="I46" s="133"/>
      <c r="J46" s="133"/>
      <c r="K46" s="133"/>
      <c r="P46" s="133"/>
    </row>
    <row r="47" spans="2:16" x14ac:dyDescent="0.25">
      <c r="B47" s="31">
        <v>11</v>
      </c>
      <c r="C47" s="4">
        <f t="shared" si="18"/>
        <v>2.5587351977914765E-5</v>
      </c>
    </row>
    <row r="48" spans="2:16" x14ac:dyDescent="0.25">
      <c r="B48" s="31">
        <v>12</v>
      </c>
      <c r="C48" s="4">
        <f t="shared" si="18"/>
        <v>6.5588699035629223E-5</v>
      </c>
    </row>
    <row r="49" spans="2:3" x14ac:dyDescent="0.25">
      <c r="B49" s="31">
        <v>13</v>
      </c>
      <c r="C49" s="4">
        <f t="shared" si="18"/>
        <v>1.5519208877151004E-4</v>
      </c>
    </row>
    <row r="50" spans="2:3" x14ac:dyDescent="0.25">
      <c r="B50" s="31">
        <v>14</v>
      </c>
      <c r="C50" s="4">
        <f t="shared" si="18"/>
        <v>3.4097650231159666E-4</v>
      </c>
    </row>
    <row r="51" spans="2:3" x14ac:dyDescent="0.25">
      <c r="B51" s="31">
        <v>15</v>
      </c>
      <c r="C51" s="4">
        <f t="shared" si="18"/>
        <v>6.9922201865061273E-4</v>
      </c>
    </row>
    <row r="52" spans="2:3" x14ac:dyDescent="0.25">
      <c r="B52" s="31">
        <v>16</v>
      </c>
      <c r="C52" s="4">
        <f t="shared" si="18"/>
        <v>1.3442375141924535E-3</v>
      </c>
    </row>
    <row r="53" spans="2:3" x14ac:dyDescent="0.25">
      <c r="B53" s="31">
        <v>17</v>
      </c>
      <c r="C53" s="4">
        <f t="shared" si="18"/>
        <v>2.4322431144500243E-3</v>
      </c>
    </row>
    <row r="54" spans="2:3" x14ac:dyDescent="0.25">
      <c r="B54" s="31">
        <v>18</v>
      </c>
      <c r="C54" s="4">
        <f t="shared" si="18"/>
        <v>4.1563619930776669E-3</v>
      </c>
    </row>
    <row r="55" spans="2:3" x14ac:dyDescent="0.25">
      <c r="B55" s="31">
        <v>19</v>
      </c>
      <c r="C55" s="4">
        <f t="shared" si="18"/>
        <v>6.7288004020314004E-3</v>
      </c>
    </row>
    <row r="56" spans="2:3" x14ac:dyDescent="0.25">
      <c r="B56" s="31">
        <v>20</v>
      </c>
      <c r="C56" s="4">
        <f t="shared" si="18"/>
        <v>1.0348669728096217E-2</v>
      </c>
    </row>
    <row r="57" spans="2:3" x14ac:dyDescent="0.25">
      <c r="B57" s="31">
        <v>21</v>
      </c>
      <c r="C57" s="4">
        <f t="shared" si="18"/>
        <v>1.5157972103795478E-2</v>
      </c>
    </row>
    <row r="58" spans="2:3" x14ac:dyDescent="0.25">
      <c r="B58" s="31">
        <v>22</v>
      </c>
      <c r="C58" s="4">
        <f t="shared" si="18"/>
        <v>2.1193041501320661E-2</v>
      </c>
    </row>
    <row r="59" spans="2:3" x14ac:dyDescent="0.25">
      <c r="B59" s="31">
        <v>23</v>
      </c>
      <c r="C59" s="4">
        <f t="shared" si="18"/>
        <v>2.8342575561782744E-2</v>
      </c>
    </row>
    <row r="60" spans="2:3" x14ac:dyDescent="0.25">
      <c r="B60" s="31">
        <v>24</v>
      </c>
      <c r="C60" s="4">
        <f t="shared" si="18"/>
        <v>3.6324607195228523E-2</v>
      </c>
    </row>
    <row r="61" spans="2:3" x14ac:dyDescent="0.25">
      <c r="B61" s="31">
        <v>25</v>
      </c>
      <c r="C61" s="4">
        <f t="shared" si="18"/>
        <v>4.4692306430779663E-2</v>
      </c>
    </row>
    <row r="62" spans="2:3" x14ac:dyDescent="0.25">
      <c r="B62" s="31">
        <v>26</v>
      </c>
      <c r="C62" s="4">
        <f t="shared" si="18"/>
        <v>5.287255094402539E-2</v>
      </c>
    </row>
    <row r="63" spans="2:3" x14ac:dyDescent="0.25">
      <c r="B63" s="31">
        <v>27</v>
      </c>
      <c r="C63" s="4">
        <f t="shared" si="18"/>
        <v>6.023325586564883E-2</v>
      </c>
    </row>
    <row r="64" spans="2:3" x14ac:dyDescent="0.25">
      <c r="B64" s="31">
        <v>28</v>
      </c>
      <c r="C64" s="4">
        <f t="shared" si="18"/>
        <v>6.6167868037186842E-2</v>
      </c>
    </row>
    <row r="65" spans="2:3" x14ac:dyDescent="0.25">
      <c r="B65" s="31">
        <v>29</v>
      </c>
      <c r="C65" s="4">
        <f t="shared" si="18"/>
        <v>7.018058308059491E-2</v>
      </c>
    </row>
    <row r="66" spans="2:3" x14ac:dyDescent="0.25">
      <c r="B66" s="31">
        <v>30</v>
      </c>
      <c r="C66" s="4">
        <f t="shared" si="18"/>
        <v>7.1955258942407091E-2</v>
      </c>
    </row>
    <row r="67" spans="2:3" x14ac:dyDescent="0.25">
      <c r="B67" s="31">
        <v>31</v>
      </c>
      <c r="C67" s="4">
        <f t="shared" si="18"/>
        <v>7.1394813617682018E-2</v>
      </c>
    </row>
    <row r="68" spans="2:3" x14ac:dyDescent="0.25">
      <c r="B68" s="31">
        <v>32</v>
      </c>
      <c r="C68" s="4">
        <f t="shared" si="18"/>
        <v>6.8624864204241118E-2</v>
      </c>
    </row>
    <row r="69" spans="2:3" x14ac:dyDescent="0.25">
      <c r="B69" s="31">
        <v>33</v>
      </c>
      <c r="C69" s="4">
        <f t="shared" si="18"/>
        <v>6.396337411472966E-2</v>
      </c>
    </row>
    <row r="70" spans="2:3" x14ac:dyDescent="0.25">
      <c r="B70" s="31">
        <v>34</v>
      </c>
      <c r="C70" s="4">
        <f t="shared" si="18"/>
        <v>5.7864905663826592E-2</v>
      </c>
    </row>
    <row r="71" spans="2:3" x14ac:dyDescent="0.25">
      <c r="B71" s="31">
        <v>35</v>
      </c>
      <c r="C71" s="4">
        <f t="shared" si="18"/>
        <v>5.0852112738668021E-2</v>
      </c>
    </row>
    <row r="72" spans="2:3" x14ac:dyDescent="0.25">
      <c r="B72" s="31">
        <v>36</v>
      </c>
      <c r="C72" s="4">
        <f t="shared" si="18"/>
        <v>4.3447750020264263E-2</v>
      </c>
    </row>
    <row r="73" spans="2:3" x14ac:dyDescent="0.25">
      <c r="B73" s="31">
        <v>37</v>
      </c>
      <c r="C73" s="4">
        <f t="shared" si="18"/>
        <v>3.6118137936737495E-2</v>
      </c>
    </row>
    <row r="74" spans="2:3" x14ac:dyDescent="0.25">
      <c r="B74" s="31">
        <v>38</v>
      </c>
      <c r="C74" s="4">
        <f t="shared" si="18"/>
        <v>2.9234827492490199E-2</v>
      </c>
    </row>
    <row r="75" spans="2:3" x14ac:dyDescent="0.25">
      <c r="B75" s="31">
        <v>39</v>
      </c>
      <c r="C75" s="4">
        <f t="shared" si="18"/>
        <v>2.3056517060254921E-2</v>
      </c>
    </row>
    <row r="76" spans="2:3" x14ac:dyDescent="0.25">
      <c r="B76" s="31">
        <v>40</v>
      </c>
      <c r="C76" s="4">
        <f t="shared" si="18"/>
        <v>1.7729254763185594E-2</v>
      </c>
    </row>
    <row r="77" spans="2:3" x14ac:dyDescent="0.25">
      <c r="B77" s="31">
        <v>41</v>
      </c>
      <c r="C77" s="4">
        <f t="shared" si="18"/>
        <v>1.3300329115380391E-2</v>
      </c>
    </row>
    <row r="78" spans="2:3" x14ac:dyDescent="0.25">
      <c r="B78" s="31">
        <v>42</v>
      </c>
      <c r="C78" s="4">
        <f t="shared" si="18"/>
        <v>9.7401995740884137E-3</v>
      </c>
    </row>
    <row r="79" spans="2:3" x14ac:dyDescent="0.25">
      <c r="B79" s="31">
        <v>43</v>
      </c>
      <c r="C79" s="4">
        <f t="shared" si="18"/>
        <v>6.9671177869120677E-3</v>
      </c>
    </row>
    <row r="80" spans="2:3" x14ac:dyDescent="0.25">
      <c r="B80" s="31">
        <v>44</v>
      </c>
      <c r="C80" s="4">
        <f t="shared" si="18"/>
        <v>4.8702720782230566E-3</v>
      </c>
    </row>
    <row r="81" spans="2:3" x14ac:dyDescent="0.25">
      <c r="B81" s="31">
        <v>45</v>
      </c>
      <c r="C81" s="4">
        <f t="shared" si="18"/>
        <v>3.3288364026557347E-3</v>
      </c>
    </row>
    <row r="82" spans="2:3" x14ac:dyDescent="0.25">
      <c r="B82" s="31">
        <v>46</v>
      </c>
      <c r="C82" s="4">
        <f t="shared" si="18"/>
        <v>2.2257959969258982E-3</v>
      </c>
    </row>
    <row r="83" spans="2:3" x14ac:dyDescent="0.25">
      <c r="B83" s="31">
        <v>47</v>
      </c>
      <c r="C83" s="4">
        <f t="shared" si="18"/>
        <v>1.4565896854997996E-3</v>
      </c>
    </row>
    <row r="84" spans="2:3" x14ac:dyDescent="0.25">
      <c r="B84" s="31">
        <v>48</v>
      </c>
      <c r="C84" s="4">
        <f t="shared" si="18"/>
        <v>9.3335040161478255E-4</v>
      </c>
    </row>
    <row r="85" spans="2:3" x14ac:dyDescent="0.25">
      <c r="B85" s="31">
        <v>49</v>
      </c>
      <c r="C85" s="4">
        <f t="shared" si="18"/>
        <v>5.8586338835831008E-4</v>
      </c>
    </row>
    <row r="86" spans="2:3" x14ac:dyDescent="0.25">
      <c r="B86" s="31">
        <v>50</v>
      </c>
      <c r="C86" s="4">
        <f t="shared" si="18"/>
        <v>3.6039028034574552E-4</v>
      </c>
    </row>
    <row r="87" spans="2:3" x14ac:dyDescent="0.25">
      <c r="B87" s="31">
        <v>51</v>
      </c>
      <c r="C87" s="4">
        <f t="shared" si="18"/>
        <v>2.1734447417502863E-4</v>
      </c>
    </row>
    <row r="88" spans="2:3" x14ac:dyDescent="0.25">
      <c r="B88" s="31">
        <v>52</v>
      </c>
      <c r="C88" s="4">
        <f t="shared" si="18"/>
        <v>1.2855529328654233E-4</v>
      </c>
    </row>
    <row r="89" spans="2:3" x14ac:dyDescent="0.25">
      <c r="B89" s="31">
        <v>53</v>
      </c>
      <c r="C89" s="4">
        <f t="shared" si="18"/>
        <v>7.460325775684815E-5</v>
      </c>
    </row>
    <row r="90" spans="2:3" x14ac:dyDescent="0.25">
      <c r="B90" s="31">
        <v>54</v>
      </c>
      <c r="C90" s="4">
        <f t="shared" si="18"/>
        <v>4.2491956279095776E-5</v>
      </c>
    </row>
    <row r="91" spans="2:3" x14ac:dyDescent="0.25">
      <c r="B91" s="31">
        <v>55</v>
      </c>
      <c r="C91" s="4">
        <f t="shared" si="18"/>
        <v>2.3762149517341017E-5</v>
      </c>
    </row>
    <row r="92" spans="2:3" x14ac:dyDescent="0.25">
      <c r="B92" s="31">
        <v>56</v>
      </c>
      <c r="C92" s="4">
        <f t="shared" si="18"/>
        <v>1.3050837422313312E-5</v>
      </c>
    </row>
    <row r="93" spans="2:3" x14ac:dyDescent="0.25">
      <c r="B93" s="31">
        <v>57</v>
      </c>
      <c r="C93" s="4">
        <f t="shared" si="18"/>
        <v>7.0421164246276372E-6</v>
      </c>
    </row>
    <row r="94" spans="2:3" x14ac:dyDescent="0.25">
      <c r="B94" s="31">
        <v>58</v>
      </c>
      <c r="C94" s="4">
        <f t="shared" si="18"/>
        <v>3.7343401904605338E-6</v>
      </c>
    </row>
    <row r="95" spans="2:3" x14ac:dyDescent="0.25">
      <c r="B95" s="31">
        <v>59</v>
      </c>
      <c r="C95" s="4">
        <f t="shared" si="18"/>
        <v>1.9467022601337004E-6</v>
      </c>
    </row>
    <row r="96" spans="2:3" x14ac:dyDescent="0.25">
      <c r="B96" s="31">
        <v>60</v>
      </c>
      <c r="C96" s="4">
        <f t="shared" si="18"/>
        <v>9.9789522220792355E-7</v>
      </c>
    </row>
    <row r="97" spans="2:29" x14ac:dyDescent="0.25">
      <c r="B97" s="6"/>
      <c r="C97" s="31"/>
    </row>
    <row r="98" spans="2:29" x14ac:dyDescent="0.25">
      <c r="B98" s="6"/>
      <c r="C98" s="31"/>
    </row>
    <row r="99" spans="2:29" s="22" customFormat="1" x14ac:dyDescent="0.25">
      <c r="C99" s="241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V99" s="133"/>
      <c r="W99" s="133"/>
      <c r="X99" s="133"/>
      <c r="Y99" s="133"/>
      <c r="Z99" s="133"/>
      <c r="AA99" s="133"/>
      <c r="AB99" s="133"/>
      <c r="AC99" s="133"/>
    </row>
    <row r="100" spans="2:29" s="22" customFormat="1" x14ac:dyDescent="0.25">
      <c r="C100" s="241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V100" s="133"/>
      <c r="W100" s="133"/>
      <c r="X100" s="133"/>
      <c r="Y100" s="133"/>
      <c r="Z100" s="133"/>
      <c r="AA100" s="133"/>
      <c r="AB100" s="133"/>
      <c r="AC100" s="133"/>
    </row>
    <row r="101" spans="2:29" s="22" customFormat="1" x14ac:dyDescent="0.25">
      <c r="C101" s="141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V101" s="133"/>
      <c r="W101" s="133"/>
      <c r="X101" s="133"/>
      <c r="Y101" s="133"/>
      <c r="Z101" s="133"/>
      <c r="AA101" s="133"/>
      <c r="AB101" s="133"/>
      <c r="AC101" s="133"/>
    </row>
    <row r="102" spans="2:29" s="22" customFormat="1" x14ac:dyDescent="0.25"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V102" s="133"/>
      <c r="W102" s="133"/>
      <c r="X102" s="133"/>
      <c r="Y102" s="133"/>
      <c r="Z102" s="133"/>
      <c r="AA102" s="133"/>
      <c r="AB102" s="133"/>
      <c r="AC102" s="133"/>
    </row>
    <row r="103" spans="2:29" s="22" customFormat="1" x14ac:dyDescent="0.25">
      <c r="B103" s="9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V103" s="133"/>
      <c r="W103" s="133"/>
      <c r="X103" s="133"/>
      <c r="Y103" s="133"/>
      <c r="Z103" s="133"/>
      <c r="AA103" s="133"/>
      <c r="AB103" s="133"/>
      <c r="AC103" s="133"/>
    </row>
    <row r="104" spans="2:29" s="22" customFormat="1" x14ac:dyDescent="0.25"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V104" s="133"/>
      <c r="W104" s="133"/>
      <c r="X104" s="133"/>
      <c r="Y104" s="133"/>
      <c r="Z104" s="133"/>
      <c r="AA104" s="133"/>
      <c r="AB104" s="133"/>
      <c r="AC104" s="133"/>
    </row>
    <row r="105" spans="2:29" s="22" customFormat="1" x14ac:dyDescent="0.25">
      <c r="C105" s="242"/>
      <c r="D105" s="24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V105" s="133"/>
      <c r="W105" s="133"/>
      <c r="X105" s="133"/>
      <c r="Y105" s="133"/>
      <c r="Z105" s="133"/>
      <c r="AA105" s="133"/>
      <c r="AB105" s="133"/>
      <c r="AC105" s="133"/>
    </row>
    <row r="106" spans="2:29" s="22" customFormat="1" x14ac:dyDescent="0.25">
      <c r="B106" s="93"/>
      <c r="C106" s="64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V106" s="133"/>
      <c r="W106" s="133"/>
      <c r="X106" s="133"/>
      <c r="Y106" s="133"/>
      <c r="Z106" s="133"/>
      <c r="AA106" s="133"/>
      <c r="AB106" s="133"/>
      <c r="AC106" s="133"/>
    </row>
    <row r="107" spans="2:29" s="22" customFormat="1" x14ac:dyDescent="0.25"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V107" s="133"/>
      <c r="W107" s="133"/>
      <c r="X107" s="133"/>
      <c r="Y107" s="133"/>
      <c r="Z107" s="133"/>
      <c r="AA107" s="133"/>
      <c r="AB107" s="133"/>
      <c r="AC107" s="133"/>
    </row>
    <row r="108" spans="2:29" s="22" customFormat="1" x14ac:dyDescent="0.25"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V108" s="133"/>
      <c r="W108" s="133"/>
      <c r="X108" s="133"/>
      <c r="Y108" s="133"/>
      <c r="Z108" s="133"/>
      <c r="AA108" s="133"/>
      <c r="AB108" s="133"/>
      <c r="AC108" s="133"/>
    </row>
    <row r="109" spans="2:29" s="22" customFormat="1" x14ac:dyDescent="0.25">
      <c r="B109" s="9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V109" s="133"/>
      <c r="W109" s="133"/>
      <c r="X109" s="133"/>
      <c r="Y109" s="133"/>
      <c r="Z109" s="133"/>
      <c r="AA109" s="133"/>
      <c r="AB109" s="133"/>
      <c r="AC109" s="133"/>
    </row>
    <row r="110" spans="2:29" s="22" customFormat="1" x14ac:dyDescent="0.25"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V110" s="133"/>
      <c r="W110" s="133"/>
      <c r="X110" s="133"/>
      <c r="Y110" s="133"/>
      <c r="Z110" s="133"/>
      <c r="AA110" s="133"/>
      <c r="AB110" s="133"/>
      <c r="AC110" s="133"/>
    </row>
    <row r="111" spans="2:29" s="22" customFormat="1" x14ac:dyDescent="0.25">
      <c r="C111" s="244"/>
      <c r="D111" s="24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V111" s="133"/>
      <c r="W111" s="133"/>
      <c r="X111" s="133"/>
      <c r="Y111" s="133"/>
      <c r="Z111" s="133"/>
      <c r="AA111" s="133"/>
      <c r="AB111" s="133"/>
      <c r="AC111" s="133"/>
    </row>
    <row r="112" spans="2:29" s="22" customFormat="1" x14ac:dyDescent="0.25">
      <c r="C112" s="135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V112" s="133"/>
      <c r="W112" s="133"/>
      <c r="X112" s="133"/>
      <c r="Y112" s="133"/>
      <c r="Z112" s="133"/>
      <c r="AA112" s="133"/>
      <c r="AB112" s="133"/>
      <c r="AC112" s="133"/>
    </row>
    <row r="113" spans="1:29" s="22" customFormat="1" x14ac:dyDescent="0.25"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V113" s="133"/>
      <c r="W113" s="133"/>
      <c r="X113" s="133"/>
      <c r="Y113" s="133"/>
      <c r="Z113" s="133"/>
      <c r="AA113" s="133"/>
      <c r="AB113" s="133"/>
      <c r="AC113" s="133"/>
    </row>
    <row r="114" spans="1:29" s="22" customFormat="1" x14ac:dyDescent="0.25">
      <c r="C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V114" s="133"/>
      <c r="W114" s="133"/>
      <c r="X114" s="133"/>
      <c r="Y114" s="133"/>
      <c r="Z114" s="133"/>
      <c r="AA114" s="133"/>
      <c r="AB114" s="133"/>
      <c r="AC114" s="133"/>
    </row>
    <row r="115" spans="1:29" s="22" customFormat="1" x14ac:dyDescent="0.25">
      <c r="C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V115" s="133"/>
      <c r="W115" s="133"/>
      <c r="X115" s="133"/>
      <c r="Y115" s="133"/>
      <c r="Z115" s="133"/>
      <c r="AA115" s="133"/>
      <c r="AB115" s="133"/>
      <c r="AC115" s="133"/>
    </row>
    <row r="116" spans="1:29" s="22" customFormat="1" x14ac:dyDescent="0.25">
      <c r="B116" s="132"/>
      <c r="C116" s="132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V116" s="133"/>
      <c r="W116" s="133"/>
      <c r="X116" s="133"/>
      <c r="Y116" s="133"/>
      <c r="Z116" s="133"/>
      <c r="AA116" s="133"/>
      <c r="AB116" s="133"/>
      <c r="AC116" s="133"/>
    </row>
    <row r="117" spans="1:29" s="22" customFormat="1" x14ac:dyDescent="0.25">
      <c r="B117" s="133"/>
      <c r="C117" s="135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V117" s="133"/>
      <c r="W117" s="133"/>
      <c r="X117" s="133"/>
      <c r="Y117" s="133"/>
      <c r="Z117" s="133"/>
      <c r="AA117" s="133"/>
      <c r="AB117" s="133"/>
      <c r="AC117" s="133"/>
    </row>
    <row r="118" spans="1:29" s="22" customFormat="1" x14ac:dyDescent="0.25">
      <c r="A118" s="245"/>
      <c r="B118" s="133"/>
      <c r="C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V118" s="133"/>
      <c r="W118" s="133"/>
      <c r="X118" s="133"/>
      <c r="Y118" s="133"/>
      <c r="Z118" s="133"/>
      <c r="AA118" s="133"/>
      <c r="AB118" s="133"/>
      <c r="AC118" s="133"/>
    </row>
    <row r="119" spans="1:29" s="22" customFormat="1" x14ac:dyDescent="0.25">
      <c r="A119" s="246"/>
      <c r="B119" s="133"/>
      <c r="C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V119" s="133"/>
      <c r="W119" s="133"/>
      <c r="X119" s="133"/>
      <c r="Y119" s="133"/>
      <c r="Z119" s="133"/>
      <c r="AA119" s="133"/>
      <c r="AB119" s="133"/>
      <c r="AC119" s="133"/>
    </row>
    <row r="120" spans="1:29" s="22" customFormat="1" x14ac:dyDescent="0.25">
      <c r="A120" s="246"/>
      <c r="B120" s="133"/>
      <c r="C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V120" s="133"/>
      <c r="W120" s="133"/>
      <c r="X120" s="133"/>
      <c r="Y120" s="133"/>
      <c r="Z120" s="133"/>
      <c r="AA120" s="133"/>
      <c r="AB120" s="133"/>
      <c r="AC120" s="133"/>
    </row>
    <row r="121" spans="1:29" s="22" customFormat="1" x14ac:dyDescent="0.25">
      <c r="A121" s="246"/>
      <c r="B121" s="133"/>
      <c r="C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V121" s="133"/>
      <c r="W121" s="133"/>
      <c r="X121" s="133"/>
      <c r="Y121" s="133"/>
      <c r="Z121" s="133"/>
      <c r="AA121" s="133"/>
      <c r="AB121" s="133"/>
      <c r="AC121" s="133"/>
    </row>
    <row r="122" spans="1:29" s="22" customFormat="1" x14ac:dyDescent="0.25">
      <c r="A122" s="246"/>
      <c r="B122" s="133"/>
      <c r="C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V122" s="133"/>
      <c r="W122" s="133"/>
      <c r="X122" s="133"/>
      <c r="Y122" s="133"/>
      <c r="Z122" s="133"/>
      <c r="AA122" s="133"/>
      <c r="AB122" s="133"/>
      <c r="AC122" s="133"/>
    </row>
    <row r="123" spans="1:29" s="22" customFormat="1" x14ac:dyDescent="0.25">
      <c r="A123" s="246"/>
      <c r="B123" s="133"/>
      <c r="C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V123" s="133"/>
      <c r="W123" s="133"/>
      <c r="X123" s="133"/>
      <c r="Y123" s="133"/>
      <c r="Z123" s="133"/>
      <c r="AA123" s="133"/>
      <c r="AB123" s="133"/>
      <c r="AC123" s="133"/>
    </row>
    <row r="124" spans="1:29" s="22" customFormat="1" x14ac:dyDescent="0.25">
      <c r="A124" s="246"/>
      <c r="B124" s="133"/>
      <c r="C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V124" s="133"/>
      <c r="W124" s="133"/>
      <c r="X124" s="133"/>
      <c r="Y124" s="133"/>
      <c r="Z124" s="133"/>
      <c r="AA124" s="133"/>
      <c r="AB124" s="133"/>
      <c r="AC124" s="133"/>
    </row>
    <row r="125" spans="1:29" s="22" customFormat="1" x14ac:dyDescent="0.25">
      <c r="A125" s="246"/>
      <c r="B125" s="133"/>
      <c r="C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V125" s="133"/>
      <c r="W125" s="133"/>
      <c r="X125" s="133"/>
      <c r="Y125" s="133"/>
      <c r="Z125" s="133"/>
      <c r="AA125" s="133"/>
      <c r="AB125" s="133"/>
      <c r="AC125" s="133"/>
    </row>
    <row r="126" spans="1:29" s="22" customFormat="1" x14ac:dyDescent="0.25">
      <c r="A126" s="246"/>
      <c r="B126" s="133"/>
      <c r="C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V126" s="133"/>
      <c r="W126" s="133"/>
      <c r="X126" s="133"/>
      <c r="Y126" s="133"/>
      <c r="Z126" s="133"/>
      <c r="AA126" s="133"/>
      <c r="AB126" s="133"/>
      <c r="AC126" s="133"/>
    </row>
    <row r="127" spans="1:29" s="22" customFormat="1" x14ac:dyDescent="0.25">
      <c r="A127" s="246"/>
      <c r="B127" s="133"/>
      <c r="C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V127" s="133"/>
      <c r="W127" s="133"/>
      <c r="X127" s="133"/>
      <c r="Y127" s="133"/>
      <c r="Z127" s="133"/>
      <c r="AA127" s="133"/>
      <c r="AB127" s="133"/>
      <c r="AC127" s="133"/>
    </row>
    <row r="128" spans="1:29" s="22" customFormat="1" x14ac:dyDescent="0.25">
      <c r="A128" s="246"/>
      <c r="B128" s="133"/>
      <c r="C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V128" s="133"/>
      <c r="W128" s="133"/>
      <c r="X128" s="133"/>
      <c r="Y128" s="133"/>
      <c r="Z128" s="133"/>
      <c r="AA128" s="133"/>
      <c r="AB128" s="133"/>
      <c r="AC128" s="133"/>
    </row>
    <row r="129" spans="1:29" s="22" customFormat="1" x14ac:dyDescent="0.25">
      <c r="A129" s="246"/>
      <c r="B129" s="133"/>
      <c r="C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V129" s="133"/>
      <c r="W129" s="133"/>
      <c r="X129" s="133"/>
      <c r="Y129" s="133"/>
      <c r="Z129" s="133"/>
      <c r="AA129" s="133"/>
      <c r="AB129" s="133"/>
      <c r="AC129" s="133"/>
    </row>
    <row r="130" spans="1:29" s="22" customFormat="1" x14ac:dyDescent="0.25">
      <c r="A130" s="246"/>
      <c r="B130" s="133"/>
      <c r="C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V130" s="133"/>
      <c r="W130" s="133"/>
      <c r="X130" s="133"/>
      <c r="Y130" s="133"/>
      <c r="Z130" s="133"/>
      <c r="AA130" s="133"/>
      <c r="AB130" s="133"/>
      <c r="AC130" s="133"/>
    </row>
    <row r="131" spans="1:29" s="22" customFormat="1" x14ac:dyDescent="0.25">
      <c r="A131" s="246"/>
      <c r="B131" s="133"/>
      <c r="C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V131" s="133"/>
      <c r="W131" s="133"/>
      <c r="X131" s="133"/>
      <c r="Y131" s="133"/>
      <c r="Z131" s="133"/>
      <c r="AA131" s="133"/>
      <c r="AB131" s="133"/>
      <c r="AC131" s="133"/>
    </row>
    <row r="132" spans="1:29" s="22" customFormat="1" x14ac:dyDescent="0.25">
      <c r="A132" s="246"/>
      <c r="B132" s="133"/>
      <c r="C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V132" s="133"/>
      <c r="W132" s="133"/>
      <c r="X132" s="133"/>
      <c r="Y132" s="133"/>
      <c r="Z132" s="133"/>
      <c r="AA132" s="133"/>
      <c r="AB132" s="133"/>
      <c r="AC132" s="133"/>
    </row>
    <row r="133" spans="1:29" s="22" customFormat="1" x14ac:dyDescent="0.25">
      <c r="A133" s="246"/>
      <c r="B133" s="133"/>
      <c r="C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V133" s="133"/>
      <c r="W133" s="133"/>
      <c r="X133" s="133"/>
      <c r="Y133" s="133"/>
      <c r="Z133" s="133"/>
      <c r="AA133" s="133"/>
      <c r="AB133" s="133"/>
      <c r="AC133" s="133"/>
    </row>
    <row r="134" spans="1:29" s="22" customFormat="1" x14ac:dyDescent="0.25">
      <c r="A134" s="246"/>
      <c r="B134" s="133"/>
      <c r="C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V134" s="133"/>
      <c r="W134" s="133"/>
      <c r="X134" s="133"/>
      <c r="Y134" s="133"/>
      <c r="Z134" s="133"/>
      <c r="AA134" s="133"/>
      <c r="AB134" s="133"/>
      <c r="AC134" s="133"/>
    </row>
    <row r="135" spans="1:29" s="22" customFormat="1" x14ac:dyDescent="0.25">
      <c r="A135" s="246"/>
      <c r="B135" s="133"/>
      <c r="C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V135" s="133"/>
      <c r="W135" s="133"/>
      <c r="X135" s="133"/>
      <c r="Y135" s="133"/>
      <c r="Z135" s="133"/>
      <c r="AA135" s="133"/>
      <c r="AB135" s="133"/>
      <c r="AC135" s="133"/>
    </row>
    <row r="136" spans="1:29" s="22" customFormat="1" x14ac:dyDescent="0.25">
      <c r="A136" s="246"/>
      <c r="B136" s="133"/>
      <c r="C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V136" s="133"/>
      <c r="W136" s="133"/>
      <c r="X136" s="133"/>
      <c r="Y136" s="133"/>
      <c r="Z136" s="133"/>
      <c r="AA136" s="133"/>
      <c r="AB136" s="133"/>
      <c r="AC136" s="133"/>
    </row>
    <row r="137" spans="1:29" s="22" customFormat="1" x14ac:dyDescent="0.25">
      <c r="A137" s="246"/>
      <c r="B137" s="133"/>
      <c r="C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V137" s="133"/>
      <c r="W137" s="133"/>
      <c r="X137" s="133"/>
      <c r="Y137" s="133"/>
      <c r="Z137" s="133"/>
      <c r="AA137" s="133"/>
      <c r="AB137" s="133"/>
      <c r="AC137" s="133"/>
    </row>
    <row r="138" spans="1:29" s="22" customFormat="1" x14ac:dyDescent="0.25">
      <c r="A138" s="246"/>
      <c r="B138" s="133"/>
      <c r="C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V138" s="133"/>
      <c r="W138" s="133"/>
      <c r="X138" s="133"/>
      <c r="Y138" s="133"/>
      <c r="Z138" s="133"/>
      <c r="AA138" s="133"/>
      <c r="AB138" s="133"/>
      <c r="AC138" s="133"/>
    </row>
    <row r="139" spans="1:29" s="22" customFormat="1" x14ac:dyDescent="0.25">
      <c r="C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V139" s="133"/>
      <c r="W139" s="133"/>
      <c r="X139" s="133"/>
      <c r="Y139" s="133"/>
      <c r="Z139" s="133"/>
      <c r="AA139" s="133"/>
      <c r="AB139" s="133"/>
      <c r="AC139" s="133"/>
    </row>
    <row r="140" spans="1:29" s="22" customFormat="1" x14ac:dyDescent="0.25">
      <c r="C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V140" s="133"/>
      <c r="W140" s="133"/>
      <c r="X140" s="133"/>
      <c r="Y140" s="133"/>
      <c r="Z140" s="133"/>
      <c r="AA140" s="133"/>
      <c r="AB140" s="133"/>
      <c r="AC140" s="133"/>
    </row>
    <row r="141" spans="1:29" x14ac:dyDescent="0.25">
      <c r="B141" s="6"/>
      <c r="C141" s="31"/>
    </row>
    <row r="142" spans="1:29" x14ac:dyDescent="0.25">
      <c r="B142" s="6"/>
      <c r="C142" s="31"/>
    </row>
    <row r="143" spans="1:29" x14ac:dyDescent="0.25">
      <c r="B143" s="6"/>
      <c r="C143" s="31"/>
    </row>
    <row r="144" spans="1:29" x14ac:dyDescent="0.25">
      <c r="B144" s="6"/>
      <c r="C144" s="31"/>
    </row>
    <row r="145" spans="2:3" x14ac:dyDescent="0.25">
      <c r="B145" s="6"/>
      <c r="C145" s="31"/>
    </row>
    <row r="146" spans="2:3" x14ac:dyDescent="0.25">
      <c r="B146" s="6"/>
      <c r="C146" s="31"/>
    </row>
    <row r="147" spans="2:3" x14ac:dyDescent="0.25">
      <c r="B147" s="6"/>
      <c r="C147" s="31"/>
    </row>
    <row r="148" spans="2:3" x14ac:dyDescent="0.25">
      <c r="B148" s="6"/>
      <c r="C148" s="31"/>
    </row>
  </sheetData>
  <phoneticPr fontId="9" type="noConversion"/>
  <pageMargins left="0.7" right="0.7" top="0.75" bottom="0.75" header="0.3" footer="0.3"/>
  <pageSetup orientation="portrait" r:id="rId1"/>
  <ignoredErrors>
    <ignoredError sqref="N4:N21 L4:L21" evalError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0BBB-A21A-479B-8293-27459A309C06}">
  <dimension ref="A1:AI170"/>
  <sheetViews>
    <sheetView topLeftCell="B1" zoomScale="81" zoomScaleNormal="81" workbookViewId="0">
      <selection activeCell="C25" sqref="C25"/>
    </sheetView>
  </sheetViews>
  <sheetFormatPr defaultRowHeight="15" x14ac:dyDescent="0.25"/>
  <cols>
    <col min="1" max="1" width="2.28515625" style="6" customWidth="1"/>
    <col min="2" max="2" width="27.140625" bestFit="1" customWidth="1"/>
    <col min="3" max="3" width="20.28515625" style="1" bestFit="1" customWidth="1"/>
    <col min="4" max="4" width="20.7109375" style="6" bestFit="1" customWidth="1"/>
    <col min="5" max="5" width="14.7109375" style="31" bestFit="1" customWidth="1"/>
    <col min="6" max="6" width="16.140625" style="31" customWidth="1"/>
    <col min="7" max="7" width="7.42578125" style="31" bestFit="1" customWidth="1"/>
    <col min="8" max="8" width="12.140625" style="31" bestFit="1" customWidth="1"/>
    <col min="9" max="11" width="12.140625" style="31" customWidth="1"/>
    <col min="12" max="12" width="19.28515625" style="31" bestFit="1" customWidth="1"/>
    <col min="13" max="13" width="19.28515625" style="31" customWidth="1"/>
    <col min="14" max="14" width="10.5703125" style="31" bestFit="1" customWidth="1"/>
    <col min="15" max="15" width="2.28515625" style="31" customWidth="1"/>
    <col min="16" max="16" width="12.85546875" style="31" bestFit="1" customWidth="1"/>
    <col min="17" max="17" width="14.7109375" style="31" bestFit="1" customWidth="1"/>
    <col min="18" max="18" width="11.85546875" style="31" bestFit="1" customWidth="1"/>
    <col min="19" max="19" width="2.5703125" style="6" customWidth="1"/>
    <col min="20" max="21" width="8.85546875" style="6"/>
    <col min="22" max="29" width="8.85546875" style="31"/>
    <col min="30" max="35" width="8.85546875" style="6"/>
  </cols>
  <sheetData>
    <row r="1" spans="1:35" s="103" customFormat="1" ht="15.75" thickBot="1" x14ac:dyDescent="0.3">
      <c r="A1" s="17"/>
      <c r="B1" s="3" t="s">
        <v>55</v>
      </c>
      <c r="C1" s="142" t="s">
        <v>111</v>
      </c>
      <c r="D1" s="3" t="s">
        <v>105</v>
      </c>
      <c r="E1" s="3" t="s">
        <v>103</v>
      </c>
      <c r="F1" s="3" t="s">
        <v>104</v>
      </c>
      <c r="G1" s="3" t="s">
        <v>46</v>
      </c>
      <c r="H1" s="3" t="s">
        <v>107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122</v>
      </c>
      <c r="N1" s="3" t="s">
        <v>96</v>
      </c>
      <c r="O1" s="3"/>
      <c r="P1" s="3" t="s">
        <v>112</v>
      </c>
      <c r="Q1" s="3" t="s">
        <v>113</v>
      </c>
      <c r="R1" s="3" t="s">
        <v>108</v>
      </c>
      <c r="S1" s="17"/>
      <c r="T1" s="206" t="s">
        <v>0</v>
      </c>
      <c r="U1" s="206" t="s">
        <v>106</v>
      </c>
      <c r="V1" s="3" t="s">
        <v>109</v>
      </c>
      <c r="W1" s="143" t="s">
        <v>3</v>
      </c>
      <c r="X1" s="143" t="s">
        <v>5</v>
      </c>
      <c r="Y1" s="3" t="s">
        <v>38</v>
      </c>
      <c r="Z1" s="143" t="s">
        <v>6</v>
      </c>
      <c r="AA1" s="3" t="s">
        <v>9</v>
      </c>
      <c r="AE1" s="17"/>
      <c r="AF1" s="17"/>
      <c r="AG1" s="17"/>
      <c r="AH1" s="17"/>
      <c r="AI1" s="17"/>
    </row>
    <row r="2" spans="1:35" ht="15.75" thickBot="1" x14ac:dyDescent="0.3">
      <c r="B2" s="31">
        <v>211</v>
      </c>
      <c r="C2" s="30">
        <f>rho!E6 * (1-tr_tax)</f>
        <v>31829474.020034879</v>
      </c>
      <c r="D2" s="219">
        <f>SKY!D2</f>
        <v>31704823791.377499</v>
      </c>
      <c r="E2" s="181">
        <v>14182000</v>
      </c>
      <c r="F2" s="181">
        <v>10177000000</v>
      </c>
      <c r="G2" s="181">
        <v>150000</v>
      </c>
      <c r="H2" s="140">
        <v>1</v>
      </c>
      <c r="I2" s="140">
        <v>340</v>
      </c>
      <c r="J2" s="210">
        <v>0.03</v>
      </c>
      <c r="K2" s="220">
        <f>R2*P2 *J2 +I2</f>
        <v>668.63290173856831</v>
      </c>
      <c r="L2" s="212">
        <f t="shared" ref="L2:L21" si="0">R2*P2-K2</f>
        <v>10285.797156213706</v>
      </c>
      <c r="M2" s="224">
        <f>(1+L2/E2)^(365/5) -1</f>
        <v>5.4351211485045958E-2</v>
      </c>
      <c r="N2" s="213">
        <f t="shared" ref="N2:N21" si="1">L2/H2</f>
        <v>10285.797156213706</v>
      </c>
      <c r="O2" s="182"/>
      <c r="P2" s="183">
        <f t="shared" ref="P2:P21" si="2">(((Z2-((1-Z2/Y2)*AA2))/Y2*AA2*U2)+Z2) * C2/(1+U2)</f>
        <v>10954.430057952275</v>
      </c>
      <c r="Q2" s="228">
        <f t="shared" ref="Q2:Q20" si="3">E2/F2 * 21600 * (1-V2)</f>
        <v>3.0100343912744418</v>
      </c>
      <c r="R2" s="185">
        <f>IF(V2&gt;=0.8,1,H2/Q2)</f>
        <v>1</v>
      </c>
      <c r="T2" s="222">
        <v>150</v>
      </c>
      <c r="U2" s="140">
        <v>0.3</v>
      </c>
      <c r="V2" s="192">
        <v>0.9</v>
      </c>
      <c r="W2" s="193">
        <f t="shared" ref="W2:W21" si="4">G2/D2</f>
        <v>4.7311412606177069E-6</v>
      </c>
      <c r="X2" s="193">
        <f t="shared" ref="X2:X21" si="5">E2/D2</f>
        <v>4.4731363572053542E-4</v>
      </c>
      <c r="Y2" s="194">
        <f t="shared" ref="Y2:Y21" si="6">1/T2</f>
        <v>6.6666666666666671E-3</v>
      </c>
      <c r="Z2" s="195">
        <f>MIN(X2,Y2)</f>
        <v>4.4731363572053542E-4</v>
      </c>
      <c r="AA2" s="196">
        <f>MIN(W2,Y2)</f>
        <v>4.7311412606177069E-6</v>
      </c>
    </row>
    <row r="3" spans="1:35" x14ac:dyDescent="0.25">
      <c r="B3" s="31">
        <v>212</v>
      </c>
      <c r="C3" s="30">
        <f>rho!E7 * (1-tr_tax)</f>
        <v>31733985.597974777</v>
      </c>
      <c r="D3" s="30">
        <f t="shared" ref="D3:D21" si="7">D2+(C2/(1-tr_tax))</f>
        <v>31744610633.902542</v>
      </c>
      <c r="E3" s="181">
        <v>15531000</v>
      </c>
      <c r="F3" s="181">
        <v>12100000000</v>
      </c>
      <c r="G3" s="181">
        <v>150000</v>
      </c>
      <c r="H3" s="140">
        <v>3</v>
      </c>
      <c r="I3" s="140">
        <v>340</v>
      </c>
      <c r="J3" s="210">
        <v>0.03</v>
      </c>
      <c r="K3" s="221">
        <f>R3*P3 *J3 +I3</f>
        <v>698.36323449878671</v>
      </c>
      <c r="L3" s="211">
        <f t="shared" si="0"/>
        <v>11247.07791546077</v>
      </c>
      <c r="M3" s="225">
        <f t="shared" ref="M3:M21" si="8">(1+L3/E3)^(365/5) -1</f>
        <v>5.4266482626694756E-2</v>
      </c>
      <c r="N3" s="214">
        <f t="shared" si="1"/>
        <v>3749.0259718202565</v>
      </c>
      <c r="O3" s="182"/>
      <c r="P3" s="186">
        <f t="shared" si="2"/>
        <v>11945.441149959557</v>
      </c>
      <c r="Q3" s="227">
        <f t="shared" si="3"/>
        <v>5.5449520661157008</v>
      </c>
      <c r="R3" s="188">
        <f>IF(V3&gt;=0.8,1,H3/Q3)</f>
        <v>1</v>
      </c>
      <c r="T3" s="222">
        <v>150</v>
      </c>
      <c r="U3" s="140">
        <v>0.3</v>
      </c>
      <c r="V3" s="197">
        <v>0.8</v>
      </c>
      <c r="W3" s="129">
        <f t="shared" si="4"/>
        <v>4.7252115242454201E-6</v>
      </c>
      <c r="X3" s="129">
        <f t="shared" si="5"/>
        <v>4.892484012203708E-4</v>
      </c>
      <c r="Y3" s="198">
        <f t="shared" si="6"/>
        <v>6.6666666666666671E-3</v>
      </c>
      <c r="Z3" s="199">
        <f t="shared" ref="Z3:Z21" si="9">MIN(X3,Y3)</f>
        <v>4.892484012203708E-4</v>
      </c>
      <c r="AA3" s="200">
        <f t="shared" ref="AA3:AA21" si="10">MIN(W3,Y3)</f>
        <v>4.7252115242454201E-6</v>
      </c>
    </row>
    <row r="4" spans="1:35" x14ac:dyDescent="0.25">
      <c r="B4" s="31">
        <v>213</v>
      </c>
      <c r="C4" s="30">
        <f>rho!E8 * (1-tr_tax)</f>
        <v>31638783.641180851</v>
      </c>
      <c r="D4" s="30">
        <f t="shared" si="7"/>
        <v>31784278115.900009</v>
      </c>
      <c r="E4" s="181">
        <v>15260000</v>
      </c>
      <c r="F4" s="181">
        <f>12760000000</f>
        <v>12760000000</v>
      </c>
      <c r="G4" s="181">
        <v>150000</v>
      </c>
      <c r="H4" s="140">
        <v>6</v>
      </c>
      <c r="I4" s="140">
        <v>340</v>
      </c>
      <c r="J4" s="210">
        <v>0.03</v>
      </c>
      <c r="K4" s="221">
        <f t="shared" ref="K4:K21" si="11">R4*P4 *J4 +I4</f>
        <v>710.17083744851504</v>
      </c>
      <c r="L4" s="211">
        <f t="shared" si="0"/>
        <v>11628.857077501987</v>
      </c>
      <c r="M4" s="225">
        <f t="shared" si="8"/>
        <v>5.7183546728435619E-2</v>
      </c>
      <c r="N4" s="214">
        <f t="shared" si="1"/>
        <v>1938.1428462503311</v>
      </c>
      <c r="O4" s="182"/>
      <c r="P4" s="186">
        <f t="shared" si="2"/>
        <v>11687.18685406415</v>
      </c>
      <c r="Q4" s="227">
        <f t="shared" si="3"/>
        <v>5.6830344827586199</v>
      </c>
      <c r="R4" s="188">
        <f>IF(V4&gt;=0.8,1,H4/Q4)</f>
        <v>1.0557739915538082</v>
      </c>
      <c r="T4" s="222">
        <v>150</v>
      </c>
      <c r="U4" s="140">
        <v>0.3</v>
      </c>
      <c r="V4" s="197">
        <v>0.78</v>
      </c>
      <c r="W4" s="129">
        <f t="shared" si="4"/>
        <v>4.7193143557651811E-6</v>
      </c>
      <c r="X4" s="129">
        <f t="shared" si="5"/>
        <v>4.8011158045984444E-4</v>
      </c>
      <c r="Y4" s="198">
        <f t="shared" si="6"/>
        <v>6.6666666666666671E-3</v>
      </c>
      <c r="Z4" s="199">
        <f t="shared" si="9"/>
        <v>4.8011158045984444E-4</v>
      </c>
      <c r="AA4" s="200">
        <f t="shared" si="10"/>
        <v>4.7193143557651811E-6</v>
      </c>
    </row>
    <row r="5" spans="1:35" x14ac:dyDescent="0.25">
      <c r="B5" s="31">
        <v>214</v>
      </c>
      <c r="C5" s="30">
        <f>rho!E9 * (1-tr_tax)</f>
        <v>31543867.290257312</v>
      </c>
      <c r="D5" s="30">
        <f t="shared" si="7"/>
        <v>31823826595.451485</v>
      </c>
      <c r="E5" s="144"/>
      <c r="F5" s="181"/>
      <c r="G5" s="181">
        <v>150000</v>
      </c>
      <c r="H5" s="140"/>
      <c r="I5" s="140">
        <v>340</v>
      </c>
      <c r="J5" s="210">
        <v>0.03</v>
      </c>
      <c r="K5" s="221" t="e">
        <f t="shared" si="11"/>
        <v>#DIV/0!</v>
      </c>
      <c r="L5" s="211" t="e">
        <f t="shared" si="0"/>
        <v>#DIV/0!</v>
      </c>
      <c r="M5" s="225" t="e">
        <f t="shared" si="8"/>
        <v>#DIV/0!</v>
      </c>
      <c r="N5" s="214" t="e">
        <f t="shared" si="1"/>
        <v>#DIV/0!</v>
      </c>
      <c r="O5" s="182"/>
      <c r="P5" s="186">
        <f t="shared" si="2"/>
        <v>-2.42583812802976E-2</v>
      </c>
      <c r="Q5" s="187" t="e">
        <f t="shared" si="3"/>
        <v>#DIV/0!</v>
      </c>
      <c r="R5" s="188" t="e">
        <f t="shared" ref="R5:R21" si="12">IF(OR(B5=212, B5=211),1,H5/Q5)</f>
        <v>#DIV/0!</v>
      </c>
      <c r="T5" s="222">
        <v>150</v>
      </c>
      <c r="U5" s="140">
        <v>0.3</v>
      </c>
      <c r="V5" s="197">
        <f>V4-0.02</f>
        <v>0.76</v>
      </c>
      <c r="W5" s="129">
        <f t="shared" si="4"/>
        <v>4.7134495140015377E-6</v>
      </c>
      <c r="X5" s="129">
        <f t="shared" si="5"/>
        <v>0</v>
      </c>
      <c r="Y5" s="198">
        <f t="shared" si="6"/>
        <v>6.6666666666666671E-3</v>
      </c>
      <c r="Z5" s="199">
        <f t="shared" si="9"/>
        <v>0</v>
      </c>
      <c r="AA5" s="200">
        <f t="shared" si="10"/>
        <v>4.7134495140015377E-6</v>
      </c>
    </row>
    <row r="6" spans="1:35" x14ac:dyDescent="0.25">
      <c r="B6" s="31">
        <v>215</v>
      </c>
      <c r="C6" s="30">
        <f>rho!E10 * (1-tr_tax)</f>
        <v>31449235.688386537</v>
      </c>
      <c r="D6" s="30">
        <f t="shared" si="7"/>
        <v>31863256429.564308</v>
      </c>
      <c r="E6" s="144"/>
      <c r="F6" s="181"/>
      <c r="G6" s="181">
        <v>150000</v>
      </c>
      <c r="H6" s="140"/>
      <c r="I6" s="140">
        <v>340</v>
      </c>
      <c r="J6" s="210">
        <v>0.03</v>
      </c>
      <c r="K6" s="221" t="e">
        <f t="shared" si="11"/>
        <v>#DIV/0!</v>
      </c>
      <c r="L6" s="211" t="e">
        <f t="shared" si="0"/>
        <v>#DIV/0!</v>
      </c>
      <c r="M6" s="225" t="e">
        <f t="shared" si="8"/>
        <v>#DIV/0!</v>
      </c>
      <c r="N6" s="214" t="e">
        <f t="shared" si="1"/>
        <v>#DIV/0!</v>
      </c>
      <c r="O6" s="182"/>
      <c r="P6" s="186">
        <f t="shared" si="2"/>
        <v>-2.4125785233164585E-2</v>
      </c>
      <c r="Q6" s="187" t="e">
        <f t="shared" si="3"/>
        <v>#DIV/0!</v>
      </c>
      <c r="R6" s="188" t="e">
        <f t="shared" si="12"/>
        <v>#DIV/0!</v>
      </c>
      <c r="T6" s="222">
        <v>150</v>
      </c>
      <c r="U6" s="140">
        <v>0.3</v>
      </c>
      <c r="V6" s="197">
        <f t="shared" ref="V6:V18" si="13">V5-0.02</f>
        <v>0.74</v>
      </c>
      <c r="W6" s="129">
        <f t="shared" si="4"/>
        <v>4.7076167601257025E-6</v>
      </c>
      <c r="X6" s="129">
        <f t="shared" si="5"/>
        <v>0</v>
      </c>
      <c r="Y6" s="198">
        <f t="shared" si="6"/>
        <v>6.6666666666666671E-3</v>
      </c>
      <c r="Z6" s="199">
        <f t="shared" si="9"/>
        <v>0</v>
      </c>
      <c r="AA6" s="200">
        <f t="shared" si="10"/>
        <v>4.7076167601257025E-6</v>
      </c>
    </row>
    <row r="7" spans="1:35" x14ac:dyDescent="0.25">
      <c r="B7" s="31">
        <v>216</v>
      </c>
      <c r="C7" s="30">
        <f>rho!E11 * (1-tr_tax)</f>
        <v>31354887.98132138</v>
      </c>
      <c r="D7" s="30">
        <f t="shared" si="7"/>
        <v>31902567974.174789</v>
      </c>
      <c r="E7" s="144"/>
      <c r="F7" s="181"/>
      <c r="G7" s="181">
        <v>150000</v>
      </c>
      <c r="H7" s="140"/>
      <c r="I7" s="140">
        <v>340</v>
      </c>
      <c r="J7" s="210">
        <v>0.03</v>
      </c>
      <c r="K7" s="221" t="e">
        <f t="shared" si="11"/>
        <v>#DIV/0!</v>
      </c>
      <c r="L7" s="211" t="e">
        <f t="shared" si="0"/>
        <v>#DIV/0!</v>
      </c>
      <c r="M7" s="225" t="e">
        <f t="shared" si="8"/>
        <v>#DIV/0!</v>
      </c>
      <c r="N7" s="214" t="e">
        <f t="shared" si="1"/>
        <v>#DIV/0!</v>
      </c>
      <c r="O7" s="182"/>
      <c r="P7" s="186">
        <f t="shared" si="2"/>
        <v>-2.3994165371969519E-2</v>
      </c>
      <c r="Q7" s="187" t="e">
        <f t="shared" si="3"/>
        <v>#DIV/0!</v>
      </c>
      <c r="R7" s="188" t="e">
        <f t="shared" si="12"/>
        <v>#DIV/0!</v>
      </c>
      <c r="T7" s="222">
        <v>150</v>
      </c>
      <c r="U7" s="140">
        <v>0.3</v>
      </c>
      <c r="V7" s="197">
        <f t="shared" si="13"/>
        <v>0.72</v>
      </c>
      <c r="W7" s="129">
        <f t="shared" si="4"/>
        <v>4.7018158576270533E-6</v>
      </c>
      <c r="X7" s="129">
        <f t="shared" si="5"/>
        <v>0</v>
      </c>
      <c r="Y7" s="198">
        <f t="shared" si="6"/>
        <v>6.6666666666666671E-3</v>
      </c>
      <c r="Z7" s="199">
        <f t="shared" si="9"/>
        <v>0</v>
      </c>
      <c r="AA7" s="200">
        <f t="shared" si="10"/>
        <v>4.7018158576270533E-6</v>
      </c>
    </row>
    <row r="8" spans="1:35" x14ac:dyDescent="0.25">
      <c r="B8" s="31">
        <v>217</v>
      </c>
      <c r="C8" s="30">
        <f>rho!E12 * (1-tr_tax)</f>
        <v>31260823.317377415</v>
      </c>
      <c r="D8" s="30">
        <f t="shared" si="7"/>
        <v>31941761584.15144</v>
      </c>
      <c r="E8" s="144"/>
      <c r="F8" s="181"/>
      <c r="G8" s="181">
        <v>150000</v>
      </c>
      <c r="H8" s="140"/>
      <c r="I8" s="140">
        <v>340</v>
      </c>
      <c r="J8" s="210">
        <v>0.03</v>
      </c>
      <c r="K8" s="221" t="e">
        <f t="shared" si="11"/>
        <v>#DIV/0!</v>
      </c>
      <c r="L8" s="211" t="e">
        <f t="shared" si="0"/>
        <v>#DIV/0!</v>
      </c>
      <c r="M8" s="225" t="e">
        <f t="shared" si="8"/>
        <v>#DIV/0!</v>
      </c>
      <c r="N8" s="214" t="e">
        <f t="shared" si="1"/>
        <v>#DIV/0!</v>
      </c>
      <c r="O8" s="182"/>
      <c r="P8" s="186">
        <f t="shared" si="2"/>
        <v>-2.3863512256094788E-2</v>
      </c>
      <c r="Q8" s="187" t="e">
        <f t="shared" si="3"/>
        <v>#DIV/0!</v>
      </c>
      <c r="R8" s="188" t="e">
        <f t="shared" si="12"/>
        <v>#DIV/0!</v>
      </c>
      <c r="T8" s="222">
        <v>150</v>
      </c>
      <c r="U8" s="140">
        <v>0.3</v>
      </c>
      <c r="V8" s="197">
        <f t="shared" si="13"/>
        <v>0.7</v>
      </c>
      <c r="W8" s="129">
        <f t="shared" si="4"/>
        <v>4.6960465722850295E-6</v>
      </c>
      <c r="X8" s="129">
        <f t="shared" si="5"/>
        <v>0</v>
      </c>
      <c r="Y8" s="198">
        <f t="shared" si="6"/>
        <v>6.6666666666666671E-3</v>
      </c>
      <c r="Z8" s="199">
        <f t="shared" si="9"/>
        <v>0</v>
      </c>
      <c r="AA8" s="200">
        <f t="shared" si="10"/>
        <v>4.6960465722850295E-6</v>
      </c>
    </row>
    <row r="9" spans="1:35" x14ac:dyDescent="0.25">
      <c r="B9" s="31">
        <v>218</v>
      </c>
      <c r="C9" s="30">
        <f>rho!E13 * (1-tr_tax)</f>
        <v>31167040.847425282</v>
      </c>
      <c r="D9" s="30">
        <f t="shared" si="7"/>
        <v>31980837613.298161</v>
      </c>
      <c r="E9" s="144"/>
      <c r="F9" s="181"/>
      <c r="G9" s="181">
        <v>150000</v>
      </c>
      <c r="H9" s="140"/>
      <c r="I9" s="140">
        <v>340</v>
      </c>
      <c r="J9" s="210">
        <v>0.03</v>
      </c>
      <c r="K9" s="221" t="e">
        <f t="shared" si="11"/>
        <v>#DIV/0!</v>
      </c>
      <c r="L9" s="211" t="e">
        <f t="shared" si="0"/>
        <v>#DIV/0!</v>
      </c>
      <c r="M9" s="225" t="e">
        <f t="shared" si="8"/>
        <v>#DIV/0!</v>
      </c>
      <c r="N9" s="214" t="e">
        <f t="shared" si="1"/>
        <v>#DIV/0!</v>
      </c>
      <c r="O9" s="182"/>
      <c r="P9" s="186">
        <f t="shared" si="2"/>
        <v>-2.3733816558913462E-2</v>
      </c>
      <c r="Q9" s="187" t="e">
        <f t="shared" si="3"/>
        <v>#DIV/0!</v>
      </c>
      <c r="R9" s="188" t="e">
        <f t="shared" si="12"/>
        <v>#DIV/0!</v>
      </c>
      <c r="T9" s="222">
        <v>150</v>
      </c>
      <c r="U9" s="140">
        <v>0.3</v>
      </c>
      <c r="V9" s="197">
        <f t="shared" si="13"/>
        <v>0.67999999999999994</v>
      </c>
      <c r="W9" s="129">
        <f t="shared" si="4"/>
        <v>4.6903086721414553E-6</v>
      </c>
      <c r="X9" s="129">
        <f t="shared" si="5"/>
        <v>0</v>
      </c>
      <c r="Y9" s="198">
        <f t="shared" si="6"/>
        <v>6.6666666666666671E-3</v>
      </c>
      <c r="Z9" s="199">
        <f t="shared" si="9"/>
        <v>0</v>
      </c>
      <c r="AA9" s="200">
        <f t="shared" si="10"/>
        <v>4.6903086721414553E-6</v>
      </c>
    </row>
    <row r="10" spans="1:35" x14ac:dyDescent="0.25">
      <c r="B10" s="31">
        <v>219</v>
      </c>
      <c r="C10" s="30">
        <f>rho!E14 * (1-tr_tax)</f>
        <v>31073539.724883009</v>
      </c>
      <c r="D10" s="30">
        <f t="shared" si="7"/>
        <v>32019796414.357441</v>
      </c>
      <c r="E10" s="144"/>
      <c r="F10" s="181"/>
      <c r="G10" s="181">
        <v>150000</v>
      </c>
      <c r="H10" s="140"/>
      <c r="I10" s="140">
        <v>340</v>
      </c>
      <c r="J10" s="210">
        <v>0.03</v>
      </c>
      <c r="K10" s="221" t="e">
        <f t="shared" si="11"/>
        <v>#DIV/0!</v>
      </c>
      <c r="L10" s="211" t="e">
        <f t="shared" si="0"/>
        <v>#DIV/0!</v>
      </c>
      <c r="M10" s="225" t="e">
        <f t="shared" si="8"/>
        <v>#DIV/0!</v>
      </c>
      <c r="N10" s="214" t="e">
        <f t="shared" si="1"/>
        <v>#DIV/0!</v>
      </c>
      <c r="O10" s="182"/>
      <c r="P10" s="186">
        <f t="shared" si="2"/>
        <v>-2.3605069066140728E-2</v>
      </c>
      <c r="Q10" s="187" t="e">
        <f t="shared" si="3"/>
        <v>#DIV/0!</v>
      </c>
      <c r="R10" s="188" t="e">
        <f t="shared" si="12"/>
        <v>#DIV/0!</v>
      </c>
      <c r="T10" s="222">
        <v>150</v>
      </c>
      <c r="U10" s="140">
        <v>0.3</v>
      </c>
      <c r="V10" s="197">
        <f t="shared" si="13"/>
        <v>0.65999999999999992</v>
      </c>
      <c r="W10" s="129">
        <f t="shared" si="4"/>
        <v>4.6846019274732525E-6</v>
      </c>
      <c r="X10" s="129">
        <f t="shared" si="5"/>
        <v>0</v>
      </c>
      <c r="Y10" s="198">
        <f t="shared" si="6"/>
        <v>6.6666666666666671E-3</v>
      </c>
      <c r="Z10" s="199">
        <f t="shared" si="9"/>
        <v>0</v>
      </c>
      <c r="AA10" s="200">
        <f t="shared" si="10"/>
        <v>4.6846019274732525E-6</v>
      </c>
    </row>
    <row r="11" spans="1:35" x14ac:dyDescent="0.25">
      <c r="B11" s="31">
        <v>220</v>
      </c>
      <c r="C11" s="30">
        <f>rho!E15 * (1-tr_tax)</f>
        <v>30980319.105708361</v>
      </c>
      <c r="D11" s="30">
        <f t="shared" si="7"/>
        <v>32058638339.013546</v>
      </c>
      <c r="E11" s="144"/>
      <c r="F11" s="181"/>
      <c r="G11" s="181">
        <v>150000</v>
      </c>
      <c r="H11" s="140"/>
      <c r="I11" s="140">
        <v>340</v>
      </c>
      <c r="J11" s="210">
        <v>0.03</v>
      </c>
      <c r="K11" s="221" t="e">
        <f t="shared" si="11"/>
        <v>#DIV/0!</v>
      </c>
      <c r="L11" s="211" t="e">
        <f t="shared" si="0"/>
        <v>#DIV/0!</v>
      </c>
      <c r="M11" s="225" t="e">
        <f t="shared" si="8"/>
        <v>#DIV/0!</v>
      </c>
      <c r="N11" s="214" t="e">
        <f t="shared" si="1"/>
        <v>#DIV/0!</v>
      </c>
      <c r="O11" s="182"/>
      <c r="P11" s="186">
        <f t="shared" si="2"/>
        <v>-2.3477260674213119E-2</v>
      </c>
      <c r="Q11" s="187" t="e">
        <f t="shared" si="3"/>
        <v>#DIV/0!</v>
      </c>
      <c r="R11" s="188" t="e">
        <f t="shared" si="12"/>
        <v>#DIV/0!</v>
      </c>
      <c r="T11" s="222">
        <v>150</v>
      </c>
      <c r="U11" s="140">
        <v>0.3</v>
      </c>
      <c r="V11" s="197">
        <f t="shared" si="13"/>
        <v>0.6399999999999999</v>
      </c>
      <c r="W11" s="129">
        <f t="shared" si="4"/>
        <v>4.6789261107655503E-6</v>
      </c>
      <c r="X11" s="129">
        <f t="shared" si="5"/>
        <v>0</v>
      </c>
      <c r="Y11" s="198">
        <f t="shared" si="6"/>
        <v>6.6666666666666671E-3</v>
      </c>
      <c r="Z11" s="199">
        <f t="shared" si="9"/>
        <v>0</v>
      </c>
      <c r="AA11" s="200">
        <f t="shared" si="10"/>
        <v>4.6789261107655503E-6</v>
      </c>
    </row>
    <row r="12" spans="1:35" x14ac:dyDescent="0.25">
      <c r="B12" s="31">
        <v>221</v>
      </c>
      <c r="C12" s="30">
        <f>rho!E16 * (1-tr_tax)</f>
        <v>30887378.148391236</v>
      </c>
      <c r="D12" s="30">
        <f t="shared" si="7"/>
        <v>32097363737.895683</v>
      </c>
      <c r="E12" s="144"/>
      <c r="F12" s="181"/>
      <c r="G12" s="181">
        <v>150000</v>
      </c>
      <c r="H12" s="140"/>
      <c r="I12" s="140">
        <v>340</v>
      </c>
      <c r="J12" s="210">
        <v>0.03</v>
      </c>
      <c r="K12" s="221" t="e">
        <f t="shared" si="11"/>
        <v>#DIV/0!</v>
      </c>
      <c r="L12" s="211" t="e">
        <f t="shared" si="0"/>
        <v>#DIV/0!</v>
      </c>
      <c r="M12" s="225" t="e">
        <f t="shared" si="8"/>
        <v>#DIV/0!</v>
      </c>
      <c r="N12" s="214" t="e">
        <f t="shared" si="1"/>
        <v>#DIV/0!</v>
      </c>
      <c r="O12" s="182"/>
      <c r="P12" s="186">
        <f t="shared" si="2"/>
        <v>-2.3350382388694978E-2</v>
      </c>
      <c r="Q12" s="187" t="e">
        <f t="shared" si="3"/>
        <v>#DIV/0!</v>
      </c>
      <c r="R12" s="188" t="e">
        <f t="shared" si="12"/>
        <v>#DIV/0!</v>
      </c>
      <c r="T12" s="222">
        <v>150</v>
      </c>
      <c r="U12" s="140">
        <v>0.3</v>
      </c>
      <c r="V12" s="197">
        <f t="shared" si="13"/>
        <v>0.61999999999999988</v>
      </c>
      <c r="W12" s="129">
        <f t="shared" si="4"/>
        <v>4.6732809966851835E-6</v>
      </c>
      <c r="X12" s="129">
        <f t="shared" si="5"/>
        <v>0</v>
      </c>
      <c r="Y12" s="198">
        <f t="shared" si="6"/>
        <v>6.6666666666666671E-3</v>
      </c>
      <c r="Z12" s="199">
        <f t="shared" si="9"/>
        <v>0</v>
      </c>
      <c r="AA12" s="200">
        <f t="shared" si="10"/>
        <v>4.6732809966851835E-6</v>
      </c>
    </row>
    <row r="13" spans="1:35" x14ac:dyDescent="0.25">
      <c r="B13" s="31">
        <v>222</v>
      </c>
      <c r="C13" s="30">
        <f>rho!E17 * (1-tr_tax)</f>
        <v>30794716.013946056</v>
      </c>
      <c r="D13" s="30">
        <f t="shared" si="7"/>
        <v>32135972960.581173</v>
      </c>
      <c r="E13" s="144"/>
      <c r="F13" s="181"/>
      <c r="G13" s="181">
        <v>150000</v>
      </c>
      <c r="H13" s="140"/>
      <c r="I13" s="140">
        <v>340</v>
      </c>
      <c r="J13" s="210">
        <v>0.03</v>
      </c>
      <c r="K13" s="221" t="e">
        <f t="shared" si="11"/>
        <v>#DIV/0!</v>
      </c>
      <c r="L13" s="211" t="e">
        <f t="shared" si="0"/>
        <v>#DIV/0!</v>
      </c>
      <c r="M13" s="225" t="e">
        <f t="shared" si="8"/>
        <v>#DIV/0!</v>
      </c>
      <c r="N13" s="214" t="e">
        <f t="shared" si="1"/>
        <v>#DIV/0!</v>
      </c>
      <c r="O13" s="182"/>
      <c r="P13" s="186">
        <f t="shared" si="2"/>
        <v>-2.322442532271158E-2</v>
      </c>
      <c r="Q13" s="187" t="e">
        <f t="shared" si="3"/>
        <v>#DIV/0!</v>
      </c>
      <c r="R13" s="188" t="e">
        <f t="shared" si="12"/>
        <v>#DIV/0!</v>
      </c>
      <c r="T13" s="222">
        <v>150</v>
      </c>
      <c r="U13" s="140">
        <v>0.3</v>
      </c>
      <c r="V13" s="197">
        <f t="shared" si="13"/>
        <v>0.59999999999999987</v>
      </c>
      <c r="W13" s="129">
        <f t="shared" si="4"/>
        <v>4.6676663620545718E-6</v>
      </c>
      <c r="X13" s="129">
        <f t="shared" si="5"/>
        <v>0</v>
      </c>
      <c r="Y13" s="198">
        <f t="shared" si="6"/>
        <v>6.6666666666666671E-3</v>
      </c>
      <c r="Z13" s="199">
        <f t="shared" si="9"/>
        <v>0</v>
      </c>
      <c r="AA13" s="200">
        <f t="shared" si="10"/>
        <v>4.6676663620545718E-6</v>
      </c>
    </row>
    <row r="14" spans="1:35" x14ac:dyDescent="0.25">
      <c r="B14" s="31">
        <v>223</v>
      </c>
      <c r="C14" s="30">
        <f>rho!E18 * (1-tr_tax)</f>
        <v>30702331.865904219</v>
      </c>
      <c r="D14" s="30">
        <f t="shared" si="7"/>
        <v>32174466355.598606</v>
      </c>
      <c r="E14" s="144"/>
      <c r="F14" s="181"/>
      <c r="G14" s="181">
        <v>150000</v>
      </c>
      <c r="H14" s="140"/>
      <c r="I14" s="140">
        <v>340</v>
      </c>
      <c r="J14" s="210">
        <v>0.03</v>
      </c>
      <c r="K14" s="221" t="e">
        <f t="shared" si="11"/>
        <v>#DIV/0!</v>
      </c>
      <c r="L14" s="211" t="e">
        <f t="shared" si="0"/>
        <v>#DIV/0!</v>
      </c>
      <c r="M14" s="225" t="e">
        <f t="shared" si="8"/>
        <v>#DIV/0!</v>
      </c>
      <c r="N14" s="214" t="e">
        <f t="shared" si="1"/>
        <v>#DIV/0!</v>
      </c>
      <c r="O14" s="182"/>
      <c r="P14" s="186">
        <f t="shared" si="2"/>
        <v>-2.3099380695408452E-2</v>
      </c>
      <c r="Q14" s="187" t="e">
        <f t="shared" si="3"/>
        <v>#DIV/0!</v>
      </c>
      <c r="R14" s="188" t="e">
        <f t="shared" si="12"/>
        <v>#DIV/0!</v>
      </c>
      <c r="T14" s="222">
        <v>150</v>
      </c>
      <c r="U14" s="140">
        <v>0.3</v>
      </c>
      <c r="V14" s="197">
        <f t="shared" si="13"/>
        <v>0.57999999999999985</v>
      </c>
      <c r="W14" s="129">
        <f t="shared" si="4"/>
        <v>4.6620819858259698E-6</v>
      </c>
      <c r="X14" s="129">
        <f t="shared" si="5"/>
        <v>0</v>
      </c>
      <c r="Y14" s="198">
        <f t="shared" si="6"/>
        <v>6.6666666666666671E-3</v>
      </c>
      <c r="Z14" s="199">
        <f t="shared" si="9"/>
        <v>0</v>
      </c>
      <c r="AA14" s="200">
        <f t="shared" si="10"/>
        <v>4.6620819858259698E-6</v>
      </c>
    </row>
    <row r="15" spans="1:35" x14ac:dyDescent="0.25">
      <c r="B15" s="31">
        <v>224</v>
      </c>
      <c r="C15" s="30">
        <f>rho!E19 * (1-tr_tax)</f>
        <v>30610224.870306507</v>
      </c>
      <c r="D15" s="30">
        <f t="shared" si="7"/>
        <v>32212844270.430984</v>
      </c>
      <c r="E15" s="144"/>
      <c r="F15" s="181"/>
      <c r="G15" s="181">
        <v>150000</v>
      </c>
      <c r="H15" s="140"/>
      <c r="I15" s="140">
        <v>340</v>
      </c>
      <c r="J15" s="210">
        <v>0.03</v>
      </c>
      <c r="K15" s="221" t="e">
        <f t="shared" si="11"/>
        <v>#DIV/0!</v>
      </c>
      <c r="L15" s="211" t="e">
        <f t="shared" si="0"/>
        <v>#DIV/0!</v>
      </c>
      <c r="M15" s="225" t="e">
        <f t="shared" si="8"/>
        <v>#DIV/0!</v>
      </c>
      <c r="N15" s="214" t="e">
        <f t="shared" si="1"/>
        <v>#DIV/0!</v>
      </c>
      <c r="O15" s="182"/>
      <c r="P15" s="186">
        <f t="shared" si="2"/>
        <v>-2.2975239830436374E-2</v>
      </c>
      <c r="Q15" s="187" t="e">
        <f t="shared" si="3"/>
        <v>#DIV/0!</v>
      </c>
      <c r="R15" s="188" t="e">
        <f t="shared" si="12"/>
        <v>#DIV/0!</v>
      </c>
      <c r="T15" s="222">
        <v>150</v>
      </c>
      <c r="U15" s="140">
        <v>0.3</v>
      </c>
      <c r="V15" s="197">
        <f t="shared" si="13"/>
        <v>0.55999999999999983</v>
      </c>
      <c r="W15" s="129">
        <f t="shared" si="4"/>
        <v>4.6565276490560923E-6</v>
      </c>
      <c r="X15" s="129">
        <f t="shared" si="5"/>
        <v>0</v>
      </c>
      <c r="Y15" s="198">
        <f t="shared" si="6"/>
        <v>6.6666666666666671E-3</v>
      </c>
      <c r="Z15" s="199">
        <f t="shared" si="9"/>
        <v>0</v>
      </c>
      <c r="AA15" s="200">
        <f t="shared" si="10"/>
        <v>4.6565276490560923E-6</v>
      </c>
    </row>
    <row r="16" spans="1:35" x14ac:dyDescent="0.25">
      <c r="B16" s="31">
        <v>225</v>
      </c>
      <c r="C16" s="30">
        <f>rho!E20 * (1-tr_tax)</f>
        <v>30518394.195695587</v>
      </c>
      <c r="D16" s="30">
        <f t="shared" si="7"/>
        <v>32251107051.518867</v>
      </c>
      <c r="E16" s="144"/>
      <c r="F16" s="181"/>
      <c r="G16" s="181">
        <v>150000</v>
      </c>
      <c r="H16" s="140"/>
      <c r="I16" s="140">
        <v>340</v>
      </c>
      <c r="J16" s="210">
        <v>0.03</v>
      </c>
      <c r="K16" s="221" t="e">
        <f t="shared" si="11"/>
        <v>#DIV/0!</v>
      </c>
      <c r="L16" s="211" t="e">
        <f t="shared" si="0"/>
        <v>#DIV/0!</v>
      </c>
      <c r="M16" s="225" t="e">
        <f t="shared" si="8"/>
        <v>#DIV/0!</v>
      </c>
      <c r="N16" s="214" t="e">
        <f t="shared" si="1"/>
        <v>#DIV/0!</v>
      </c>
      <c r="O16" s="182"/>
      <c r="P16" s="186">
        <f t="shared" si="2"/>
        <v>-2.2851994154461572E-2</v>
      </c>
      <c r="Q16" s="187" t="e">
        <f t="shared" si="3"/>
        <v>#DIV/0!</v>
      </c>
      <c r="R16" s="188" t="e">
        <f t="shared" si="12"/>
        <v>#DIV/0!</v>
      </c>
      <c r="T16" s="222">
        <v>150</v>
      </c>
      <c r="U16" s="140">
        <v>0.3</v>
      </c>
      <c r="V16" s="197">
        <f t="shared" si="13"/>
        <v>0.53999999999999981</v>
      </c>
      <c r="W16" s="129">
        <f t="shared" si="4"/>
        <v>4.6510031348810936E-6</v>
      </c>
      <c r="X16" s="129">
        <f t="shared" si="5"/>
        <v>0</v>
      </c>
      <c r="Y16" s="198">
        <f t="shared" si="6"/>
        <v>6.6666666666666671E-3</v>
      </c>
      <c r="Z16" s="199">
        <f t="shared" si="9"/>
        <v>0</v>
      </c>
      <c r="AA16" s="200">
        <f t="shared" si="10"/>
        <v>4.6510031348810936E-6</v>
      </c>
    </row>
    <row r="17" spans="2:27" x14ac:dyDescent="0.25">
      <c r="B17" s="31">
        <v>226</v>
      </c>
      <c r="C17" s="30">
        <f>rho!E21 * (1-tr_tax)</f>
        <v>30426839.013108499</v>
      </c>
      <c r="D17" s="30">
        <f t="shared" si="7"/>
        <v>32289255044.263489</v>
      </c>
      <c r="E17" s="144"/>
      <c r="F17" s="181"/>
      <c r="G17" s="181">
        <v>150000</v>
      </c>
      <c r="H17" s="140"/>
      <c r="I17" s="140">
        <v>340</v>
      </c>
      <c r="J17" s="210">
        <v>0.03</v>
      </c>
      <c r="K17" s="221" t="e">
        <f t="shared" si="11"/>
        <v>#DIV/0!</v>
      </c>
      <c r="L17" s="211" t="e">
        <f t="shared" si="0"/>
        <v>#DIV/0!</v>
      </c>
      <c r="M17" s="225" t="e">
        <f t="shared" si="8"/>
        <v>#DIV/0!</v>
      </c>
      <c r="N17" s="214" t="e">
        <f t="shared" si="1"/>
        <v>#DIV/0!</v>
      </c>
      <c r="O17" s="182"/>
      <c r="P17" s="186">
        <f t="shared" si="2"/>
        <v>-2.2729635195700672E-2</v>
      </c>
      <c r="Q17" s="187" t="e">
        <f t="shared" si="3"/>
        <v>#DIV/0!</v>
      </c>
      <c r="R17" s="188" t="e">
        <f t="shared" si="12"/>
        <v>#DIV/0!</v>
      </c>
      <c r="T17" s="222">
        <v>150</v>
      </c>
      <c r="U17" s="140">
        <v>0.3</v>
      </c>
      <c r="V17" s="197">
        <f t="shared" si="13"/>
        <v>0.5199999999999998</v>
      </c>
      <c r="W17" s="129">
        <f t="shared" si="4"/>
        <v>4.6455082284919114E-6</v>
      </c>
      <c r="X17" s="129">
        <f t="shared" si="5"/>
        <v>0</v>
      </c>
      <c r="Y17" s="198">
        <f t="shared" si="6"/>
        <v>6.6666666666666671E-3</v>
      </c>
      <c r="Z17" s="199">
        <f t="shared" si="9"/>
        <v>0</v>
      </c>
      <c r="AA17" s="200">
        <f t="shared" si="10"/>
        <v>4.6455082284919114E-6</v>
      </c>
    </row>
    <row r="18" spans="2:27" x14ac:dyDescent="0.25">
      <c r="B18" s="31">
        <v>227</v>
      </c>
      <c r="C18" s="30">
        <f>rho!E22 * (1-tr_tax)</f>
        <v>30335558.496069178</v>
      </c>
      <c r="D18" s="30">
        <f t="shared" si="7"/>
        <v>32327288593.029873</v>
      </c>
      <c r="E18" s="144"/>
      <c r="F18" s="181"/>
      <c r="G18" s="181">
        <v>150000</v>
      </c>
      <c r="H18" s="140"/>
      <c r="I18" s="140">
        <v>340</v>
      </c>
      <c r="J18" s="210">
        <v>0.03</v>
      </c>
      <c r="K18" s="221" t="e">
        <f t="shared" si="11"/>
        <v>#DIV/0!</v>
      </c>
      <c r="L18" s="211" t="e">
        <f t="shared" si="0"/>
        <v>#DIV/0!</v>
      </c>
      <c r="M18" s="225" t="e">
        <f t="shared" si="8"/>
        <v>#DIV/0!</v>
      </c>
      <c r="N18" s="214" t="e">
        <f t="shared" si="1"/>
        <v>#DIV/0!</v>
      </c>
      <c r="O18" s="182"/>
      <c r="P18" s="186">
        <f t="shared" si="2"/>
        <v>-2.2608154582479861E-2</v>
      </c>
      <c r="Q18" s="187" t="e">
        <f t="shared" si="3"/>
        <v>#DIV/0!</v>
      </c>
      <c r="R18" s="188" t="e">
        <f t="shared" si="12"/>
        <v>#DIV/0!</v>
      </c>
      <c r="T18" s="222">
        <v>150</v>
      </c>
      <c r="U18" s="140">
        <v>0.3</v>
      </c>
      <c r="V18" s="197">
        <f t="shared" si="13"/>
        <v>0.49999999999999978</v>
      </c>
      <c r="W18" s="129">
        <f t="shared" si="4"/>
        <v>4.6400427171099554E-6</v>
      </c>
      <c r="X18" s="129">
        <f t="shared" si="5"/>
        <v>0</v>
      </c>
      <c r="Y18" s="198">
        <f t="shared" si="6"/>
        <v>6.6666666666666671E-3</v>
      </c>
      <c r="Z18" s="199">
        <f t="shared" si="9"/>
        <v>0</v>
      </c>
      <c r="AA18" s="200">
        <f t="shared" si="10"/>
        <v>4.6400427171099554E-6</v>
      </c>
    </row>
    <row r="19" spans="2:27" x14ac:dyDescent="0.25">
      <c r="B19" s="31">
        <v>228</v>
      </c>
      <c r="C19" s="30">
        <f>rho!E23 * (1-tr_tax)</f>
        <v>30244551.820580967</v>
      </c>
      <c r="D19" s="30">
        <f t="shared" si="7"/>
        <v>32365208041.14996</v>
      </c>
      <c r="E19" s="144"/>
      <c r="F19" s="181"/>
      <c r="G19" s="181">
        <v>150000</v>
      </c>
      <c r="H19" s="140"/>
      <c r="I19" s="140">
        <v>340</v>
      </c>
      <c r="J19" s="210">
        <v>0.03</v>
      </c>
      <c r="K19" s="221" t="e">
        <f t="shared" si="11"/>
        <v>#DIV/0!</v>
      </c>
      <c r="L19" s="211" t="e">
        <f t="shared" si="0"/>
        <v>#DIV/0!</v>
      </c>
      <c r="M19" s="225" t="e">
        <f t="shared" si="8"/>
        <v>#DIV/0!</v>
      </c>
      <c r="N19" s="214" t="e">
        <f t="shared" si="1"/>
        <v>#DIV/0!</v>
      </c>
      <c r="O19" s="182"/>
      <c r="P19" s="186">
        <f t="shared" si="2"/>
        <v>-2.2487544041817797E-2</v>
      </c>
      <c r="Q19" s="187" t="e">
        <f t="shared" si="3"/>
        <v>#DIV/0!</v>
      </c>
      <c r="R19" s="188" t="e">
        <f t="shared" si="12"/>
        <v>#DIV/0!</v>
      </c>
      <c r="T19" s="222">
        <v>150</v>
      </c>
      <c r="U19" s="140">
        <v>0.3</v>
      </c>
      <c r="V19" s="197">
        <v>0.5</v>
      </c>
      <c r="W19" s="129">
        <f t="shared" si="4"/>
        <v>4.6346063899631398E-6</v>
      </c>
      <c r="X19" s="129">
        <f t="shared" si="5"/>
        <v>0</v>
      </c>
      <c r="Y19" s="198">
        <f t="shared" si="6"/>
        <v>6.6666666666666671E-3</v>
      </c>
      <c r="Z19" s="199">
        <f t="shared" si="9"/>
        <v>0</v>
      </c>
      <c r="AA19" s="200">
        <f t="shared" si="10"/>
        <v>4.6346063899631398E-6</v>
      </c>
    </row>
    <row r="20" spans="2:27" x14ac:dyDescent="0.25">
      <c r="B20" s="31">
        <v>229</v>
      </c>
      <c r="C20" s="30">
        <f>rho!E24 * (1-tr_tax)</f>
        <v>30153818.165119227</v>
      </c>
      <c r="D20" s="30">
        <f t="shared" si="7"/>
        <v>32403013730.925686</v>
      </c>
      <c r="E20" s="144"/>
      <c r="F20" s="181"/>
      <c r="G20" s="181">
        <v>150000</v>
      </c>
      <c r="H20" s="140"/>
      <c r="I20" s="140">
        <v>340</v>
      </c>
      <c r="J20" s="210">
        <v>0.03</v>
      </c>
      <c r="K20" s="221" t="e">
        <f t="shared" si="11"/>
        <v>#DIV/0!</v>
      </c>
      <c r="L20" s="211" t="e">
        <f t="shared" si="0"/>
        <v>#DIV/0!</v>
      </c>
      <c r="M20" s="225" t="e">
        <f t="shared" si="8"/>
        <v>#DIV/0!</v>
      </c>
      <c r="N20" s="214" t="e">
        <f t="shared" si="1"/>
        <v>#DIV/0!</v>
      </c>
      <c r="O20" s="182"/>
      <c r="P20" s="186">
        <f t="shared" si="2"/>
        <v>-2.236779539803203E-2</v>
      </c>
      <c r="Q20" s="187" t="e">
        <f t="shared" si="3"/>
        <v>#DIV/0!</v>
      </c>
      <c r="R20" s="188" t="e">
        <f t="shared" si="12"/>
        <v>#DIV/0!</v>
      </c>
      <c r="T20" s="222">
        <v>150</v>
      </c>
      <c r="U20" s="140">
        <v>0.3</v>
      </c>
      <c r="V20" s="197">
        <v>0.5</v>
      </c>
      <c r="W20" s="129">
        <f t="shared" si="4"/>
        <v>4.6291990382622606E-6</v>
      </c>
      <c r="X20" s="129">
        <f t="shared" si="5"/>
        <v>0</v>
      </c>
      <c r="Y20" s="198">
        <f t="shared" si="6"/>
        <v>6.6666666666666671E-3</v>
      </c>
      <c r="Z20" s="199">
        <f t="shared" si="9"/>
        <v>0</v>
      </c>
      <c r="AA20" s="200">
        <f t="shared" si="10"/>
        <v>4.6291990382622606E-6</v>
      </c>
    </row>
    <row r="21" spans="2:27" x14ac:dyDescent="0.25">
      <c r="B21" s="31">
        <v>230</v>
      </c>
      <c r="C21" s="30">
        <f>rho!E25 * (1-tr_tax)</f>
        <v>30063356.71062386</v>
      </c>
      <c r="D21" s="30">
        <f t="shared" si="7"/>
        <v>32440706003.632084</v>
      </c>
      <c r="E21" s="144"/>
      <c r="F21" s="181"/>
      <c r="G21" s="181">
        <v>150000</v>
      </c>
      <c r="H21" s="140"/>
      <c r="I21" s="140">
        <v>340</v>
      </c>
      <c r="J21" s="210">
        <v>0.03</v>
      </c>
      <c r="K21" s="231" t="e">
        <f t="shared" si="11"/>
        <v>#DIV/0!</v>
      </c>
      <c r="L21" s="215" t="e">
        <f t="shared" si="0"/>
        <v>#DIV/0!</v>
      </c>
      <c r="M21" s="226" t="e">
        <f t="shared" si="8"/>
        <v>#DIV/0!</v>
      </c>
      <c r="N21" s="216" t="e">
        <f t="shared" si="1"/>
        <v>#DIV/0!</v>
      </c>
      <c r="O21" s="182"/>
      <c r="P21" s="189">
        <f t="shared" si="2"/>
        <v>-2.2248900571368097E-2</v>
      </c>
      <c r="Q21" s="190" t="e">
        <f>E21/F21 * 21600 * (1-#REF!)</f>
        <v>#DIV/0!</v>
      </c>
      <c r="R21" s="191" t="e">
        <f t="shared" si="12"/>
        <v>#DIV/0!</v>
      </c>
      <c r="T21" s="222">
        <v>150</v>
      </c>
      <c r="U21" s="140">
        <v>0.3</v>
      </c>
      <c r="V21" s="201">
        <v>0.5</v>
      </c>
      <c r="W21" s="202">
        <f t="shared" si="4"/>
        <v>4.6238204551776989E-6</v>
      </c>
      <c r="X21" s="202">
        <f t="shared" si="5"/>
        <v>0</v>
      </c>
      <c r="Y21" s="203">
        <f t="shared" si="6"/>
        <v>6.6666666666666671E-3</v>
      </c>
      <c r="Z21" s="204">
        <f t="shared" si="9"/>
        <v>0</v>
      </c>
      <c r="AA21" s="205">
        <f t="shared" si="10"/>
        <v>4.6238204551776989E-6</v>
      </c>
    </row>
    <row r="22" spans="2:27" x14ac:dyDescent="0.25">
      <c r="B22" s="6"/>
      <c r="C22" s="120"/>
    </row>
    <row r="23" spans="2:27" ht="15.75" thickBot="1" x14ac:dyDescent="0.3">
      <c r="B23" s="19" t="s">
        <v>110</v>
      </c>
      <c r="C23" s="145"/>
    </row>
    <row r="24" spans="2:27" x14ac:dyDescent="0.25">
      <c r="B24" s="6" t="s">
        <v>100</v>
      </c>
      <c r="C24" s="207">
        <f>F4</f>
        <v>12760000000</v>
      </c>
    </row>
    <row r="25" spans="2:27" x14ac:dyDescent="0.25">
      <c r="B25" s="6" t="s">
        <v>94</v>
      </c>
      <c r="C25" s="208">
        <f>E4</f>
        <v>15260000</v>
      </c>
    </row>
    <row r="26" spans="2:27" ht="15.75" thickBot="1" x14ac:dyDescent="0.3">
      <c r="B26" s="6" t="s">
        <v>109</v>
      </c>
      <c r="C26" s="209">
        <v>0.8</v>
      </c>
    </row>
    <row r="27" spans="2:27" x14ac:dyDescent="0.25">
      <c r="B27" s="6"/>
      <c r="C27" s="31"/>
    </row>
    <row r="28" spans="2:27" x14ac:dyDescent="0.25">
      <c r="B28" s="6"/>
      <c r="C28" s="72"/>
    </row>
    <row r="29" spans="2:27" x14ac:dyDescent="0.25">
      <c r="B29" s="6" t="s">
        <v>118</v>
      </c>
      <c r="C29" s="30">
        <v>432000</v>
      </c>
      <c r="D29" s="132"/>
      <c r="E29" s="132"/>
      <c r="F29" s="132"/>
      <c r="G29" s="133"/>
      <c r="H29" s="133"/>
      <c r="I29" s="133"/>
      <c r="J29" s="133"/>
      <c r="K29" s="133"/>
      <c r="P29" s="133"/>
    </row>
    <row r="30" spans="2:27" x14ac:dyDescent="0.25">
      <c r="B30" s="6" t="s">
        <v>119</v>
      </c>
      <c r="C30" s="122">
        <f>(C25/C24) *0.05 * 0.985 *(1-C26)</f>
        <v>1.1779858934169275E-5</v>
      </c>
      <c r="D30" s="133"/>
      <c r="E30" s="105"/>
      <c r="F30" s="133"/>
      <c r="G30" s="133"/>
      <c r="H30" s="133"/>
      <c r="I30" s="133"/>
      <c r="J30" s="133"/>
      <c r="K30" s="133"/>
      <c r="P30" s="133"/>
    </row>
    <row r="31" spans="2:27" x14ac:dyDescent="0.25">
      <c r="B31" s="6" t="s">
        <v>89</v>
      </c>
      <c r="C31" s="24">
        <f>C29*C30*(1-C30)</f>
        <v>5.088839113048075</v>
      </c>
      <c r="D31" s="133"/>
      <c r="E31" s="106"/>
      <c r="F31" s="141"/>
      <c r="G31" s="133"/>
      <c r="H31" s="133"/>
      <c r="I31" s="133"/>
      <c r="J31" s="133"/>
      <c r="K31" s="133"/>
      <c r="P31" s="133"/>
    </row>
    <row r="32" spans="2:27" x14ac:dyDescent="0.25">
      <c r="B32" s="6" t="s">
        <v>92</v>
      </c>
      <c r="C32" s="24">
        <f>SQRT(C31)</f>
        <v>2.2558455428171662</v>
      </c>
      <c r="D32" s="133"/>
      <c r="E32" s="139"/>
      <c r="F32" s="133"/>
      <c r="G32" s="133"/>
      <c r="H32" s="133"/>
      <c r="I32" s="133"/>
      <c r="J32" s="133"/>
      <c r="K32" s="133"/>
      <c r="P32" s="133"/>
    </row>
    <row r="33" spans="2:16" x14ac:dyDescent="0.25">
      <c r="B33" s="6" t="s">
        <v>93</v>
      </c>
      <c r="C33" s="24">
        <f>C32*3</f>
        <v>6.7675366284514986</v>
      </c>
      <c r="D33" s="134"/>
      <c r="E33" s="133"/>
      <c r="F33" s="133"/>
      <c r="G33" s="133"/>
      <c r="H33" s="133"/>
      <c r="I33" s="133"/>
      <c r="J33" s="133"/>
      <c r="K33" s="133"/>
      <c r="P33" s="133"/>
    </row>
    <row r="34" spans="2:16" x14ac:dyDescent="0.25">
      <c r="B34" s="6"/>
      <c r="C34" s="31"/>
      <c r="D34" s="133"/>
      <c r="E34" s="133"/>
      <c r="F34" s="133"/>
      <c r="G34" s="133"/>
      <c r="H34" s="133"/>
      <c r="I34" s="133"/>
      <c r="J34" s="133"/>
      <c r="K34" s="133"/>
      <c r="P34" s="133"/>
    </row>
    <row r="35" spans="2:16" x14ac:dyDescent="0.25">
      <c r="B35" s="3" t="s">
        <v>90</v>
      </c>
      <c r="C35" s="3" t="s">
        <v>91</v>
      </c>
      <c r="D35" s="134"/>
      <c r="E35" s="133"/>
      <c r="F35" s="133"/>
      <c r="G35" s="133"/>
      <c r="H35" s="133"/>
      <c r="I35" s="133"/>
      <c r="J35" s="133"/>
      <c r="K35" s="133"/>
      <c r="P35" s="133"/>
    </row>
    <row r="36" spans="2:16" x14ac:dyDescent="0.25">
      <c r="B36" s="31">
        <v>0</v>
      </c>
      <c r="C36" s="4">
        <f t="shared" ref="C36:C96" si="14">_xlfn.BINOM.DIST(B36,$C$29,$C$30,FALSE)</f>
        <v>6.1646184557204789E-3</v>
      </c>
      <c r="D36" s="133"/>
      <c r="E36" s="133"/>
      <c r="F36" s="133"/>
      <c r="G36" s="133"/>
      <c r="H36" s="133"/>
      <c r="I36" s="133"/>
      <c r="J36" s="133"/>
      <c r="K36" s="133"/>
      <c r="P36" s="133"/>
    </row>
    <row r="37" spans="2:16" x14ac:dyDescent="0.25">
      <c r="B37" s="31">
        <v>1</v>
      </c>
      <c r="C37" s="4">
        <f t="shared" si="14"/>
        <v>3.1371490613603052E-2</v>
      </c>
      <c r="D37" s="22"/>
      <c r="E37" s="133"/>
      <c r="F37" s="133"/>
      <c r="G37" s="133"/>
      <c r="H37" s="133"/>
      <c r="I37" s="133"/>
      <c r="J37" s="133"/>
      <c r="K37" s="133"/>
      <c r="P37" s="133"/>
    </row>
    <row r="38" spans="2:16" x14ac:dyDescent="0.25">
      <c r="B38" s="31">
        <v>2</v>
      </c>
      <c r="C38" s="4">
        <f t="shared" si="14"/>
        <v>7.9823930079066602E-2</v>
      </c>
      <c r="D38" s="133"/>
      <c r="E38" s="135"/>
      <c r="F38" s="133"/>
      <c r="G38" s="133"/>
      <c r="H38" s="133"/>
      <c r="I38" s="133"/>
      <c r="J38" s="133"/>
      <c r="K38" s="133"/>
      <c r="P38" s="133"/>
    </row>
    <row r="39" spans="2:16" x14ac:dyDescent="0.25">
      <c r="B39" s="31">
        <v>3</v>
      </c>
      <c r="C39" s="4">
        <f t="shared" si="14"/>
        <v>0.13540627576034842</v>
      </c>
      <c r="D39" s="133"/>
      <c r="E39" s="136"/>
      <c r="F39" s="133"/>
      <c r="G39" s="133"/>
      <c r="H39" s="133"/>
      <c r="I39" s="133"/>
      <c r="J39" s="133"/>
      <c r="K39" s="133"/>
      <c r="P39" s="133"/>
    </row>
    <row r="40" spans="2:16" x14ac:dyDescent="0.25">
      <c r="B40" s="31">
        <v>4</v>
      </c>
      <c r="C40" s="4">
        <f t="shared" si="14"/>
        <v>0.17226805033708933</v>
      </c>
      <c r="D40" s="133"/>
      <c r="E40" s="136"/>
      <c r="F40" s="133"/>
      <c r="G40" s="133"/>
      <c r="H40" s="133"/>
      <c r="I40" s="133"/>
      <c r="J40" s="133"/>
      <c r="K40" s="133"/>
      <c r="P40" s="133"/>
    </row>
    <row r="41" spans="2:16" x14ac:dyDescent="0.25">
      <c r="B41" s="31">
        <v>5</v>
      </c>
      <c r="C41" s="4">
        <f t="shared" si="14"/>
        <v>0.17533138581489463</v>
      </c>
      <c r="D41" s="133"/>
      <c r="E41" s="136"/>
      <c r="F41" s="133"/>
      <c r="G41" s="133"/>
      <c r="H41" s="133"/>
      <c r="I41" s="133"/>
      <c r="J41" s="133"/>
      <c r="K41" s="133"/>
      <c r="P41" s="133"/>
    </row>
    <row r="42" spans="2:16" x14ac:dyDescent="0.25">
      <c r="B42" s="31">
        <v>6</v>
      </c>
      <c r="C42" s="4">
        <f t="shared" si="14"/>
        <v>0.14870731799956335</v>
      </c>
      <c r="D42" s="133"/>
      <c r="E42" s="136"/>
      <c r="F42" s="133"/>
      <c r="G42" s="133"/>
      <c r="H42" s="133"/>
      <c r="I42" s="133"/>
      <c r="J42" s="133"/>
      <c r="K42" s="133"/>
      <c r="P42" s="133"/>
    </row>
    <row r="43" spans="2:16" x14ac:dyDescent="0.25">
      <c r="B43" s="31">
        <v>7</v>
      </c>
      <c r="C43" s="4">
        <f t="shared" si="14"/>
        <v>0.10810784781097743</v>
      </c>
      <c r="D43" s="133"/>
      <c r="E43" s="137"/>
      <c r="F43" s="133"/>
      <c r="G43" s="133"/>
      <c r="H43" s="133"/>
      <c r="I43" s="133"/>
      <c r="J43" s="133"/>
      <c r="K43" s="133"/>
      <c r="P43" s="133"/>
    </row>
    <row r="44" spans="2:16" x14ac:dyDescent="0.25">
      <c r="B44" s="31">
        <v>8</v>
      </c>
      <c r="C44" s="4">
        <f t="shared" si="14"/>
        <v>6.8768436406240238E-2</v>
      </c>
      <c r="D44" s="133"/>
      <c r="E44" s="136"/>
      <c r="F44" s="133"/>
      <c r="G44" s="133"/>
      <c r="H44" s="133"/>
      <c r="I44" s="133"/>
      <c r="J44" s="133"/>
      <c r="K44" s="133"/>
      <c r="P44" s="133"/>
    </row>
    <row r="45" spans="2:16" x14ac:dyDescent="0.25">
      <c r="B45" s="31">
        <v>9</v>
      </c>
      <c r="C45" s="4">
        <f t="shared" si="14"/>
        <v>3.88836970106173E-2</v>
      </c>
      <c r="D45" s="132"/>
      <c r="E45" s="138"/>
      <c r="F45" s="133"/>
      <c r="G45" s="133"/>
      <c r="H45" s="133"/>
      <c r="I45" s="133"/>
      <c r="J45" s="133"/>
      <c r="K45" s="133"/>
      <c r="P45" s="133"/>
    </row>
    <row r="46" spans="2:16" x14ac:dyDescent="0.25">
      <c r="B46" s="31">
        <v>10</v>
      </c>
      <c r="C46" s="4">
        <f t="shared" si="14"/>
        <v>1.9787341767034672E-2</v>
      </c>
      <c r="D46" s="22"/>
      <c r="E46" s="133"/>
      <c r="F46" s="133"/>
      <c r="G46" s="133"/>
      <c r="H46" s="133"/>
      <c r="I46" s="133"/>
      <c r="J46" s="133"/>
      <c r="K46" s="133"/>
      <c r="P46" s="133"/>
    </row>
    <row r="47" spans="2:16" x14ac:dyDescent="0.25">
      <c r="B47" s="31">
        <v>11</v>
      </c>
      <c r="C47" s="4">
        <f t="shared" si="14"/>
        <v>9.1540581961079039E-3</v>
      </c>
    </row>
    <row r="48" spans="2:16" x14ac:dyDescent="0.25">
      <c r="B48" s="31">
        <v>12</v>
      </c>
      <c r="C48" s="4">
        <f t="shared" si="14"/>
        <v>3.8819533935870974E-3</v>
      </c>
    </row>
    <row r="49" spans="2:3" x14ac:dyDescent="0.25">
      <c r="B49" s="31">
        <v>13</v>
      </c>
      <c r="C49" s="4">
        <f t="shared" si="14"/>
        <v>1.51958099487477E-3</v>
      </c>
    </row>
    <row r="50" spans="2:3" x14ac:dyDescent="0.25">
      <c r="B50" s="31">
        <v>14</v>
      </c>
      <c r="C50" s="4">
        <f t="shared" si="14"/>
        <v>5.5234662012943381E-4</v>
      </c>
    </row>
    <row r="51" spans="2:3" x14ac:dyDescent="0.25">
      <c r="B51" s="31">
        <v>15</v>
      </c>
      <c r="C51" s="4">
        <f t="shared" si="14"/>
        <v>1.8738521429236983E-4</v>
      </c>
    </row>
    <row r="52" spans="2:3" x14ac:dyDescent="0.25">
      <c r="B52" s="31">
        <v>16</v>
      </c>
      <c r="C52" s="4">
        <f t="shared" si="14"/>
        <v>5.9597660190607551E-5</v>
      </c>
    </row>
    <row r="53" spans="2:3" x14ac:dyDescent="0.25">
      <c r="B53" s="31">
        <v>17</v>
      </c>
      <c r="C53" s="4">
        <f t="shared" si="14"/>
        <v>1.7839930390895694E-5</v>
      </c>
    </row>
    <row r="54" spans="2:3" x14ac:dyDescent="0.25">
      <c r="B54" s="31">
        <v>18</v>
      </c>
      <c r="C54" s="4">
        <f t="shared" si="14"/>
        <v>5.0435056566288756E-6</v>
      </c>
    </row>
    <row r="55" spans="2:3" x14ac:dyDescent="0.25">
      <c r="B55" s="31">
        <v>19</v>
      </c>
      <c r="C55" s="4">
        <f t="shared" si="14"/>
        <v>1.3507960059115037E-6</v>
      </c>
    </row>
    <row r="56" spans="2:3" x14ac:dyDescent="0.25">
      <c r="B56" s="31">
        <v>20</v>
      </c>
      <c r="C56" s="4">
        <f t="shared" si="14"/>
        <v>3.4369215827516212E-7</v>
      </c>
    </row>
    <row r="57" spans="2:3" x14ac:dyDescent="0.25">
      <c r="B57" s="31">
        <v>21</v>
      </c>
      <c r="C57" s="4">
        <f t="shared" si="14"/>
        <v>8.3283539550355901E-8</v>
      </c>
    </row>
    <row r="58" spans="2:3" x14ac:dyDescent="0.25">
      <c r="B58" s="31">
        <v>22</v>
      </c>
      <c r="C58" s="4">
        <f t="shared" si="14"/>
        <v>1.9263905274242692E-8</v>
      </c>
    </row>
    <row r="59" spans="2:3" x14ac:dyDescent="0.25">
      <c r="B59" s="31">
        <v>23</v>
      </c>
      <c r="C59" s="4">
        <f t="shared" si="14"/>
        <v>4.2620970355827944E-9</v>
      </c>
    </row>
    <row r="60" spans="2:3" x14ac:dyDescent="0.25">
      <c r="B60" s="31">
        <v>24</v>
      </c>
      <c r="C60" s="4">
        <f t="shared" si="14"/>
        <v>9.0368676352730963E-10</v>
      </c>
    </row>
    <row r="61" spans="2:3" x14ac:dyDescent="0.25">
      <c r="B61" s="31">
        <v>25</v>
      </c>
      <c r="C61" s="4">
        <f t="shared" si="14"/>
        <v>1.8394277617154029E-10</v>
      </c>
    </row>
    <row r="62" spans="2:3" x14ac:dyDescent="0.25">
      <c r="B62" s="31">
        <v>26</v>
      </c>
      <c r="C62" s="4">
        <f t="shared" si="14"/>
        <v>3.6000887553589914E-11</v>
      </c>
    </row>
    <row r="63" spans="2:3" x14ac:dyDescent="0.25">
      <c r="B63" s="31">
        <v>27</v>
      </c>
      <c r="C63" s="4">
        <f t="shared" si="14"/>
        <v>6.7850375784534215E-12</v>
      </c>
    </row>
    <row r="64" spans="2:3" x14ac:dyDescent="0.25">
      <c r="B64" s="31">
        <v>28</v>
      </c>
      <c r="C64" s="4">
        <f t="shared" si="14"/>
        <v>1.2330935731279443E-12</v>
      </c>
    </row>
    <row r="65" spans="2:3" x14ac:dyDescent="0.25">
      <c r="B65" s="31">
        <v>29</v>
      </c>
      <c r="C65" s="4">
        <f t="shared" si="14"/>
        <v>2.1637089385060801E-13</v>
      </c>
    </row>
    <row r="66" spans="2:3" x14ac:dyDescent="0.25">
      <c r="B66" s="31">
        <v>30</v>
      </c>
      <c r="C66" s="4">
        <f t="shared" si="14"/>
        <v>3.6700956415194473E-14</v>
      </c>
    </row>
    <row r="67" spans="2:3" x14ac:dyDescent="0.25">
      <c r="B67" s="31">
        <v>31</v>
      </c>
      <c r="C67" s="4">
        <f t="shared" si="14"/>
        <v>6.0244094384222968E-15</v>
      </c>
    </row>
    <row r="68" spans="2:3" x14ac:dyDescent="0.25">
      <c r="B68" s="31">
        <v>32</v>
      </c>
      <c r="C68" s="4">
        <f t="shared" si="14"/>
        <v>9.579928962119474E-16</v>
      </c>
    </row>
    <row r="69" spans="2:3" x14ac:dyDescent="0.25">
      <c r="B69" s="31">
        <v>33</v>
      </c>
      <c r="C69" s="4">
        <f t="shared" si="14"/>
        <v>1.4772198341447549E-16</v>
      </c>
    </row>
    <row r="70" spans="2:3" x14ac:dyDescent="0.25">
      <c r="B70" s="31">
        <v>34</v>
      </c>
      <c r="C70" s="4">
        <f t="shared" si="14"/>
        <v>2.210863801658617E-17</v>
      </c>
    </row>
    <row r="71" spans="2:3" x14ac:dyDescent="0.25">
      <c r="B71" s="31">
        <v>35</v>
      </c>
      <c r="C71" s="4">
        <f t="shared" si="14"/>
        <v>3.2143170746337875E-18</v>
      </c>
    </row>
    <row r="72" spans="2:3" x14ac:dyDescent="0.25">
      <c r="B72" s="31">
        <v>36</v>
      </c>
      <c r="C72" s="4">
        <f t="shared" si="14"/>
        <v>4.5433896013705655E-19</v>
      </c>
    </row>
    <row r="73" spans="2:3" x14ac:dyDescent="0.25">
      <c r="B73" s="31">
        <v>37</v>
      </c>
      <c r="C73" s="4">
        <f t="shared" si="14"/>
        <v>6.2484315332219139E-20</v>
      </c>
    </row>
    <row r="74" spans="2:3" x14ac:dyDescent="0.25">
      <c r="B74" s="31">
        <v>38</v>
      </c>
      <c r="C74" s="4">
        <f t="shared" si="14"/>
        <v>8.3671811811586745E-21</v>
      </c>
    </row>
    <row r="75" spans="2:3" x14ac:dyDescent="0.25">
      <c r="B75" s="31">
        <v>39</v>
      </c>
      <c r="C75" s="4">
        <f t="shared" si="14"/>
        <v>1.0917050397171236E-21</v>
      </c>
    </row>
    <row r="76" spans="2:3" x14ac:dyDescent="0.25">
      <c r="B76" s="31">
        <v>40</v>
      </c>
      <c r="C76" s="4">
        <f t="shared" si="14"/>
        <v>1.3887851608961475E-22</v>
      </c>
    </row>
    <row r="77" spans="2:3" x14ac:dyDescent="0.25">
      <c r="B77" s="31">
        <v>41</v>
      </c>
      <c r="C77" s="4">
        <f t="shared" si="14"/>
        <v>1.7236137457525002E-23</v>
      </c>
    </row>
    <row r="78" spans="2:3" x14ac:dyDescent="0.25">
      <c r="B78" s="31">
        <v>42</v>
      </c>
      <c r="C78" s="4">
        <f t="shared" si="14"/>
        <v>2.088230291631688E-24</v>
      </c>
    </row>
    <row r="79" spans="2:3" x14ac:dyDescent="0.25">
      <c r="B79" s="31">
        <v>43</v>
      </c>
      <c r="C79" s="4">
        <f t="shared" si="14"/>
        <v>2.4711360879565612E-25</v>
      </c>
    </row>
    <row r="80" spans="2:3" x14ac:dyDescent="0.25">
      <c r="B80" s="31">
        <v>44</v>
      </c>
      <c r="C80" s="4">
        <f t="shared" si="14"/>
        <v>2.8577860278992881E-26</v>
      </c>
    </row>
    <row r="81" spans="1:35" x14ac:dyDescent="0.25">
      <c r="B81" s="31">
        <v>45</v>
      </c>
      <c r="C81" s="4">
        <f t="shared" si="14"/>
        <v>3.2314832663919645E-27</v>
      </c>
    </row>
    <row r="82" spans="1:35" x14ac:dyDescent="0.25">
      <c r="B82" s="31">
        <v>46</v>
      </c>
      <c r="C82" s="4">
        <f t="shared" si="14"/>
        <v>3.5746027967001281E-28</v>
      </c>
    </row>
    <row r="83" spans="1:35" x14ac:dyDescent="0.25">
      <c r="B83" s="31">
        <v>47</v>
      </c>
      <c r="C83" s="4">
        <f t="shared" si="14"/>
        <v>3.8700149133072013E-29</v>
      </c>
    </row>
    <row r="84" spans="1:35" x14ac:dyDescent="0.25">
      <c r="B84" s="31">
        <v>48</v>
      </c>
      <c r="C84" s="4">
        <f t="shared" si="14"/>
        <v>4.1025426202937846E-30</v>
      </c>
    </row>
    <row r="85" spans="1:35" x14ac:dyDescent="0.25">
      <c r="B85" s="31">
        <v>49</v>
      </c>
      <c r="C85" s="4">
        <f t="shared" si="14"/>
        <v>4.2602758116322548E-31</v>
      </c>
    </row>
    <row r="86" spans="1:35" x14ac:dyDescent="0.25">
      <c r="B86" s="31">
        <v>50</v>
      </c>
      <c r="C86" s="4">
        <f t="shared" si="14"/>
        <v>4.3355819694100331E-32</v>
      </c>
    </row>
    <row r="87" spans="1:35" x14ac:dyDescent="0.25">
      <c r="B87" s="31">
        <v>51</v>
      </c>
      <c r="C87" s="4">
        <f t="shared" si="14"/>
        <v>4.3256951481533926E-33</v>
      </c>
    </row>
    <row r="88" spans="1:35" x14ac:dyDescent="0.25">
      <c r="B88" s="31">
        <v>52</v>
      </c>
      <c r="C88" s="4">
        <f t="shared" si="14"/>
        <v>4.2328243257994336E-34</v>
      </c>
    </row>
    <row r="89" spans="1:35" x14ac:dyDescent="0.25">
      <c r="B89" s="31">
        <v>53</v>
      </c>
      <c r="C89" s="4">
        <f t="shared" si="14"/>
        <v>4.0637880412326335E-35</v>
      </c>
    </row>
    <row r="90" spans="1:35" x14ac:dyDescent="0.25">
      <c r="B90" s="31">
        <v>54</v>
      </c>
      <c r="C90" s="4">
        <f t="shared" si="14"/>
        <v>3.8292432535456186E-36</v>
      </c>
    </row>
    <row r="91" spans="1:35" x14ac:dyDescent="0.25">
      <c r="B91" s="31">
        <v>55</v>
      </c>
      <c r="C91" s="4">
        <f t="shared" si="14"/>
        <v>3.5426229248256246E-37</v>
      </c>
    </row>
    <row r="92" spans="1:35" x14ac:dyDescent="0.25">
      <c r="B92" s="31">
        <v>56</v>
      </c>
      <c r="C92" s="4">
        <f t="shared" si="14"/>
        <v>3.2189227814238767E-38</v>
      </c>
    </row>
    <row r="93" spans="1:35" x14ac:dyDescent="0.25">
      <c r="B93" s="31">
        <v>57</v>
      </c>
      <c r="C93" s="4">
        <f t="shared" si="14"/>
        <v>2.8734811617703176E-39</v>
      </c>
    </row>
    <row r="94" spans="1:35" x14ac:dyDescent="0.25">
      <c r="B94" s="31">
        <v>58</v>
      </c>
      <c r="C94" s="4">
        <f t="shared" si="14"/>
        <v>2.520879036503517E-40</v>
      </c>
    </row>
    <row r="95" spans="1:35" x14ac:dyDescent="0.25">
      <c r="B95" s="31">
        <v>59</v>
      </c>
      <c r="C95" s="4">
        <f t="shared" si="14"/>
        <v>2.1740555445358607E-41</v>
      </c>
    </row>
    <row r="96" spans="1:35" s="31" customFormat="1" x14ac:dyDescent="0.25">
      <c r="A96" s="6"/>
      <c r="B96" s="31">
        <v>60</v>
      </c>
      <c r="C96" s="4">
        <f t="shared" si="14"/>
        <v>1.8436947554694824E-42</v>
      </c>
      <c r="D96" s="6"/>
      <c r="S96" s="6"/>
      <c r="T96" s="6"/>
      <c r="U96" s="6"/>
      <c r="AD96" s="6"/>
      <c r="AE96" s="6"/>
      <c r="AF96" s="6"/>
      <c r="AG96" s="6"/>
      <c r="AH96" s="6"/>
      <c r="AI96" s="6"/>
    </row>
    <row r="97" spans="1:35" s="31" customFormat="1" x14ac:dyDescent="0.25">
      <c r="A97" s="6"/>
      <c r="C97" s="4"/>
      <c r="D97" s="6"/>
      <c r="S97" s="6"/>
      <c r="T97" s="6"/>
      <c r="U97" s="6"/>
      <c r="AD97" s="6"/>
      <c r="AE97" s="6"/>
      <c r="AF97" s="6"/>
      <c r="AG97" s="6"/>
      <c r="AH97" s="6"/>
      <c r="AI97" s="6"/>
    </row>
    <row r="98" spans="1:35" s="31" customFormat="1" x14ac:dyDescent="0.25">
      <c r="A98" s="6"/>
      <c r="C98" s="4"/>
      <c r="D98" s="6"/>
      <c r="S98" s="6"/>
      <c r="T98" s="6"/>
      <c r="U98" s="6"/>
      <c r="AD98" s="6"/>
      <c r="AE98" s="6"/>
      <c r="AF98" s="6"/>
      <c r="AG98" s="6"/>
      <c r="AH98" s="6"/>
      <c r="AI98" s="6"/>
    </row>
    <row r="99" spans="1:35" s="133" customFormat="1" x14ac:dyDescent="0.25">
      <c r="A99" s="22"/>
      <c r="B99" s="22"/>
      <c r="C99" s="241"/>
      <c r="S99" s="22"/>
      <c r="T99" s="22"/>
      <c r="U99" s="22"/>
      <c r="AD99" s="22"/>
      <c r="AE99" s="22"/>
      <c r="AF99" s="22"/>
      <c r="AG99" s="22"/>
      <c r="AH99" s="22"/>
      <c r="AI99" s="22"/>
    </row>
    <row r="100" spans="1:35" s="133" customFormat="1" x14ac:dyDescent="0.25">
      <c r="A100" s="22"/>
      <c r="B100" s="22"/>
      <c r="C100" s="241"/>
      <c r="S100" s="22"/>
      <c r="T100" s="22"/>
      <c r="U100" s="22"/>
      <c r="AD100" s="22"/>
      <c r="AE100" s="22"/>
      <c r="AF100" s="22"/>
      <c r="AG100" s="22"/>
      <c r="AH100" s="22"/>
      <c r="AI100" s="22"/>
    </row>
    <row r="101" spans="1:35" s="133" customFormat="1" x14ac:dyDescent="0.25">
      <c r="A101" s="22"/>
      <c r="B101" s="22"/>
      <c r="C101" s="141"/>
      <c r="S101" s="22"/>
      <c r="T101" s="22"/>
      <c r="U101" s="22"/>
      <c r="AD101" s="22"/>
      <c r="AE101" s="22"/>
      <c r="AF101" s="22"/>
      <c r="AG101" s="22"/>
      <c r="AH101" s="22"/>
      <c r="AI101" s="22"/>
    </row>
    <row r="102" spans="1:35" s="133" customFormat="1" x14ac:dyDescent="0.25">
      <c r="A102" s="22"/>
      <c r="B102" s="22"/>
      <c r="S102" s="22"/>
      <c r="T102" s="22"/>
      <c r="U102" s="22"/>
      <c r="AD102" s="22"/>
      <c r="AE102" s="22"/>
      <c r="AF102" s="22"/>
      <c r="AG102" s="22"/>
      <c r="AH102" s="22"/>
      <c r="AI102" s="22"/>
    </row>
    <row r="103" spans="1:35" s="133" customFormat="1" x14ac:dyDescent="0.25">
      <c r="A103" s="22"/>
      <c r="B103" s="93"/>
      <c r="S103" s="22"/>
      <c r="T103" s="22"/>
      <c r="U103" s="22"/>
      <c r="AD103" s="22"/>
      <c r="AE103" s="22"/>
      <c r="AF103" s="22"/>
      <c r="AG103" s="22"/>
      <c r="AH103" s="22"/>
      <c r="AI103" s="22"/>
    </row>
    <row r="104" spans="1:35" s="133" customFormat="1" x14ac:dyDescent="0.25">
      <c r="A104" s="22"/>
      <c r="B104" s="22"/>
      <c r="S104" s="22"/>
      <c r="T104" s="22"/>
      <c r="U104" s="22"/>
      <c r="AD104" s="22"/>
      <c r="AE104" s="22"/>
      <c r="AF104" s="22"/>
      <c r="AG104" s="22"/>
      <c r="AH104" s="22"/>
      <c r="AI104" s="22"/>
    </row>
    <row r="105" spans="1:35" s="133" customFormat="1" x14ac:dyDescent="0.25">
      <c r="A105" s="22"/>
      <c r="B105" s="22"/>
      <c r="C105" s="242"/>
      <c r="D105" s="243"/>
      <c r="S105" s="22"/>
      <c r="T105" s="22"/>
      <c r="U105" s="22"/>
      <c r="AD105" s="22"/>
      <c r="AE105" s="22"/>
      <c r="AF105" s="22"/>
      <c r="AG105" s="22"/>
      <c r="AH105" s="22"/>
      <c r="AI105" s="22"/>
    </row>
    <row r="106" spans="1:35" s="133" customFormat="1" x14ac:dyDescent="0.25">
      <c r="A106" s="22"/>
      <c r="B106" s="93"/>
      <c r="C106" s="64"/>
      <c r="S106" s="22"/>
      <c r="T106" s="22"/>
      <c r="U106" s="22"/>
      <c r="AD106" s="22"/>
      <c r="AE106" s="22"/>
      <c r="AF106" s="22"/>
      <c r="AG106" s="22"/>
      <c r="AH106" s="22"/>
      <c r="AI106" s="22"/>
    </row>
    <row r="107" spans="1:35" s="133" customFormat="1" x14ac:dyDescent="0.25">
      <c r="A107" s="22"/>
      <c r="B107" s="22"/>
      <c r="S107" s="22"/>
      <c r="T107" s="22"/>
      <c r="U107" s="22"/>
      <c r="AD107" s="22"/>
      <c r="AE107" s="22"/>
      <c r="AF107" s="22"/>
      <c r="AG107" s="22"/>
      <c r="AH107" s="22"/>
      <c r="AI107" s="22"/>
    </row>
    <row r="108" spans="1:35" s="133" customFormat="1" x14ac:dyDescent="0.25">
      <c r="A108" s="22"/>
      <c r="B108" s="22"/>
      <c r="S108" s="22"/>
      <c r="T108" s="22"/>
      <c r="U108" s="22"/>
      <c r="AD108" s="22"/>
      <c r="AE108" s="22"/>
      <c r="AF108" s="22"/>
      <c r="AG108" s="22"/>
      <c r="AH108" s="22"/>
      <c r="AI108" s="22"/>
    </row>
    <row r="109" spans="1:35" s="133" customFormat="1" x14ac:dyDescent="0.25">
      <c r="A109" s="22"/>
      <c r="B109" s="93"/>
      <c r="S109" s="22"/>
      <c r="T109" s="22"/>
      <c r="U109" s="22"/>
      <c r="AD109" s="22"/>
      <c r="AE109" s="22"/>
      <c r="AF109" s="22"/>
      <c r="AG109" s="22"/>
      <c r="AH109" s="22"/>
      <c r="AI109" s="22"/>
    </row>
    <row r="110" spans="1:35" s="133" customFormat="1" x14ac:dyDescent="0.25">
      <c r="A110" s="22"/>
      <c r="B110" s="22"/>
      <c r="S110" s="22"/>
      <c r="T110" s="22"/>
      <c r="U110" s="22"/>
      <c r="AD110" s="22"/>
      <c r="AE110" s="22"/>
      <c r="AF110" s="22"/>
      <c r="AG110" s="22"/>
      <c r="AH110" s="22"/>
      <c r="AI110" s="22"/>
    </row>
    <row r="111" spans="1:35" s="133" customFormat="1" x14ac:dyDescent="0.25">
      <c r="A111" s="22"/>
      <c r="B111" s="22"/>
      <c r="C111" s="244"/>
      <c r="D111" s="243"/>
      <c r="S111" s="22"/>
      <c r="T111" s="22"/>
      <c r="U111" s="22"/>
      <c r="AD111" s="22"/>
      <c r="AE111" s="22"/>
      <c r="AF111" s="22"/>
      <c r="AG111" s="22"/>
      <c r="AH111" s="22"/>
      <c r="AI111" s="22"/>
    </row>
    <row r="112" spans="1:35" s="133" customFormat="1" x14ac:dyDescent="0.25">
      <c r="A112" s="22"/>
      <c r="B112" s="22"/>
      <c r="C112" s="135"/>
      <c r="S112" s="22"/>
      <c r="T112" s="22"/>
      <c r="U112" s="22"/>
      <c r="AD112" s="22"/>
      <c r="AE112" s="22"/>
      <c r="AF112" s="22"/>
      <c r="AG112" s="22"/>
      <c r="AH112" s="22"/>
      <c r="AI112" s="22"/>
    </row>
    <row r="113" spans="1:35" s="133" customFormat="1" x14ac:dyDescent="0.25">
      <c r="A113" s="22"/>
      <c r="B113" s="22"/>
      <c r="D113" s="22"/>
      <c r="S113" s="22"/>
      <c r="T113" s="22"/>
      <c r="U113" s="22"/>
      <c r="AD113" s="22"/>
      <c r="AE113" s="22"/>
      <c r="AF113" s="22"/>
      <c r="AG113" s="22"/>
      <c r="AH113" s="22"/>
      <c r="AI113" s="22"/>
    </row>
    <row r="114" spans="1:35" s="133" customFormat="1" x14ac:dyDescent="0.25">
      <c r="A114" s="22"/>
      <c r="B114" s="22"/>
      <c r="D114" s="22"/>
      <c r="S114" s="22"/>
      <c r="T114" s="22"/>
      <c r="U114" s="22"/>
      <c r="AD114" s="22"/>
      <c r="AE114" s="22"/>
      <c r="AF114" s="22"/>
      <c r="AG114" s="22"/>
      <c r="AH114" s="22"/>
      <c r="AI114" s="22"/>
    </row>
    <row r="115" spans="1:35" s="133" customFormat="1" x14ac:dyDescent="0.25">
      <c r="A115" s="22"/>
      <c r="B115" s="22"/>
      <c r="D115" s="22"/>
      <c r="S115" s="22"/>
      <c r="T115" s="22"/>
      <c r="U115" s="22"/>
      <c r="AD115" s="22"/>
      <c r="AE115" s="22"/>
      <c r="AF115" s="22"/>
      <c r="AG115" s="22"/>
      <c r="AH115" s="22"/>
      <c r="AI115" s="22"/>
    </row>
    <row r="116" spans="1:35" s="22" customFormat="1" x14ac:dyDescent="0.25">
      <c r="B116" s="132"/>
      <c r="C116" s="132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V116" s="133"/>
      <c r="W116" s="133"/>
      <c r="X116" s="133"/>
      <c r="Y116" s="133"/>
      <c r="Z116" s="133"/>
      <c r="AA116" s="133"/>
      <c r="AB116" s="133"/>
      <c r="AC116" s="133"/>
    </row>
    <row r="117" spans="1:35" s="22" customFormat="1" x14ac:dyDescent="0.25">
      <c r="B117" s="133"/>
      <c r="C117" s="135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V117" s="133"/>
      <c r="W117" s="133"/>
      <c r="X117" s="133"/>
      <c r="Y117" s="133"/>
      <c r="Z117" s="133"/>
      <c r="AA117" s="133"/>
      <c r="AB117" s="133"/>
      <c r="AC117" s="133"/>
    </row>
    <row r="118" spans="1:35" s="22" customFormat="1" x14ac:dyDescent="0.25">
      <c r="A118" s="245"/>
      <c r="B118" s="133"/>
      <c r="C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V118" s="133"/>
      <c r="W118" s="133"/>
      <c r="X118" s="133"/>
      <c r="Y118" s="133"/>
      <c r="Z118" s="133"/>
      <c r="AA118" s="133"/>
      <c r="AB118" s="133"/>
      <c r="AC118" s="133"/>
    </row>
    <row r="119" spans="1:35" s="22" customFormat="1" x14ac:dyDescent="0.25">
      <c r="A119" s="246"/>
      <c r="B119" s="133"/>
      <c r="C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V119" s="133"/>
      <c r="W119" s="133"/>
      <c r="X119" s="133"/>
      <c r="Y119" s="133"/>
      <c r="Z119" s="133"/>
      <c r="AA119" s="133"/>
      <c r="AB119" s="133"/>
      <c r="AC119" s="133"/>
    </row>
    <row r="120" spans="1:35" s="22" customFormat="1" x14ac:dyDescent="0.25">
      <c r="A120" s="246"/>
      <c r="B120" s="133"/>
      <c r="C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V120" s="133"/>
      <c r="W120" s="133"/>
      <c r="X120" s="133"/>
      <c r="Y120" s="133"/>
      <c r="Z120" s="133"/>
      <c r="AA120" s="133"/>
      <c r="AB120" s="133"/>
      <c r="AC120" s="133"/>
    </row>
    <row r="121" spans="1:35" s="22" customFormat="1" x14ac:dyDescent="0.25">
      <c r="A121" s="246"/>
      <c r="B121" s="133"/>
      <c r="C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V121" s="133"/>
      <c r="W121" s="133"/>
      <c r="X121" s="133"/>
      <c r="Y121" s="133"/>
      <c r="Z121" s="133"/>
      <c r="AA121" s="133"/>
      <c r="AB121" s="133"/>
      <c r="AC121" s="133"/>
    </row>
    <row r="122" spans="1:35" s="22" customFormat="1" x14ac:dyDescent="0.25">
      <c r="A122" s="246"/>
      <c r="B122" s="133"/>
      <c r="C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V122" s="133"/>
      <c r="W122" s="133"/>
      <c r="X122" s="133"/>
      <c r="Y122" s="133"/>
      <c r="Z122" s="133"/>
      <c r="AA122" s="133"/>
      <c r="AB122" s="133"/>
      <c r="AC122" s="133"/>
    </row>
    <row r="123" spans="1:35" s="22" customFormat="1" x14ac:dyDescent="0.25">
      <c r="A123" s="246"/>
      <c r="B123" s="133"/>
      <c r="C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V123" s="133"/>
      <c r="W123" s="133"/>
      <c r="X123" s="133"/>
      <c r="Y123" s="133"/>
      <c r="Z123" s="133"/>
      <c r="AA123" s="133"/>
      <c r="AB123" s="133"/>
      <c r="AC123" s="133"/>
    </row>
    <row r="124" spans="1:35" s="22" customFormat="1" x14ac:dyDescent="0.25">
      <c r="A124" s="246"/>
      <c r="B124" s="133"/>
      <c r="C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V124" s="133"/>
      <c r="W124" s="133"/>
      <c r="X124" s="133"/>
      <c r="Y124" s="133"/>
      <c r="Z124" s="133"/>
      <c r="AA124" s="133"/>
      <c r="AB124" s="133"/>
      <c r="AC124" s="133"/>
    </row>
    <row r="125" spans="1:35" s="22" customFormat="1" x14ac:dyDescent="0.25">
      <c r="A125" s="246"/>
      <c r="B125" s="133"/>
      <c r="C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V125" s="133"/>
      <c r="W125" s="133"/>
      <c r="X125" s="133"/>
      <c r="Y125" s="133"/>
      <c r="Z125" s="133"/>
      <c r="AA125" s="133"/>
      <c r="AB125" s="133"/>
      <c r="AC125" s="133"/>
    </row>
    <row r="126" spans="1:35" s="22" customFormat="1" x14ac:dyDescent="0.25">
      <c r="A126" s="246"/>
      <c r="B126" s="133"/>
      <c r="C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V126" s="133"/>
      <c r="W126" s="133"/>
      <c r="X126" s="133"/>
      <c r="Y126" s="133"/>
      <c r="Z126" s="133"/>
      <c r="AA126" s="133"/>
      <c r="AB126" s="133"/>
      <c r="AC126" s="133"/>
    </row>
    <row r="127" spans="1:35" s="22" customFormat="1" x14ac:dyDescent="0.25">
      <c r="A127" s="246"/>
      <c r="B127" s="133"/>
      <c r="C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V127" s="133"/>
      <c r="W127" s="133"/>
      <c r="X127" s="133"/>
      <c r="Y127" s="133"/>
      <c r="Z127" s="133"/>
      <c r="AA127" s="133"/>
      <c r="AB127" s="133"/>
      <c r="AC127" s="133"/>
    </row>
    <row r="128" spans="1:35" s="22" customFormat="1" x14ac:dyDescent="0.25">
      <c r="A128" s="246"/>
      <c r="B128" s="133"/>
      <c r="C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V128" s="133"/>
      <c r="W128" s="133"/>
      <c r="X128" s="133"/>
      <c r="Y128" s="133"/>
      <c r="Z128" s="133"/>
      <c r="AA128" s="133"/>
      <c r="AB128" s="133"/>
      <c r="AC128" s="133"/>
    </row>
    <row r="129" spans="1:29" s="22" customFormat="1" x14ac:dyDescent="0.25">
      <c r="A129" s="246"/>
      <c r="B129" s="133"/>
      <c r="C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V129" s="133"/>
      <c r="W129" s="133"/>
      <c r="X129" s="133"/>
      <c r="Y129" s="133"/>
      <c r="Z129" s="133"/>
      <c r="AA129" s="133"/>
      <c r="AB129" s="133"/>
      <c r="AC129" s="133"/>
    </row>
    <row r="130" spans="1:29" s="22" customFormat="1" x14ac:dyDescent="0.25">
      <c r="A130" s="246"/>
      <c r="B130" s="133"/>
      <c r="C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V130" s="133"/>
      <c r="W130" s="133"/>
      <c r="X130" s="133"/>
      <c r="Y130" s="133"/>
      <c r="Z130" s="133"/>
      <c r="AA130" s="133"/>
      <c r="AB130" s="133"/>
      <c r="AC130" s="133"/>
    </row>
    <row r="131" spans="1:29" s="22" customFormat="1" x14ac:dyDescent="0.25">
      <c r="A131" s="246"/>
      <c r="B131" s="133"/>
      <c r="C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V131" s="133"/>
      <c r="W131" s="133"/>
      <c r="X131" s="133"/>
      <c r="Y131" s="133"/>
      <c r="Z131" s="133"/>
      <c r="AA131" s="133"/>
      <c r="AB131" s="133"/>
      <c r="AC131" s="133"/>
    </row>
    <row r="132" spans="1:29" s="22" customFormat="1" x14ac:dyDescent="0.25">
      <c r="A132" s="246"/>
      <c r="B132" s="133"/>
      <c r="C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V132" s="133"/>
      <c r="W132" s="133"/>
      <c r="X132" s="133"/>
      <c r="Y132" s="133"/>
      <c r="Z132" s="133"/>
      <c r="AA132" s="133"/>
      <c r="AB132" s="133"/>
      <c r="AC132" s="133"/>
    </row>
    <row r="133" spans="1:29" s="22" customFormat="1" x14ac:dyDescent="0.25">
      <c r="A133" s="246"/>
      <c r="B133" s="133"/>
      <c r="C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V133" s="133"/>
      <c r="W133" s="133"/>
      <c r="X133" s="133"/>
      <c r="Y133" s="133"/>
      <c r="Z133" s="133"/>
      <c r="AA133" s="133"/>
      <c r="AB133" s="133"/>
      <c r="AC133" s="133"/>
    </row>
    <row r="134" spans="1:29" s="22" customFormat="1" x14ac:dyDescent="0.25">
      <c r="A134" s="246"/>
      <c r="B134" s="133"/>
      <c r="C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V134" s="133"/>
      <c r="W134" s="133"/>
      <c r="X134" s="133"/>
      <c r="Y134" s="133"/>
      <c r="Z134" s="133"/>
      <c r="AA134" s="133"/>
      <c r="AB134" s="133"/>
      <c r="AC134" s="133"/>
    </row>
    <row r="135" spans="1:29" s="22" customFormat="1" x14ac:dyDescent="0.25">
      <c r="A135" s="246"/>
      <c r="B135" s="133"/>
      <c r="C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V135" s="133"/>
      <c r="W135" s="133"/>
      <c r="X135" s="133"/>
      <c r="Y135" s="133"/>
      <c r="Z135" s="133"/>
      <c r="AA135" s="133"/>
      <c r="AB135" s="133"/>
      <c r="AC135" s="133"/>
    </row>
    <row r="136" spans="1:29" s="22" customFormat="1" x14ac:dyDescent="0.25">
      <c r="A136" s="246"/>
      <c r="B136" s="133"/>
      <c r="C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V136" s="133"/>
      <c r="W136" s="133"/>
      <c r="X136" s="133"/>
      <c r="Y136" s="133"/>
      <c r="Z136" s="133"/>
      <c r="AA136" s="133"/>
      <c r="AB136" s="133"/>
      <c r="AC136" s="133"/>
    </row>
    <row r="137" spans="1:29" s="22" customFormat="1" x14ac:dyDescent="0.25">
      <c r="A137" s="246"/>
      <c r="B137" s="133"/>
      <c r="C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V137" s="133"/>
      <c r="W137" s="133"/>
      <c r="X137" s="133"/>
      <c r="Y137" s="133"/>
      <c r="Z137" s="133"/>
      <c r="AA137" s="133"/>
      <c r="AB137" s="133"/>
      <c r="AC137" s="133"/>
    </row>
    <row r="138" spans="1:29" s="22" customFormat="1" x14ac:dyDescent="0.25">
      <c r="A138" s="246"/>
      <c r="B138" s="133"/>
      <c r="C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V138" s="133"/>
      <c r="W138" s="133"/>
      <c r="X138" s="133"/>
      <c r="Y138" s="133"/>
      <c r="Z138" s="133"/>
      <c r="AA138" s="133"/>
      <c r="AB138" s="133"/>
      <c r="AC138" s="133"/>
    </row>
    <row r="139" spans="1:29" s="22" customFormat="1" x14ac:dyDescent="0.25">
      <c r="C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V139" s="133"/>
      <c r="W139" s="133"/>
      <c r="X139" s="133"/>
      <c r="Y139" s="133"/>
      <c r="Z139" s="133"/>
      <c r="AA139" s="133"/>
      <c r="AB139" s="133"/>
      <c r="AC139" s="133"/>
    </row>
    <row r="140" spans="1:29" s="22" customFormat="1" x14ac:dyDescent="0.25">
      <c r="C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V140" s="133"/>
      <c r="W140" s="133"/>
      <c r="X140" s="133"/>
      <c r="Y140" s="133"/>
      <c r="Z140" s="133"/>
      <c r="AA140" s="133"/>
      <c r="AB140" s="133"/>
      <c r="AC140" s="133"/>
    </row>
    <row r="141" spans="1:29" s="22" customFormat="1" x14ac:dyDescent="0.25">
      <c r="C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V141" s="133"/>
      <c r="W141" s="133"/>
      <c r="X141" s="133"/>
      <c r="Y141" s="133"/>
      <c r="Z141" s="133"/>
      <c r="AA141" s="133"/>
      <c r="AB141" s="133"/>
      <c r="AC141" s="133"/>
    </row>
    <row r="142" spans="1:29" s="22" customFormat="1" x14ac:dyDescent="0.25">
      <c r="C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V142" s="133"/>
      <c r="W142" s="133"/>
      <c r="X142" s="133"/>
      <c r="Y142" s="133"/>
      <c r="Z142" s="133"/>
      <c r="AA142" s="133"/>
      <c r="AB142" s="133"/>
      <c r="AC142" s="133"/>
    </row>
    <row r="143" spans="1:29" s="22" customFormat="1" x14ac:dyDescent="0.25">
      <c r="C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V143" s="133"/>
      <c r="W143" s="133"/>
      <c r="X143" s="133"/>
      <c r="Y143" s="133"/>
      <c r="Z143" s="133"/>
      <c r="AA143" s="133"/>
      <c r="AB143" s="133"/>
      <c r="AC143" s="133"/>
    </row>
    <row r="144" spans="1:29" s="22" customFormat="1" x14ac:dyDescent="0.25">
      <c r="C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V144" s="133"/>
      <c r="W144" s="133"/>
      <c r="X144" s="133"/>
      <c r="Y144" s="133"/>
      <c r="Z144" s="133"/>
      <c r="AA144" s="133"/>
      <c r="AB144" s="133"/>
      <c r="AC144" s="133"/>
    </row>
    <row r="145" spans="2:29" s="22" customFormat="1" x14ac:dyDescent="0.25">
      <c r="C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V145" s="133"/>
      <c r="W145" s="133"/>
      <c r="X145" s="133"/>
      <c r="Y145" s="133"/>
      <c r="Z145" s="133"/>
      <c r="AA145" s="133"/>
      <c r="AB145" s="133"/>
      <c r="AC145" s="133"/>
    </row>
    <row r="146" spans="2:29" s="22" customFormat="1" x14ac:dyDescent="0.25">
      <c r="C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V146" s="133"/>
      <c r="W146" s="133"/>
      <c r="X146" s="133"/>
      <c r="Y146" s="133"/>
      <c r="Z146" s="133"/>
      <c r="AA146" s="133"/>
      <c r="AB146" s="133"/>
      <c r="AC146" s="133"/>
    </row>
    <row r="147" spans="2:29" s="22" customFormat="1" x14ac:dyDescent="0.25">
      <c r="C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V147" s="133"/>
      <c r="W147" s="133"/>
      <c r="X147" s="133"/>
      <c r="Y147" s="133"/>
      <c r="Z147" s="133"/>
      <c r="AA147" s="133"/>
      <c r="AB147" s="133"/>
      <c r="AC147" s="133"/>
    </row>
    <row r="148" spans="2:29" s="22" customFormat="1" x14ac:dyDescent="0.25">
      <c r="C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V148" s="133"/>
      <c r="W148" s="133"/>
      <c r="X148" s="133"/>
      <c r="Y148" s="133"/>
      <c r="Z148" s="133"/>
      <c r="AA148" s="133"/>
      <c r="AB148" s="133"/>
      <c r="AC148" s="133"/>
    </row>
    <row r="149" spans="2:29" s="22" customFormat="1" x14ac:dyDescent="0.25">
      <c r="C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V149" s="133"/>
      <c r="W149" s="133"/>
      <c r="X149" s="133"/>
      <c r="Y149" s="133"/>
      <c r="Z149" s="133"/>
      <c r="AA149" s="133"/>
      <c r="AB149" s="133"/>
      <c r="AC149" s="133"/>
    </row>
    <row r="150" spans="2:29" s="22" customFormat="1" x14ac:dyDescent="0.25">
      <c r="C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V150" s="133"/>
      <c r="W150" s="133"/>
      <c r="X150" s="133"/>
      <c r="Y150" s="133"/>
      <c r="Z150" s="133"/>
      <c r="AA150" s="133"/>
      <c r="AB150" s="133"/>
      <c r="AC150" s="133"/>
    </row>
    <row r="151" spans="2:29" s="22" customFormat="1" x14ac:dyDescent="0.25">
      <c r="C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V151" s="133"/>
      <c r="W151" s="133"/>
      <c r="X151" s="133"/>
      <c r="Y151" s="133"/>
      <c r="Z151" s="133"/>
      <c r="AA151" s="133"/>
      <c r="AB151" s="133"/>
      <c r="AC151" s="133"/>
    </row>
    <row r="152" spans="2:29" s="22" customFormat="1" x14ac:dyDescent="0.25">
      <c r="C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V152" s="133"/>
      <c r="W152" s="133"/>
      <c r="X152" s="133"/>
      <c r="Y152" s="133"/>
      <c r="Z152" s="133"/>
      <c r="AA152" s="133"/>
      <c r="AB152" s="133"/>
      <c r="AC152" s="133"/>
    </row>
    <row r="153" spans="2:29" s="22" customFormat="1" x14ac:dyDescent="0.25">
      <c r="C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V153" s="133"/>
      <c r="W153" s="133"/>
      <c r="X153" s="133"/>
      <c r="Y153" s="133"/>
      <c r="Z153" s="133"/>
      <c r="AA153" s="133"/>
      <c r="AB153" s="133"/>
      <c r="AC153" s="133"/>
    </row>
    <row r="154" spans="2:29" s="22" customFormat="1" x14ac:dyDescent="0.25">
      <c r="C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V154" s="133"/>
      <c r="W154" s="133"/>
      <c r="X154" s="133"/>
      <c r="Y154" s="133"/>
      <c r="Z154" s="133"/>
      <c r="AA154" s="133"/>
      <c r="AB154" s="133"/>
      <c r="AC154" s="133"/>
    </row>
    <row r="155" spans="2:29" s="22" customFormat="1" x14ac:dyDescent="0.25">
      <c r="C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V155" s="133"/>
      <c r="W155" s="133"/>
      <c r="X155" s="133"/>
      <c r="Y155" s="133"/>
      <c r="Z155" s="133"/>
      <c r="AA155" s="133"/>
      <c r="AB155" s="133"/>
      <c r="AC155" s="133"/>
    </row>
    <row r="156" spans="2:29" s="22" customFormat="1" x14ac:dyDescent="0.25">
      <c r="C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V156" s="133"/>
      <c r="W156" s="133"/>
      <c r="X156" s="133"/>
      <c r="Y156" s="133"/>
      <c r="Z156" s="133"/>
      <c r="AA156" s="133"/>
      <c r="AB156" s="133"/>
      <c r="AC156" s="133"/>
    </row>
    <row r="157" spans="2:29" s="22" customFormat="1" x14ac:dyDescent="0.25">
      <c r="C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V157" s="133"/>
      <c r="W157" s="133"/>
      <c r="X157" s="133"/>
      <c r="Y157" s="133"/>
      <c r="Z157" s="133"/>
      <c r="AA157" s="133"/>
      <c r="AB157" s="133"/>
      <c r="AC157" s="133"/>
    </row>
    <row r="158" spans="2:29" x14ac:dyDescent="0.25">
      <c r="B158" s="6"/>
      <c r="C158" s="31"/>
    </row>
    <row r="159" spans="2:29" x14ac:dyDescent="0.25">
      <c r="B159" s="6"/>
      <c r="C159" s="31"/>
    </row>
    <row r="160" spans="2:29" x14ac:dyDescent="0.25">
      <c r="B160" s="6"/>
      <c r="C160" s="31"/>
    </row>
    <row r="161" spans="2:3" x14ac:dyDescent="0.25">
      <c r="B161" s="6"/>
      <c r="C161" s="31"/>
    </row>
    <row r="162" spans="2:3" x14ac:dyDescent="0.25">
      <c r="B162" s="6"/>
      <c r="C162" s="31"/>
    </row>
    <row r="163" spans="2:3" x14ac:dyDescent="0.25">
      <c r="B163" s="6"/>
      <c r="C163" s="31"/>
    </row>
    <row r="164" spans="2:3" x14ac:dyDescent="0.25">
      <c r="B164" s="6"/>
      <c r="C164" s="31"/>
    </row>
    <row r="165" spans="2:3" x14ac:dyDescent="0.25">
      <c r="B165" s="6"/>
      <c r="C165" s="31"/>
    </row>
    <row r="166" spans="2:3" x14ac:dyDescent="0.25">
      <c r="B166" s="6"/>
      <c r="C166" s="31"/>
    </row>
    <row r="167" spans="2:3" x14ac:dyDescent="0.25">
      <c r="B167" s="6"/>
      <c r="C167" s="31"/>
    </row>
    <row r="168" spans="2:3" x14ac:dyDescent="0.25">
      <c r="B168" s="6"/>
      <c r="C168" s="31"/>
    </row>
    <row r="169" spans="2:3" x14ac:dyDescent="0.25">
      <c r="B169" s="6"/>
      <c r="C169" s="31"/>
    </row>
    <row r="170" spans="2:3" x14ac:dyDescent="0.25">
      <c r="B170" s="6"/>
      <c r="C170" s="3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30D5C-5921-48B6-BAF0-B53CE33B013A}">
  <dimension ref="A1:O94"/>
  <sheetViews>
    <sheetView workbookViewId="0">
      <selection activeCell="F8" sqref="F8"/>
    </sheetView>
  </sheetViews>
  <sheetFormatPr defaultColWidth="9.140625" defaultRowHeight="15" x14ac:dyDescent="0.25"/>
  <cols>
    <col min="1" max="1" width="12" style="31" bestFit="1" customWidth="1"/>
    <col min="2" max="2" width="10.140625" style="6" bestFit="1" customWidth="1"/>
    <col min="3" max="3" width="9.140625" style="31"/>
    <col min="4" max="4" width="18.42578125" style="31" bestFit="1" customWidth="1"/>
    <col min="5" max="5" width="32.140625" style="31" bestFit="1" customWidth="1"/>
    <col min="6" max="6" width="18.28515625" style="31" customWidth="1"/>
    <col min="7" max="7" width="30" style="31" bestFit="1" customWidth="1"/>
    <col min="8" max="8" width="25.7109375" style="30" bestFit="1" customWidth="1"/>
    <col min="9" max="9" width="47.42578125" style="6" bestFit="1" customWidth="1"/>
    <col min="10" max="10" width="13.5703125" style="6" customWidth="1"/>
    <col min="11" max="11" width="12.7109375" style="6" bestFit="1" customWidth="1"/>
    <col min="12" max="16384" width="9.140625" style="6"/>
  </cols>
  <sheetData>
    <row r="1" spans="1:8" x14ac:dyDescent="0.25">
      <c r="A1" s="82" t="s">
        <v>58</v>
      </c>
      <c r="B1" s="83">
        <f>Rewards_SKY!C29</f>
        <v>3.0000000000000001E-3</v>
      </c>
      <c r="D1" s="233"/>
      <c r="F1" s="232"/>
      <c r="G1" s="234"/>
    </row>
    <row r="2" spans="1:8" x14ac:dyDescent="0.25">
      <c r="B2" s="86"/>
      <c r="D2" s="232"/>
    </row>
    <row r="3" spans="1:8" x14ac:dyDescent="0.25">
      <c r="B3" s="84"/>
      <c r="D3" s="73"/>
    </row>
    <row r="4" spans="1:8" x14ac:dyDescent="0.25">
      <c r="A4" s="31" t="s">
        <v>57</v>
      </c>
      <c r="B4" s="6" t="s">
        <v>56</v>
      </c>
      <c r="C4" s="31" t="s">
        <v>55</v>
      </c>
      <c r="D4" s="31" t="s">
        <v>54</v>
      </c>
      <c r="E4" s="31" t="s">
        <v>63</v>
      </c>
      <c r="F4" s="31" t="s">
        <v>97</v>
      </c>
      <c r="G4" s="31" t="s">
        <v>60</v>
      </c>
      <c r="H4" s="30" t="s">
        <v>69</v>
      </c>
    </row>
    <row r="5" spans="1:8" x14ac:dyDescent="0.25">
      <c r="A5" s="85">
        <v>44051</v>
      </c>
      <c r="B5" s="6">
        <v>0</v>
      </c>
      <c r="C5" s="31">
        <v>210</v>
      </c>
      <c r="D5" s="30">
        <v>13262280841.6812</v>
      </c>
      <c r="E5" s="31">
        <v>0</v>
      </c>
      <c r="G5" s="31">
        <f>E5</f>
        <v>0</v>
      </c>
      <c r="H5" s="30">
        <f>F84</f>
        <v>31704823791.377499</v>
      </c>
    </row>
    <row r="6" spans="1:8" x14ac:dyDescent="0.25">
      <c r="A6" s="85">
        <f>A5+B6-B5</f>
        <v>44056</v>
      </c>
      <c r="B6" s="6">
        <v>5</v>
      </c>
      <c r="C6" s="31">
        <f>C5+1</f>
        <v>211</v>
      </c>
      <c r="D6" s="30">
        <f>D5-E6</f>
        <v>13222493999.156157</v>
      </c>
      <c r="E6" s="30">
        <f>$B$1*D5</f>
        <v>39786842.525043599</v>
      </c>
      <c r="G6" s="30">
        <f>E6+SUM(E$5:E5)</f>
        <v>39786842.525043599</v>
      </c>
      <c r="H6" s="30">
        <f>H5</f>
        <v>31704823791.377499</v>
      </c>
    </row>
    <row r="7" spans="1:8" x14ac:dyDescent="0.25">
      <c r="A7" s="85">
        <f t="shared" ref="A7:A70" si="0">A6+B7-B6</f>
        <v>44061</v>
      </c>
      <c r="B7" s="6">
        <f>B6+5</f>
        <v>10</v>
      </c>
      <c r="C7" s="31">
        <f t="shared" ref="C7:C70" si="1">C6+1</f>
        <v>212</v>
      </c>
      <c r="D7" s="30">
        <f>D6-E7</f>
        <v>13182826517.158688</v>
      </c>
      <c r="E7" s="30">
        <f t="shared" ref="E7:E70" si="2">$B$1*D6</f>
        <v>39667481.997468472</v>
      </c>
      <c r="G7" s="30">
        <f>E7+SUM(E$5:E6)</f>
        <v>79454324.522512078</v>
      </c>
      <c r="H7" s="30">
        <f>H6</f>
        <v>31704823791.377499</v>
      </c>
    </row>
    <row r="8" spans="1:8" x14ac:dyDescent="0.25">
      <c r="A8" s="85">
        <f t="shared" si="0"/>
        <v>44066</v>
      </c>
      <c r="B8" s="6">
        <f t="shared" ref="B8:B41" si="3">B7+5</f>
        <v>15</v>
      </c>
      <c r="C8" s="31">
        <f t="shared" si="1"/>
        <v>213</v>
      </c>
      <c r="D8" s="30">
        <f t="shared" ref="D8:D71" si="4">D7-E8</f>
        <v>13143278037.607212</v>
      </c>
      <c r="E8" s="30">
        <f t="shared" si="2"/>
        <v>39548479.551476061</v>
      </c>
      <c r="F8" s="30">
        <f>E6</f>
        <v>39786842.525043599</v>
      </c>
      <c r="G8" s="30">
        <f>E8+SUM(E$5:E7)</f>
        <v>119002804.07398814</v>
      </c>
      <c r="H8" s="30">
        <f>H7+F8</f>
        <v>31744610633.902542</v>
      </c>
    </row>
    <row r="9" spans="1:8" x14ac:dyDescent="0.25">
      <c r="A9" s="85">
        <f t="shared" si="0"/>
        <v>44071</v>
      </c>
      <c r="B9" s="6">
        <f t="shared" si="3"/>
        <v>20</v>
      </c>
      <c r="C9" s="31">
        <f t="shared" si="1"/>
        <v>214</v>
      </c>
      <c r="D9" s="30">
        <f t="shared" si="4"/>
        <v>13103848203.49439</v>
      </c>
      <c r="E9" s="30">
        <f t="shared" si="2"/>
        <v>39429834.112821639</v>
      </c>
      <c r="F9" s="30">
        <f t="shared" ref="F9:F72" si="5">E7</f>
        <v>39667481.997468472</v>
      </c>
      <c r="G9" s="30">
        <f>E9+SUM(E$5:E8)</f>
        <v>158432638.18680978</v>
      </c>
      <c r="H9" s="30">
        <f t="shared" ref="H9:H72" si="6">H8+F9</f>
        <v>31784278115.900009</v>
      </c>
    </row>
    <row r="10" spans="1:8" x14ac:dyDescent="0.25">
      <c r="A10" s="85">
        <f t="shared" si="0"/>
        <v>44076</v>
      </c>
      <c r="B10" s="6">
        <f t="shared" si="3"/>
        <v>25</v>
      </c>
      <c r="C10" s="31">
        <f t="shared" si="1"/>
        <v>215</v>
      </c>
      <c r="D10" s="30">
        <f t="shared" si="4"/>
        <v>13064536658.883907</v>
      </c>
      <c r="E10" s="30">
        <f t="shared" si="2"/>
        <v>39311544.61048317</v>
      </c>
      <c r="F10" s="30">
        <f t="shared" si="5"/>
        <v>39548479.551476061</v>
      </c>
      <c r="G10" s="30">
        <f>E10+SUM(E$5:E9)</f>
        <v>197744182.79729295</v>
      </c>
      <c r="H10" s="30">
        <f t="shared" si="6"/>
        <v>31823826595.451485</v>
      </c>
    </row>
    <row r="11" spans="1:8" x14ac:dyDescent="0.25">
      <c r="A11" s="85">
        <f t="shared" si="0"/>
        <v>44081</v>
      </c>
      <c r="B11" s="6">
        <f t="shared" si="3"/>
        <v>30</v>
      </c>
      <c r="C11" s="31">
        <f t="shared" si="1"/>
        <v>216</v>
      </c>
      <c r="D11" s="30">
        <f t="shared" si="4"/>
        <v>13025343048.907255</v>
      </c>
      <c r="E11" s="30">
        <f t="shared" si="2"/>
        <v>39193609.976651721</v>
      </c>
      <c r="F11" s="30">
        <f t="shared" si="5"/>
        <v>39429834.112821639</v>
      </c>
      <c r="G11" s="30">
        <f>E11+SUM(E$5:E10)</f>
        <v>236937792.77394468</v>
      </c>
      <c r="H11" s="30">
        <f t="shared" si="6"/>
        <v>31863256429.564308</v>
      </c>
    </row>
    <row r="12" spans="1:8" x14ac:dyDescent="0.25">
      <c r="A12" s="85">
        <f t="shared" si="0"/>
        <v>44086</v>
      </c>
      <c r="B12" s="6">
        <f t="shared" si="3"/>
        <v>35</v>
      </c>
      <c r="C12" s="31">
        <f t="shared" si="1"/>
        <v>217</v>
      </c>
      <c r="D12" s="30">
        <f t="shared" si="4"/>
        <v>12986267019.760534</v>
      </c>
      <c r="E12" s="30">
        <f t="shared" si="2"/>
        <v>39076029.146721765</v>
      </c>
      <c r="F12" s="30">
        <f t="shared" si="5"/>
        <v>39311544.61048317</v>
      </c>
      <c r="G12" s="30">
        <f>E12+SUM(E$5:E11)</f>
        <v>276013821.92066646</v>
      </c>
      <c r="H12" s="30">
        <f t="shared" si="6"/>
        <v>31902567974.174789</v>
      </c>
    </row>
    <row r="13" spans="1:8" x14ac:dyDescent="0.25">
      <c r="A13" s="85">
        <f t="shared" si="0"/>
        <v>44091</v>
      </c>
      <c r="B13" s="6">
        <f t="shared" si="3"/>
        <v>40</v>
      </c>
      <c r="C13" s="31">
        <f t="shared" si="1"/>
        <v>218</v>
      </c>
      <c r="D13" s="30">
        <f t="shared" si="4"/>
        <v>12947308218.701252</v>
      </c>
      <c r="E13" s="30">
        <f t="shared" si="2"/>
        <v>38958801.059281603</v>
      </c>
      <c r="F13" s="30">
        <f t="shared" si="5"/>
        <v>39193609.976651721</v>
      </c>
      <c r="G13" s="30">
        <f>E13+SUM(E$5:E12)</f>
        <v>314972622.97994804</v>
      </c>
      <c r="H13" s="30">
        <f t="shared" si="6"/>
        <v>31941761584.15144</v>
      </c>
    </row>
    <row r="14" spans="1:8" x14ac:dyDescent="0.25">
      <c r="A14" s="85">
        <f t="shared" si="0"/>
        <v>44096</v>
      </c>
      <c r="B14" s="6">
        <f t="shared" si="3"/>
        <v>45</v>
      </c>
      <c r="C14" s="31">
        <f t="shared" si="1"/>
        <v>219</v>
      </c>
      <c r="D14" s="30">
        <f t="shared" si="4"/>
        <v>12908466294.045149</v>
      </c>
      <c r="E14" s="30">
        <f t="shared" si="2"/>
        <v>38841924.65610376</v>
      </c>
      <c r="F14" s="30">
        <f t="shared" si="5"/>
        <v>39076029.146721765</v>
      </c>
      <c r="G14" s="30">
        <f>E14+SUM(E$5:E13)</f>
        <v>353814547.63605177</v>
      </c>
      <c r="H14" s="30">
        <f t="shared" si="6"/>
        <v>31980837613.298161</v>
      </c>
    </row>
    <row r="15" spans="1:8" x14ac:dyDescent="0.25">
      <c r="A15" s="85">
        <f t="shared" si="0"/>
        <v>44101</v>
      </c>
      <c r="B15" s="6">
        <f t="shared" si="3"/>
        <v>50</v>
      </c>
      <c r="C15" s="31">
        <f t="shared" si="1"/>
        <v>220</v>
      </c>
      <c r="D15" s="30">
        <f t="shared" si="4"/>
        <v>12869740895.163013</v>
      </c>
      <c r="E15" s="30">
        <f t="shared" si="2"/>
        <v>38725398.882135451</v>
      </c>
      <c r="F15" s="30">
        <f t="shared" si="5"/>
        <v>38958801.059281603</v>
      </c>
      <c r="G15" s="30">
        <f>E15+SUM(E$5:E14)</f>
        <v>392539946.51818722</v>
      </c>
      <c r="H15" s="30">
        <f t="shared" si="6"/>
        <v>32019796414.357441</v>
      </c>
    </row>
    <row r="16" spans="1:8" x14ac:dyDescent="0.25">
      <c r="A16" s="85">
        <f t="shared" si="0"/>
        <v>44106</v>
      </c>
      <c r="B16" s="6">
        <f t="shared" si="3"/>
        <v>55</v>
      </c>
      <c r="C16" s="31">
        <f t="shared" si="1"/>
        <v>221</v>
      </c>
      <c r="D16" s="30">
        <f t="shared" si="4"/>
        <v>12831131672.477524</v>
      </c>
      <c r="E16" s="30">
        <f t="shared" si="2"/>
        <v>38609222.685489044</v>
      </c>
      <c r="F16" s="30">
        <f t="shared" si="5"/>
        <v>38841924.65610376</v>
      </c>
      <c r="G16" s="30">
        <f>E16+SUM(E$5:E15)</f>
        <v>431149169.20367628</v>
      </c>
      <c r="H16" s="30">
        <f t="shared" si="6"/>
        <v>32058638339.013546</v>
      </c>
    </row>
    <row r="17" spans="1:8" x14ac:dyDescent="0.25">
      <c r="A17" s="85">
        <f t="shared" si="0"/>
        <v>44111</v>
      </c>
      <c r="B17" s="6">
        <f t="shared" si="3"/>
        <v>60</v>
      </c>
      <c r="C17" s="31">
        <f t="shared" si="1"/>
        <v>222</v>
      </c>
      <c r="D17" s="30">
        <f t="shared" si="4"/>
        <v>12792638277.460091</v>
      </c>
      <c r="E17" s="30">
        <f t="shared" si="2"/>
        <v>38493395.01743257</v>
      </c>
      <c r="F17" s="30">
        <f t="shared" si="5"/>
        <v>38725398.882135451</v>
      </c>
      <c r="G17" s="30">
        <f>E17+SUM(E$5:E16)</f>
        <v>469642564.22110885</v>
      </c>
      <c r="H17" s="30">
        <f t="shared" si="6"/>
        <v>32097363737.895683</v>
      </c>
    </row>
    <row r="18" spans="1:8" x14ac:dyDescent="0.25">
      <c r="A18" s="85">
        <f t="shared" si="0"/>
        <v>44116</v>
      </c>
      <c r="B18" s="6">
        <f t="shared" si="3"/>
        <v>65</v>
      </c>
      <c r="C18" s="31">
        <f t="shared" si="1"/>
        <v>223</v>
      </c>
      <c r="D18" s="30">
        <f t="shared" si="4"/>
        <v>12754260362.62771</v>
      </c>
      <c r="E18" s="30">
        <f t="shared" si="2"/>
        <v>38377914.832380272</v>
      </c>
      <c r="F18" s="30">
        <f t="shared" si="5"/>
        <v>38609222.685489044</v>
      </c>
      <c r="G18" s="30">
        <f>E18+SUM(E$5:E17)</f>
        <v>508020479.05348915</v>
      </c>
      <c r="H18" s="30">
        <f t="shared" si="6"/>
        <v>32135972960.581173</v>
      </c>
    </row>
    <row r="19" spans="1:8" x14ac:dyDescent="0.25">
      <c r="A19" s="85">
        <f t="shared" si="0"/>
        <v>44121</v>
      </c>
      <c r="B19" s="6">
        <f t="shared" si="3"/>
        <v>70</v>
      </c>
      <c r="C19" s="31">
        <f t="shared" si="1"/>
        <v>224</v>
      </c>
      <c r="D19" s="30">
        <f t="shared" si="4"/>
        <v>12715997581.539827</v>
      </c>
      <c r="E19" s="30">
        <f t="shared" si="2"/>
        <v>38262781.08788313</v>
      </c>
      <c r="F19" s="30">
        <f t="shared" si="5"/>
        <v>38493395.01743257</v>
      </c>
      <c r="G19" s="30">
        <f>E19+SUM(E$5:E18)</f>
        <v>546283260.14137232</v>
      </c>
      <c r="H19" s="30">
        <f t="shared" si="6"/>
        <v>32174466355.598606</v>
      </c>
    </row>
    <row r="20" spans="1:8" x14ac:dyDescent="0.25">
      <c r="A20" s="85">
        <f t="shared" si="0"/>
        <v>44126</v>
      </c>
      <c r="B20" s="6">
        <f t="shared" si="3"/>
        <v>75</v>
      </c>
      <c r="C20" s="31">
        <f t="shared" si="1"/>
        <v>225</v>
      </c>
      <c r="D20" s="30">
        <f t="shared" si="4"/>
        <v>12677849588.795208</v>
      </c>
      <c r="E20" s="30">
        <f t="shared" si="2"/>
        <v>38147992.744619481</v>
      </c>
      <c r="F20" s="30">
        <f t="shared" si="5"/>
        <v>38377914.832380272</v>
      </c>
      <c r="G20" s="30">
        <f>E20+SUM(E$5:E19)</f>
        <v>584431252.88599181</v>
      </c>
      <c r="H20" s="30">
        <f t="shared" si="6"/>
        <v>32212844270.430984</v>
      </c>
    </row>
    <row r="21" spans="1:8" x14ac:dyDescent="0.25">
      <c r="A21" s="85">
        <f t="shared" si="0"/>
        <v>44131</v>
      </c>
      <c r="B21" s="6">
        <f t="shared" si="3"/>
        <v>80</v>
      </c>
      <c r="C21" s="31">
        <f t="shared" si="1"/>
        <v>226</v>
      </c>
      <c r="D21" s="30">
        <f t="shared" si="4"/>
        <v>12639816040.028822</v>
      </c>
      <c r="E21" s="30">
        <f t="shared" si="2"/>
        <v>38033548.766385622</v>
      </c>
      <c r="F21" s="30">
        <f t="shared" si="5"/>
        <v>38262781.08788313</v>
      </c>
      <c r="G21" s="30">
        <f>E21+SUM(E$5:E20)</f>
        <v>622464801.65237749</v>
      </c>
      <c r="H21" s="30">
        <f t="shared" si="6"/>
        <v>32251107051.518867</v>
      </c>
    </row>
    <row r="22" spans="1:8" x14ac:dyDescent="0.25">
      <c r="A22" s="85">
        <f t="shared" si="0"/>
        <v>44136</v>
      </c>
      <c r="B22" s="6">
        <f t="shared" si="3"/>
        <v>85</v>
      </c>
      <c r="C22" s="31">
        <f t="shared" si="1"/>
        <v>227</v>
      </c>
      <c r="D22" s="30">
        <f t="shared" si="4"/>
        <v>12601896591.908735</v>
      </c>
      <c r="E22" s="30">
        <f t="shared" si="2"/>
        <v>37919448.120086469</v>
      </c>
      <c r="F22" s="30">
        <f t="shared" si="5"/>
        <v>38147992.744619481</v>
      </c>
      <c r="G22" s="30">
        <f>E22+SUM(E$5:E21)</f>
        <v>660384249.77246392</v>
      </c>
      <c r="H22" s="30">
        <f t="shared" si="6"/>
        <v>32289255044.263489</v>
      </c>
    </row>
    <row r="23" spans="1:8" x14ac:dyDescent="0.25">
      <c r="A23" s="85">
        <f t="shared" si="0"/>
        <v>44141</v>
      </c>
      <c r="B23" s="6">
        <f t="shared" si="3"/>
        <v>90</v>
      </c>
      <c r="C23" s="31">
        <f t="shared" si="1"/>
        <v>228</v>
      </c>
      <c r="D23" s="30">
        <f t="shared" si="4"/>
        <v>12564090902.133009</v>
      </c>
      <c r="E23" s="30">
        <f t="shared" si="2"/>
        <v>37805689.775726207</v>
      </c>
      <c r="F23" s="30">
        <f t="shared" si="5"/>
        <v>38033548.766385622</v>
      </c>
      <c r="G23" s="30">
        <f>E23+SUM(E$5:E22)</f>
        <v>698189939.54819012</v>
      </c>
      <c r="H23" s="30">
        <f t="shared" si="6"/>
        <v>32327288593.029873</v>
      </c>
    </row>
    <row r="24" spans="1:8" x14ac:dyDescent="0.25">
      <c r="A24" s="85">
        <f t="shared" si="0"/>
        <v>44146</v>
      </c>
      <c r="B24" s="6">
        <f t="shared" si="3"/>
        <v>95</v>
      </c>
      <c r="C24" s="31">
        <f t="shared" si="1"/>
        <v>229</v>
      </c>
      <c r="D24" s="30">
        <f t="shared" si="4"/>
        <v>12526398629.426609</v>
      </c>
      <c r="E24" s="30">
        <f t="shared" si="2"/>
        <v>37692272.706399031</v>
      </c>
      <c r="F24" s="30">
        <f t="shared" si="5"/>
        <v>37919448.120086469</v>
      </c>
      <c r="G24" s="30">
        <f>E24+SUM(E$5:E23)</f>
        <v>735882212.2545892</v>
      </c>
      <c r="H24" s="30">
        <f t="shared" si="6"/>
        <v>32365208041.14996</v>
      </c>
    </row>
    <row r="25" spans="1:8" x14ac:dyDescent="0.25">
      <c r="A25" s="85">
        <f t="shared" si="0"/>
        <v>44151</v>
      </c>
      <c r="B25" s="6">
        <f t="shared" si="3"/>
        <v>100</v>
      </c>
      <c r="C25" s="31">
        <f t="shared" si="1"/>
        <v>230</v>
      </c>
      <c r="D25" s="30">
        <f t="shared" si="4"/>
        <v>12488819433.53833</v>
      </c>
      <c r="E25" s="30">
        <f t="shared" si="2"/>
        <v>37579195.888279825</v>
      </c>
      <c r="F25" s="30">
        <f t="shared" si="5"/>
        <v>37805689.775726207</v>
      </c>
      <c r="G25" s="30">
        <f>E25+SUM(E$5:E24)</f>
        <v>773461408.142869</v>
      </c>
      <c r="H25" s="30">
        <f t="shared" si="6"/>
        <v>32403013730.925686</v>
      </c>
    </row>
    <row r="26" spans="1:8" x14ac:dyDescent="0.25">
      <c r="A26" s="85">
        <f t="shared" si="0"/>
        <v>44156</v>
      </c>
      <c r="B26" s="6">
        <f t="shared" si="3"/>
        <v>105</v>
      </c>
      <c r="C26" s="31">
        <f t="shared" si="1"/>
        <v>231</v>
      </c>
      <c r="D26" s="30">
        <f t="shared" si="4"/>
        <v>12451352975.237715</v>
      </c>
      <c r="E26" s="30">
        <f t="shared" si="2"/>
        <v>37466458.30061499</v>
      </c>
      <c r="F26" s="30">
        <f t="shared" si="5"/>
        <v>37692272.706399031</v>
      </c>
      <c r="G26" s="30">
        <f>E26+SUM(E$5:E25)</f>
        <v>810927866.44348395</v>
      </c>
      <c r="H26" s="30">
        <f t="shared" si="6"/>
        <v>32440706003.632084</v>
      </c>
    </row>
    <row r="27" spans="1:8" x14ac:dyDescent="0.25">
      <c r="A27" s="85">
        <f t="shared" si="0"/>
        <v>44161</v>
      </c>
      <c r="B27" s="6">
        <f t="shared" si="3"/>
        <v>110</v>
      </c>
      <c r="C27" s="31">
        <f t="shared" si="1"/>
        <v>232</v>
      </c>
      <c r="D27" s="30">
        <f t="shared" si="4"/>
        <v>12413998916.312002</v>
      </c>
      <c r="E27" s="30">
        <f t="shared" si="2"/>
        <v>37354058.925713144</v>
      </c>
      <c r="F27" s="30">
        <f t="shared" si="5"/>
        <v>37579195.888279825</v>
      </c>
      <c r="G27" s="30">
        <f>E27+SUM(E$5:E26)</f>
        <v>848281925.36919713</v>
      </c>
      <c r="H27" s="30">
        <f t="shared" si="6"/>
        <v>32478285199.520363</v>
      </c>
    </row>
    <row r="28" spans="1:8" x14ac:dyDescent="0.25">
      <c r="A28" s="85">
        <f t="shared" si="0"/>
        <v>44166</v>
      </c>
      <c r="B28" s="6">
        <f t="shared" si="3"/>
        <v>115</v>
      </c>
      <c r="C28" s="31">
        <f t="shared" si="1"/>
        <v>233</v>
      </c>
      <c r="D28" s="30">
        <f t="shared" si="4"/>
        <v>12376756919.563066</v>
      </c>
      <c r="E28" s="30">
        <f t="shared" si="2"/>
        <v>37241996.748936005</v>
      </c>
      <c r="F28" s="30">
        <f t="shared" si="5"/>
        <v>37466458.30061499</v>
      </c>
      <c r="G28" s="30">
        <f>E28+SUM(E$5:E27)</f>
        <v>885523922.11813319</v>
      </c>
      <c r="H28" s="30">
        <f t="shared" si="6"/>
        <v>32515751657.820976</v>
      </c>
    </row>
    <row r="29" spans="1:8" x14ac:dyDescent="0.25">
      <c r="A29" s="85">
        <f t="shared" si="0"/>
        <v>44171</v>
      </c>
      <c r="B29" s="6">
        <f t="shared" si="3"/>
        <v>120</v>
      </c>
      <c r="C29" s="31">
        <f t="shared" si="1"/>
        <v>234</v>
      </c>
      <c r="D29" s="30">
        <f t="shared" si="4"/>
        <v>12339626648.804377</v>
      </c>
      <c r="E29" s="30">
        <f t="shared" si="2"/>
        <v>37130270.758689202</v>
      </c>
      <c r="F29" s="30">
        <f t="shared" si="5"/>
        <v>37354058.925713144</v>
      </c>
      <c r="G29" s="30">
        <f>E29+SUM(E$5:E28)</f>
        <v>922654192.87682235</v>
      </c>
      <c r="H29" s="30">
        <f t="shared" si="6"/>
        <v>32553105716.746689</v>
      </c>
    </row>
    <row r="30" spans="1:8" x14ac:dyDescent="0.25">
      <c r="A30" s="85">
        <f t="shared" si="0"/>
        <v>44176</v>
      </c>
      <c r="B30" s="6">
        <f t="shared" si="3"/>
        <v>125</v>
      </c>
      <c r="C30" s="31">
        <f t="shared" si="1"/>
        <v>235</v>
      </c>
      <c r="D30" s="30">
        <f t="shared" si="4"/>
        <v>12302607768.857964</v>
      </c>
      <c r="E30" s="30">
        <f t="shared" si="2"/>
        <v>37018879.94641313</v>
      </c>
      <c r="F30" s="30">
        <f t="shared" si="5"/>
        <v>37241996.748936005</v>
      </c>
      <c r="G30" s="30">
        <f>E30+SUM(E$5:E29)</f>
        <v>959673072.82323551</v>
      </c>
      <c r="H30" s="30">
        <f t="shared" si="6"/>
        <v>32590347713.495625</v>
      </c>
    </row>
    <row r="31" spans="1:8" x14ac:dyDescent="0.25">
      <c r="A31" s="85">
        <f t="shared" si="0"/>
        <v>44181</v>
      </c>
      <c r="B31" s="6">
        <f t="shared" si="3"/>
        <v>130</v>
      </c>
      <c r="C31" s="31">
        <f t="shared" si="1"/>
        <v>236</v>
      </c>
      <c r="D31" s="30">
        <f t="shared" si="4"/>
        <v>12265699945.55139</v>
      </c>
      <c r="E31" s="30">
        <f t="shared" si="2"/>
        <v>36907823.30657389</v>
      </c>
      <c r="F31" s="30">
        <f t="shared" si="5"/>
        <v>37130270.758689202</v>
      </c>
      <c r="G31" s="30">
        <f>E31+SUM(E$5:E30)</f>
        <v>996580896.12980938</v>
      </c>
      <c r="H31" s="30">
        <f t="shared" si="6"/>
        <v>32627477984.254314</v>
      </c>
    </row>
    <row r="32" spans="1:8" x14ac:dyDescent="0.25">
      <c r="A32" s="85">
        <f t="shared" si="0"/>
        <v>44186</v>
      </c>
      <c r="B32" s="6">
        <f t="shared" si="3"/>
        <v>135</v>
      </c>
      <c r="C32" s="31">
        <f t="shared" si="1"/>
        <v>237</v>
      </c>
      <c r="D32" s="30">
        <f t="shared" si="4"/>
        <v>12228902845.714735</v>
      </c>
      <c r="E32" s="30">
        <f t="shared" si="2"/>
        <v>36797099.836654171</v>
      </c>
      <c r="F32" s="30">
        <f t="shared" si="5"/>
        <v>37018879.94641313</v>
      </c>
      <c r="G32" s="30">
        <f>E32+SUM(E$5:E31)</f>
        <v>1033377995.9664636</v>
      </c>
      <c r="H32" s="30">
        <f t="shared" si="6"/>
        <v>32664496864.200729</v>
      </c>
    </row>
    <row r="33" spans="1:8" x14ac:dyDescent="0.25">
      <c r="A33" s="85">
        <f t="shared" si="0"/>
        <v>44191</v>
      </c>
      <c r="B33" s="6">
        <f t="shared" si="3"/>
        <v>140</v>
      </c>
      <c r="C33" s="31">
        <f t="shared" si="1"/>
        <v>238</v>
      </c>
      <c r="D33" s="30">
        <f t="shared" si="4"/>
        <v>12192216137.177591</v>
      </c>
      <c r="E33" s="30">
        <f t="shared" si="2"/>
        <v>36686708.537144206</v>
      </c>
      <c r="F33" s="30">
        <f t="shared" si="5"/>
        <v>36907823.30657389</v>
      </c>
      <c r="G33" s="30">
        <f>E33+SUM(E$5:E32)</f>
        <v>1070064704.5036077</v>
      </c>
      <c r="H33" s="30">
        <f t="shared" si="6"/>
        <v>32701404687.507305</v>
      </c>
    </row>
    <row r="34" spans="1:8" x14ac:dyDescent="0.25">
      <c r="A34" s="85">
        <f t="shared" si="0"/>
        <v>44196</v>
      </c>
      <c r="B34" s="6">
        <f t="shared" si="3"/>
        <v>145</v>
      </c>
      <c r="C34" s="31">
        <f t="shared" si="1"/>
        <v>239</v>
      </c>
      <c r="D34" s="30">
        <f t="shared" si="4"/>
        <v>12155639488.766058</v>
      </c>
      <c r="E34" s="30">
        <f t="shared" si="2"/>
        <v>36576648.411532775</v>
      </c>
      <c r="F34" s="30">
        <f t="shared" si="5"/>
        <v>36797099.836654171</v>
      </c>
      <c r="G34" s="30">
        <f>E34+SUM(E$5:E33)</f>
        <v>1106641352.9151406</v>
      </c>
      <c r="H34" s="30">
        <f t="shared" si="6"/>
        <v>32738201787.34396</v>
      </c>
    </row>
    <row r="35" spans="1:8" x14ac:dyDescent="0.25">
      <c r="A35" s="85">
        <f t="shared" si="0"/>
        <v>44201</v>
      </c>
      <c r="B35" s="6">
        <f t="shared" si="3"/>
        <v>150</v>
      </c>
      <c r="C35" s="31">
        <f t="shared" si="1"/>
        <v>240</v>
      </c>
      <c r="D35" s="30">
        <f t="shared" si="4"/>
        <v>12119172570.299759</v>
      </c>
      <c r="E35" s="30">
        <f t="shared" si="2"/>
        <v>36466918.466298178</v>
      </c>
      <c r="F35" s="30">
        <f t="shared" si="5"/>
        <v>36686708.537144206</v>
      </c>
      <c r="G35" s="30">
        <f>E35+SUM(E$5:E34)</f>
        <v>1143108271.3814387</v>
      </c>
      <c r="H35" s="30">
        <f t="shared" si="6"/>
        <v>32774888495.881104</v>
      </c>
    </row>
    <row r="36" spans="1:8" x14ac:dyDescent="0.25">
      <c r="A36" s="85">
        <f t="shared" si="0"/>
        <v>44206</v>
      </c>
      <c r="B36" s="6">
        <f t="shared" si="3"/>
        <v>155</v>
      </c>
      <c r="C36" s="31">
        <f t="shared" si="1"/>
        <v>241</v>
      </c>
      <c r="D36" s="30">
        <f t="shared" si="4"/>
        <v>12082815052.58886</v>
      </c>
      <c r="E36" s="30">
        <f t="shared" si="2"/>
        <v>36357517.710899279</v>
      </c>
      <c r="F36" s="30">
        <f t="shared" si="5"/>
        <v>36576648.411532775</v>
      </c>
      <c r="G36" s="30">
        <f>E36+SUM(E$5:E35)</f>
        <v>1179465789.0923381</v>
      </c>
      <c r="H36" s="30">
        <f t="shared" si="6"/>
        <v>32811465144.292637</v>
      </c>
    </row>
    <row r="37" spans="1:8" x14ac:dyDescent="0.25">
      <c r="A37" s="85">
        <f t="shared" si="0"/>
        <v>44211</v>
      </c>
      <c r="B37" s="6">
        <f t="shared" si="3"/>
        <v>160</v>
      </c>
      <c r="C37" s="31">
        <f t="shared" si="1"/>
        <v>242</v>
      </c>
      <c r="D37" s="30">
        <f t="shared" si="4"/>
        <v>12046566607.431093</v>
      </c>
      <c r="E37" s="30">
        <f t="shared" si="2"/>
        <v>36248445.157766581</v>
      </c>
      <c r="F37" s="30">
        <f t="shared" si="5"/>
        <v>36466918.466298178</v>
      </c>
      <c r="G37" s="30">
        <f>E37+SUM(E$5:E36)</f>
        <v>1215714234.2501047</v>
      </c>
      <c r="H37" s="30">
        <f t="shared" si="6"/>
        <v>32847932062.758934</v>
      </c>
    </row>
    <row r="38" spans="1:8" x14ac:dyDescent="0.25">
      <c r="A38" s="85">
        <f t="shared" si="0"/>
        <v>44216</v>
      </c>
      <c r="B38" s="6">
        <f t="shared" si="3"/>
        <v>165</v>
      </c>
      <c r="C38" s="31">
        <f t="shared" si="1"/>
        <v>243</v>
      </c>
      <c r="D38" s="30">
        <f t="shared" si="4"/>
        <v>12010426907.608799</v>
      </c>
      <c r="E38" s="30">
        <f t="shared" si="2"/>
        <v>36139699.822293282</v>
      </c>
      <c r="F38" s="30">
        <f t="shared" si="5"/>
        <v>36357517.710899279</v>
      </c>
      <c r="G38" s="30">
        <f>E38+SUM(E$5:E37)</f>
        <v>1251853934.0723979</v>
      </c>
      <c r="H38" s="30">
        <f t="shared" si="6"/>
        <v>32884289580.469833</v>
      </c>
    </row>
    <row r="39" spans="1:8" x14ac:dyDescent="0.25">
      <c r="A39" s="85">
        <f t="shared" si="0"/>
        <v>44221</v>
      </c>
      <c r="B39" s="6">
        <f t="shared" si="3"/>
        <v>170</v>
      </c>
      <c r="C39" s="31">
        <f t="shared" si="1"/>
        <v>244</v>
      </c>
      <c r="D39" s="30">
        <f t="shared" si="4"/>
        <v>11974395626.885973</v>
      </c>
      <c r="E39" s="30">
        <f t="shared" si="2"/>
        <v>36031280.722826399</v>
      </c>
      <c r="F39" s="30">
        <f t="shared" si="5"/>
        <v>36248445.157766581</v>
      </c>
      <c r="G39" s="30">
        <f>E39+SUM(E$5:E38)</f>
        <v>1287885214.7952244</v>
      </c>
      <c r="H39" s="30">
        <f t="shared" si="6"/>
        <v>32920538025.627602</v>
      </c>
    </row>
    <row r="40" spans="1:8" x14ac:dyDescent="0.25">
      <c r="A40" s="85">
        <f t="shared" si="0"/>
        <v>44226</v>
      </c>
      <c r="B40" s="6">
        <f t="shared" si="3"/>
        <v>175</v>
      </c>
      <c r="C40" s="31">
        <f t="shared" si="1"/>
        <v>245</v>
      </c>
      <c r="D40" s="30">
        <f t="shared" si="4"/>
        <v>11938472440.005316</v>
      </c>
      <c r="E40" s="30">
        <f t="shared" si="2"/>
        <v>35923186.880657919</v>
      </c>
      <c r="F40" s="30">
        <f t="shared" si="5"/>
        <v>36139699.822293282</v>
      </c>
      <c r="G40" s="30">
        <f>E40+SUM(E$5:E39)</f>
        <v>1323808401.6758823</v>
      </c>
      <c r="H40" s="30">
        <f t="shared" si="6"/>
        <v>32956677725.449894</v>
      </c>
    </row>
    <row r="41" spans="1:8" x14ac:dyDescent="0.25">
      <c r="A41" s="85">
        <f t="shared" si="0"/>
        <v>44231</v>
      </c>
      <c r="B41" s="6">
        <f t="shared" si="3"/>
        <v>180</v>
      </c>
      <c r="C41" s="31">
        <f t="shared" si="1"/>
        <v>246</v>
      </c>
      <c r="D41" s="30">
        <f t="shared" si="4"/>
        <v>11902657022.685299</v>
      </c>
      <c r="E41" s="30">
        <f t="shared" si="2"/>
        <v>35815417.320015945</v>
      </c>
      <c r="F41" s="30">
        <f t="shared" si="5"/>
        <v>36031280.722826399</v>
      </c>
      <c r="G41" s="30">
        <f>E41+SUM(E$5:E40)</f>
        <v>1359623818.9958982</v>
      </c>
      <c r="H41" s="30">
        <f t="shared" si="6"/>
        <v>32992709006.172722</v>
      </c>
    </row>
    <row r="42" spans="1:8" x14ac:dyDescent="0.25">
      <c r="A42" s="85">
        <f t="shared" si="0"/>
        <v>44236</v>
      </c>
      <c r="B42" s="6">
        <f t="shared" ref="B42:B63" si="7">B41+5</f>
        <v>185</v>
      </c>
      <c r="C42" s="31">
        <f t="shared" si="1"/>
        <v>247</v>
      </c>
      <c r="D42" s="30">
        <f t="shared" si="4"/>
        <v>11866949051.617243</v>
      </c>
      <c r="E42" s="30">
        <f t="shared" si="2"/>
        <v>35707971.068055898</v>
      </c>
      <c r="F42" s="30">
        <f t="shared" si="5"/>
        <v>35923186.880657919</v>
      </c>
      <c r="G42" s="30">
        <f>E42+SUM(E$5:E41)</f>
        <v>1395331790.0639541</v>
      </c>
      <c r="H42" s="30">
        <f t="shared" si="6"/>
        <v>33028632193.053379</v>
      </c>
    </row>
    <row r="43" spans="1:8" x14ac:dyDescent="0.25">
      <c r="A43" s="85">
        <f t="shared" si="0"/>
        <v>44241</v>
      </c>
      <c r="B43" s="6">
        <f t="shared" si="7"/>
        <v>190</v>
      </c>
      <c r="C43" s="31">
        <f t="shared" si="1"/>
        <v>248</v>
      </c>
      <c r="D43" s="30">
        <f t="shared" si="4"/>
        <v>11831348204.462391</v>
      </c>
      <c r="E43" s="30">
        <f t="shared" si="2"/>
        <v>35600847.154851727</v>
      </c>
      <c r="F43" s="30">
        <f t="shared" si="5"/>
        <v>35815417.320015945</v>
      </c>
      <c r="G43" s="30">
        <f>E43+SUM(E$5:E42)</f>
        <v>1430932637.2188058</v>
      </c>
      <c r="H43" s="30">
        <f t="shared" si="6"/>
        <v>33064447610.373394</v>
      </c>
    </row>
    <row r="44" spans="1:8" x14ac:dyDescent="0.25">
      <c r="A44" s="85">
        <f t="shared" si="0"/>
        <v>44246</v>
      </c>
      <c r="B44" s="6">
        <f t="shared" si="7"/>
        <v>195</v>
      </c>
      <c r="C44" s="31">
        <f t="shared" si="1"/>
        <v>249</v>
      </c>
      <c r="D44" s="30">
        <f t="shared" si="4"/>
        <v>11795854159.849003</v>
      </c>
      <c r="E44" s="30">
        <f t="shared" si="2"/>
        <v>35494044.613387175</v>
      </c>
      <c r="F44" s="30">
        <f t="shared" si="5"/>
        <v>35707971.068055898</v>
      </c>
      <c r="G44" s="30">
        <f>E44+SUM(E$5:E43)</f>
        <v>1466426681.8321929</v>
      </c>
      <c r="H44" s="30">
        <f t="shared" si="6"/>
        <v>33100155581.441448</v>
      </c>
    </row>
    <row r="45" spans="1:8" x14ac:dyDescent="0.25">
      <c r="A45" s="85">
        <f t="shared" si="0"/>
        <v>44251</v>
      </c>
      <c r="B45" s="6">
        <f t="shared" si="7"/>
        <v>200</v>
      </c>
      <c r="C45" s="31">
        <f t="shared" si="1"/>
        <v>250</v>
      </c>
      <c r="D45" s="30">
        <f t="shared" si="4"/>
        <v>11760466597.369455</v>
      </c>
      <c r="E45" s="30">
        <f t="shared" si="2"/>
        <v>35387562.479547009</v>
      </c>
      <c r="F45" s="30">
        <f t="shared" si="5"/>
        <v>35600847.154851727</v>
      </c>
      <c r="G45" s="30">
        <f>E45+SUM(E$5:E44)</f>
        <v>1501814244.3117399</v>
      </c>
      <c r="H45" s="30">
        <f t="shared" si="6"/>
        <v>33135756428.596298</v>
      </c>
    </row>
    <row r="46" spans="1:8" x14ac:dyDescent="0.25">
      <c r="A46" s="85">
        <f t="shared" si="0"/>
        <v>44256</v>
      </c>
      <c r="B46" s="6">
        <f t="shared" si="7"/>
        <v>205</v>
      </c>
      <c r="C46" s="31">
        <f t="shared" si="1"/>
        <v>251</v>
      </c>
      <c r="D46" s="30">
        <f t="shared" si="4"/>
        <v>11725185197.577347</v>
      </c>
      <c r="E46" s="30">
        <f t="shared" si="2"/>
        <v>35281399.792108364</v>
      </c>
      <c r="F46" s="30">
        <f t="shared" si="5"/>
        <v>35494044.613387175</v>
      </c>
      <c r="G46" s="30">
        <f>E46+SUM(E$5:E45)</f>
        <v>1537095644.1038482</v>
      </c>
      <c r="H46" s="30">
        <f t="shared" si="6"/>
        <v>33171250473.209686</v>
      </c>
    </row>
    <row r="47" spans="1:8" x14ac:dyDescent="0.25">
      <c r="A47" s="85">
        <f t="shared" si="0"/>
        <v>44261</v>
      </c>
      <c r="B47" s="6">
        <f t="shared" si="7"/>
        <v>210</v>
      </c>
      <c r="C47" s="31">
        <f t="shared" si="1"/>
        <v>252</v>
      </c>
      <c r="D47" s="30">
        <f t="shared" si="4"/>
        <v>11690009641.984615</v>
      </c>
      <c r="E47" s="30">
        <f t="shared" si="2"/>
        <v>35175555.592732042</v>
      </c>
      <c r="F47" s="30">
        <f t="shared" si="5"/>
        <v>35387562.479547009</v>
      </c>
      <c r="G47" s="30">
        <f>E47+SUM(E$5:E46)</f>
        <v>1572271199.6965802</v>
      </c>
      <c r="H47" s="30">
        <f t="shared" si="6"/>
        <v>33206638035.689232</v>
      </c>
    </row>
    <row r="48" spans="1:8" x14ac:dyDescent="0.25">
      <c r="A48" s="85">
        <f t="shared" si="0"/>
        <v>44266</v>
      </c>
      <c r="B48" s="6">
        <f t="shared" si="7"/>
        <v>215</v>
      </c>
      <c r="C48" s="31">
        <f t="shared" si="1"/>
        <v>253</v>
      </c>
      <c r="D48" s="30">
        <f t="shared" si="4"/>
        <v>11654939613.058662</v>
      </c>
      <c r="E48" s="30">
        <f t="shared" si="2"/>
        <v>35070028.92595385</v>
      </c>
      <c r="F48" s="30">
        <f t="shared" si="5"/>
        <v>35281399.792108364</v>
      </c>
      <c r="G48" s="30">
        <f>E48+SUM(E$5:E47)</f>
        <v>1607341228.622534</v>
      </c>
      <c r="H48" s="30">
        <f t="shared" si="6"/>
        <v>33241919435.481339</v>
      </c>
    </row>
    <row r="49" spans="1:8" x14ac:dyDescent="0.25">
      <c r="A49" s="85">
        <f t="shared" si="0"/>
        <v>44271</v>
      </c>
      <c r="B49" s="6">
        <f t="shared" si="7"/>
        <v>220</v>
      </c>
      <c r="C49" s="31">
        <f t="shared" si="1"/>
        <v>254</v>
      </c>
      <c r="D49" s="30">
        <f t="shared" si="4"/>
        <v>11619974794.219486</v>
      </c>
      <c r="E49" s="30">
        <f t="shared" si="2"/>
        <v>34964818.839175984</v>
      </c>
      <c r="F49" s="30">
        <f t="shared" si="5"/>
        <v>35175555.592732042</v>
      </c>
      <c r="G49" s="30">
        <f>E49+SUM(E$5:E48)</f>
        <v>1642306047.46171</v>
      </c>
      <c r="H49" s="30">
        <f t="shared" si="6"/>
        <v>33277094991.07407</v>
      </c>
    </row>
    <row r="50" spans="1:8" x14ac:dyDescent="0.25">
      <c r="A50" s="85">
        <f t="shared" si="0"/>
        <v>44276</v>
      </c>
      <c r="B50" s="6">
        <f t="shared" si="7"/>
        <v>225</v>
      </c>
      <c r="C50" s="31">
        <f t="shared" si="1"/>
        <v>255</v>
      </c>
      <c r="D50" s="30">
        <f t="shared" si="4"/>
        <v>11585114869.836828</v>
      </c>
      <c r="E50" s="30">
        <f t="shared" si="2"/>
        <v>34859924.382658459</v>
      </c>
      <c r="F50" s="30">
        <f t="shared" si="5"/>
        <v>35070028.92595385</v>
      </c>
      <c r="G50" s="30">
        <f>E50+SUM(E$5:E49)</f>
        <v>1677165971.8443685</v>
      </c>
      <c r="H50" s="30">
        <f t="shared" si="6"/>
        <v>33312165020.000023</v>
      </c>
    </row>
    <row r="51" spans="1:8" x14ac:dyDescent="0.25">
      <c r="A51" s="85">
        <f t="shared" si="0"/>
        <v>44281</v>
      </c>
      <c r="B51" s="6">
        <f t="shared" si="7"/>
        <v>230</v>
      </c>
      <c r="C51" s="31">
        <f t="shared" si="1"/>
        <v>256</v>
      </c>
      <c r="D51" s="30">
        <f t="shared" si="4"/>
        <v>11550359525.227318</v>
      </c>
      <c r="E51" s="30">
        <f t="shared" si="2"/>
        <v>34755344.609510489</v>
      </c>
      <c r="F51" s="30">
        <f t="shared" si="5"/>
        <v>34964818.839175984</v>
      </c>
      <c r="G51" s="30">
        <f>E51+SUM(E$5:E50)</f>
        <v>1711921316.4538789</v>
      </c>
      <c r="H51" s="30">
        <f t="shared" si="6"/>
        <v>33347129838.839199</v>
      </c>
    </row>
    <row r="52" spans="1:8" x14ac:dyDescent="0.25">
      <c r="A52" s="85">
        <f t="shared" si="0"/>
        <v>44286</v>
      </c>
      <c r="B52" s="6">
        <f t="shared" si="7"/>
        <v>235</v>
      </c>
      <c r="C52" s="31">
        <f t="shared" si="1"/>
        <v>257</v>
      </c>
      <c r="D52" s="30">
        <f t="shared" si="4"/>
        <v>11515708446.651636</v>
      </c>
      <c r="E52" s="30">
        <f t="shared" si="2"/>
        <v>34651078.575681955</v>
      </c>
      <c r="F52" s="30">
        <f t="shared" si="5"/>
        <v>34859924.382658459</v>
      </c>
      <c r="G52" s="30">
        <f>E52+SUM(E$5:E51)</f>
        <v>1746572395.0295608</v>
      </c>
      <c r="H52" s="30">
        <f t="shared" si="6"/>
        <v>33381989763.221859</v>
      </c>
    </row>
    <row r="53" spans="1:8" x14ac:dyDescent="0.25">
      <c r="A53" s="85">
        <f t="shared" si="0"/>
        <v>44291</v>
      </c>
      <c r="B53" s="6">
        <f t="shared" si="7"/>
        <v>240</v>
      </c>
      <c r="C53" s="31">
        <f t="shared" si="1"/>
        <v>258</v>
      </c>
      <c r="D53" s="30">
        <f t="shared" si="4"/>
        <v>11481161321.311682</v>
      </c>
      <c r="E53" s="30">
        <f t="shared" si="2"/>
        <v>34547125.339954913</v>
      </c>
      <c r="F53" s="30">
        <f t="shared" si="5"/>
        <v>34755344.609510489</v>
      </c>
      <c r="G53" s="30">
        <f>E53+SUM(E$5:E52)</f>
        <v>1781119520.3695157</v>
      </c>
      <c r="H53" s="30">
        <f t="shared" si="6"/>
        <v>33416745107.831371</v>
      </c>
    </row>
    <row r="54" spans="1:8" x14ac:dyDescent="0.25">
      <c r="A54" s="85">
        <f t="shared" si="0"/>
        <v>44296</v>
      </c>
      <c r="B54" s="6">
        <f t="shared" si="7"/>
        <v>245</v>
      </c>
      <c r="C54" s="31">
        <f t="shared" si="1"/>
        <v>259</v>
      </c>
      <c r="D54" s="30">
        <f t="shared" si="4"/>
        <v>11446717837.347746</v>
      </c>
      <c r="E54" s="30">
        <f t="shared" si="2"/>
        <v>34443483.963935047</v>
      </c>
      <c r="F54" s="30">
        <f t="shared" si="5"/>
        <v>34651078.575681955</v>
      </c>
      <c r="G54" s="30">
        <f>E54+SUM(E$5:E53)</f>
        <v>1815563004.3334508</v>
      </c>
      <c r="H54" s="30">
        <f t="shared" si="6"/>
        <v>33451396186.407055</v>
      </c>
    </row>
    <row r="55" spans="1:8" x14ac:dyDescent="0.25">
      <c r="A55" s="85">
        <f t="shared" si="0"/>
        <v>44301</v>
      </c>
      <c r="B55" s="6">
        <f t="shared" si="7"/>
        <v>250</v>
      </c>
      <c r="C55" s="31">
        <f t="shared" si="1"/>
        <v>260</v>
      </c>
      <c r="D55" s="30">
        <f t="shared" si="4"/>
        <v>11412377683.835703</v>
      </c>
      <c r="E55" s="30">
        <f t="shared" si="2"/>
        <v>34340153.512043238</v>
      </c>
      <c r="F55" s="30">
        <f t="shared" si="5"/>
        <v>34547125.339954913</v>
      </c>
      <c r="G55" s="30">
        <f>E55+SUM(E$5:E54)</f>
        <v>1849903157.845494</v>
      </c>
      <c r="H55" s="30">
        <f t="shared" si="6"/>
        <v>33485943311.747009</v>
      </c>
    </row>
    <row r="56" spans="1:8" x14ac:dyDescent="0.25">
      <c r="A56" s="85">
        <f t="shared" si="0"/>
        <v>44306</v>
      </c>
      <c r="B56" s="6">
        <f t="shared" si="7"/>
        <v>255</v>
      </c>
      <c r="C56" s="31">
        <f t="shared" si="1"/>
        <v>261</v>
      </c>
      <c r="D56" s="30">
        <f t="shared" si="4"/>
        <v>11378140550.784195</v>
      </c>
      <c r="E56" s="30">
        <f t="shared" si="2"/>
        <v>34237133.051507108</v>
      </c>
      <c r="F56" s="30">
        <f t="shared" si="5"/>
        <v>34443483.963935047</v>
      </c>
      <c r="G56" s="30">
        <f>E56+SUM(E$5:E55)</f>
        <v>1884140290.897001</v>
      </c>
      <c r="H56" s="30">
        <f t="shared" si="6"/>
        <v>33520386795.710945</v>
      </c>
    </row>
    <row r="57" spans="1:8" x14ac:dyDescent="0.25">
      <c r="A57" s="85">
        <f t="shared" si="0"/>
        <v>44311</v>
      </c>
      <c r="B57" s="6">
        <f t="shared" si="7"/>
        <v>260</v>
      </c>
      <c r="C57" s="31">
        <f t="shared" si="1"/>
        <v>262</v>
      </c>
      <c r="D57" s="30">
        <f t="shared" si="4"/>
        <v>11344006129.131842</v>
      </c>
      <c r="E57" s="30">
        <f t="shared" si="2"/>
        <v>34134421.652352586</v>
      </c>
      <c r="F57" s="30">
        <f t="shared" si="5"/>
        <v>34340153.512043238</v>
      </c>
      <c r="G57" s="30">
        <f>E57+SUM(E$5:E56)</f>
        <v>1918274712.5493536</v>
      </c>
      <c r="H57" s="30">
        <f t="shared" si="6"/>
        <v>33554726949.222988</v>
      </c>
    </row>
    <row r="58" spans="1:8" x14ac:dyDescent="0.25">
      <c r="A58" s="85">
        <f t="shared" si="0"/>
        <v>44316</v>
      </c>
      <c r="B58" s="6">
        <f t="shared" si="7"/>
        <v>265</v>
      </c>
      <c r="C58" s="31">
        <f t="shared" si="1"/>
        <v>263</v>
      </c>
      <c r="D58" s="30">
        <f t="shared" si="4"/>
        <v>11309974110.744446</v>
      </c>
      <c r="E58" s="30">
        <f t="shared" si="2"/>
        <v>34032018.387395523</v>
      </c>
      <c r="F58" s="30">
        <f t="shared" si="5"/>
        <v>34237133.051507108</v>
      </c>
      <c r="G58" s="30">
        <f>E58+SUM(E$5:E57)</f>
        <v>1952306730.9367492</v>
      </c>
      <c r="H58" s="30">
        <f t="shared" si="6"/>
        <v>33588964082.274494</v>
      </c>
    </row>
    <row r="59" spans="1:8" x14ac:dyDescent="0.25">
      <c r="A59" s="85">
        <f t="shared" si="0"/>
        <v>44321</v>
      </c>
      <c r="B59" s="6">
        <f t="shared" si="7"/>
        <v>270</v>
      </c>
      <c r="C59" s="31">
        <f t="shared" si="1"/>
        <v>264</v>
      </c>
      <c r="D59" s="30">
        <f t="shared" si="4"/>
        <v>11276044188.412212</v>
      </c>
      <c r="E59" s="30">
        <f t="shared" si="2"/>
        <v>33929922.33223334</v>
      </c>
      <c r="F59" s="30">
        <f t="shared" si="5"/>
        <v>34134421.652352586</v>
      </c>
      <c r="G59" s="30">
        <f>E59+SUM(E$5:E58)</f>
        <v>1986236653.2689826</v>
      </c>
      <c r="H59" s="30">
        <f t="shared" si="6"/>
        <v>33623098503.926846</v>
      </c>
    </row>
    <row r="60" spans="1:8" x14ac:dyDescent="0.25">
      <c r="A60" s="85">
        <f t="shared" si="0"/>
        <v>44326</v>
      </c>
      <c r="B60" s="6">
        <f t="shared" si="7"/>
        <v>275</v>
      </c>
      <c r="C60" s="31">
        <f t="shared" si="1"/>
        <v>265</v>
      </c>
      <c r="D60" s="30">
        <f t="shared" si="4"/>
        <v>11242216055.846975</v>
      </c>
      <c r="E60" s="30">
        <f t="shared" si="2"/>
        <v>33828132.565236636</v>
      </c>
      <c r="F60" s="30">
        <f t="shared" si="5"/>
        <v>34032018.387395523</v>
      </c>
      <c r="G60" s="30">
        <f>E60+SUM(E$5:E59)</f>
        <v>2020064785.8342192</v>
      </c>
      <c r="H60" s="30">
        <f t="shared" si="6"/>
        <v>33657130522.31424</v>
      </c>
    </row>
    <row r="61" spans="1:8" x14ac:dyDescent="0.25">
      <c r="A61" s="85">
        <f t="shared" si="0"/>
        <v>44331</v>
      </c>
      <c r="B61" s="6">
        <f t="shared" si="7"/>
        <v>280</v>
      </c>
      <c r="C61" s="31">
        <f t="shared" si="1"/>
        <v>266</v>
      </c>
      <c r="D61" s="30">
        <f t="shared" si="4"/>
        <v>11208489407.679434</v>
      </c>
      <c r="E61" s="30">
        <f t="shared" si="2"/>
        <v>33726648.16754093</v>
      </c>
      <c r="F61" s="30">
        <f t="shared" si="5"/>
        <v>33929922.33223334</v>
      </c>
      <c r="G61" s="30">
        <f>E61+SUM(E$5:E60)</f>
        <v>2053791434.0017602</v>
      </c>
      <c r="H61" s="30">
        <f t="shared" si="6"/>
        <v>33691060444.646473</v>
      </c>
    </row>
    <row r="62" spans="1:8" x14ac:dyDescent="0.25">
      <c r="A62" s="85">
        <f t="shared" si="0"/>
        <v>44336</v>
      </c>
      <c r="B62" s="6">
        <f t="shared" si="7"/>
        <v>285</v>
      </c>
      <c r="C62" s="31">
        <f t="shared" si="1"/>
        <v>267</v>
      </c>
      <c r="D62" s="30">
        <f t="shared" si="4"/>
        <v>11174863939.456396</v>
      </c>
      <c r="E62" s="30">
        <f t="shared" si="2"/>
        <v>33625468.223038301</v>
      </c>
      <c r="F62" s="30">
        <f t="shared" si="5"/>
        <v>33828132.565236636</v>
      </c>
      <c r="G62" s="30">
        <f>E62+SUM(E$5:E61)</f>
        <v>2087416902.2247984</v>
      </c>
      <c r="H62" s="30">
        <f t="shared" si="6"/>
        <v>33724888577.211708</v>
      </c>
    </row>
    <row r="63" spans="1:8" x14ac:dyDescent="0.25">
      <c r="A63" s="85">
        <f t="shared" si="0"/>
        <v>44341</v>
      </c>
      <c r="B63" s="6">
        <f t="shared" si="7"/>
        <v>290</v>
      </c>
      <c r="C63" s="31">
        <f t="shared" si="1"/>
        <v>268</v>
      </c>
      <c r="D63" s="30">
        <f t="shared" si="4"/>
        <v>11141339347.638027</v>
      </c>
      <c r="E63" s="30">
        <f t="shared" si="2"/>
        <v>33524591.818369187</v>
      </c>
      <c r="F63" s="30">
        <f t="shared" si="5"/>
        <v>33726648.16754093</v>
      </c>
      <c r="G63" s="30">
        <f>E63+SUM(E$5:E62)</f>
        <v>2120941494.0431676</v>
      </c>
      <c r="H63" s="30">
        <f t="shared" si="6"/>
        <v>33758615225.37925</v>
      </c>
    </row>
    <row r="64" spans="1:8" x14ac:dyDescent="0.25">
      <c r="A64" s="85">
        <f t="shared" si="0"/>
        <v>44346</v>
      </c>
      <c r="B64" s="6">
        <f t="shared" ref="B64:B78" si="8">B63+5</f>
        <v>295</v>
      </c>
      <c r="C64" s="31">
        <f t="shared" si="1"/>
        <v>269</v>
      </c>
      <c r="D64" s="30">
        <f t="shared" si="4"/>
        <v>11107915329.595114</v>
      </c>
      <c r="E64" s="30">
        <f t="shared" si="2"/>
        <v>33424018.042914081</v>
      </c>
      <c r="F64" s="30">
        <f t="shared" si="5"/>
        <v>33625468.223038301</v>
      </c>
      <c r="G64" s="30">
        <f>E64+SUM(E$5:E63)</f>
        <v>2154365512.0860815</v>
      </c>
      <c r="H64" s="30">
        <f t="shared" si="6"/>
        <v>33792240693.602287</v>
      </c>
    </row>
    <row r="65" spans="1:8" x14ac:dyDescent="0.25">
      <c r="A65" s="85">
        <f t="shared" si="0"/>
        <v>44351</v>
      </c>
      <c r="B65" s="6">
        <f t="shared" si="8"/>
        <v>300</v>
      </c>
      <c r="C65" s="31">
        <f t="shared" si="1"/>
        <v>270</v>
      </c>
      <c r="D65" s="30">
        <f t="shared" si="4"/>
        <v>11074591583.606329</v>
      </c>
      <c r="E65" s="30">
        <f t="shared" si="2"/>
        <v>33323745.988785341</v>
      </c>
      <c r="F65" s="30">
        <f t="shared" si="5"/>
        <v>33524591.818369187</v>
      </c>
      <c r="G65" s="30">
        <f>E65+SUM(E$5:E64)</f>
        <v>2187689258.0748668</v>
      </c>
      <c r="H65" s="30">
        <f t="shared" si="6"/>
        <v>33825765285.420658</v>
      </c>
    </row>
    <row r="66" spans="1:8" x14ac:dyDescent="0.25">
      <c r="A66" s="85">
        <f t="shared" si="0"/>
        <v>44356</v>
      </c>
      <c r="B66" s="6">
        <f t="shared" si="8"/>
        <v>305</v>
      </c>
      <c r="C66" s="31">
        <f t="shared" si="1"/>
        <v>271</v>
      </c>
      <c r="D66" s="30">
        <f t="shared" si="4"/>
        <v>11041367808.855511</v>
      </c>
      <c r="E66" s="30">
        <f t="shared" si="2"/>
        <v>33223774.750818986</v>
      </c>
      <c r="F66" s="30">
        <f t="shared" si="5"/>
        <v>33424018.042914081</v>
      </c>
      <c r="G66" s="30">
        <f>E66+SUM(E$5:E65)</f>
        <v>2220913032.825686</v>
      </c>
      <c r="H66" s="30">
        <f t="shared" si="6"/>
        <v>33859189303.463573</v>
      </c>
    </row>
    <row r="67" spans="1:8" x14ac:dyDescent="0.25">
      <c r="A67" s="85">
        <f t="shared" si="0"/>
        <v>44361</v>
      </c>
      <c r="B67" s="6">
        <f t="shared" si="8"/>
        <v>310</v>
      </c>
      <c r="C67" s="31">
        <f t="shared" si="1"/>
        <v>272</v>
      </c>
      <c r="D67" s="30">
        <f t="shared" si="4"/>
        <v>11008243705.428944</v>
      </c>
      <c r="E67" s="30">
        <f t="shared" si="2"/>
        <v>33124103.426566534</v>
      </c>
      <c r="F67" s="30">
        <f t="shared" si="5"/>
        <v>33323745.988785341</v>
      </c>
      <c r="G67" s="30">
        <f>E67+SUM(E$5:E66)</f>
        <v>2254037136.2522526</v>
      </c>
      <c r="H67" s="30">
        <f t="shared" si="6"/>
        <v>33892513049.452358</v>
      </c>
    </row>
    <row r="68" spans="1:8" x14ac:dyDescent="0.25">
      <c r="A68" s="85">
        <f t="shared" si="0"/>
        <v>44366</v>
      </c>
      <c r="B68" s="6">
        <f t="shared" si="8"/>
        <v>315</v>
      </c>
      <c r="C68" s="31">
        <f t="shared" si="1"/>
        <v>273</v>
      </c>
      <c r="D68" s="30">
        <f t="shared" si="4"/>
        <v>10975218974.312656</v>
      </c>
      <c r="E68" s="30">
        <f t="shared" si="2"/>
        <v>33024731.116286833</v>
      </c>
      <c r="F68" s="30">
        <f t="shared" si="5"/>
        <v>33223774.750818986</v>
      </c>
      <c r="G68" s="30">
        <f>E68+SUM(E$5:E67)</f>
        <v>2287061867.3685393</v>
      </c>
      <c r="H68" s="30">
        <f t="shared" si="6"/>
        <v>33925736824.203178</v>
      </c>
    </row>
    <row r="69" spans="1:8" x14ac:dyDescent="0.25">
      <c r="A69" s="85">
        <f t="shared" si="0"/>
        <v>44371</v>
      </c>
      <c r="B69" s="6">
        <f t="shared" si="8"/>
        <v>320</v>
      </c>
      <c r="C69" s="31">
        <f t="shared" si="1"/>
        <v>274</v>
      </c>
      <c r="D69" s="30">
        <f t="shared" si="4"/>
        <v>10942293317.389719</v>
      </c>
      <c r="E69" s="30">
        <f t="shared" si="2"/>
        <v>32925656.922937971</v>
      </c>
      <c r="F69" s="30">
        <f t="shared" si="5"/>
        <v>33124103.426566534</v>
      </c>
      <c r="G69" s="30">
        <f>E69+SUM(E$5:E68)</f>
        <v>2319987524.2914772</v>
      </c>
      <c r="H69" s="30">
        <f t="shared" si="6"/>
        <v>33958860927.629745</v>
      </c>
    </row>
    <row r="70" spans="1:8" x14ac:dyDescent="0.25">
      <c r="A70" s="85">
        <f t="shared" si="0"/>
        <v>44376</v>
      </c>
      <c r="B70" s="6">
        <f t="shared" si="8"/>
        <v>325</v>
      </c>
      <c r="C70" s="31">
        <f t="shared" si="1"/>
        <v>275</v>
      </c>
      <c r="D70" s="30">
        <f t="shared" si="4"/>
        <v>10909466437.43755</v>
      </c>
      <c r="E70" s="30">
        <f t="shared" si="2"/>
        <v>32826879.952169158</v>
      </c>
      <c r="F70" s="30">
        <f t="shared" si="5"/>
        <v>33024731.116286833</v>
      </c>
      <c r="G70" s="30">
        <f>E70+SUM(E$5:E69)</f>
        <v>2352814404.2436461</v>
      </c>
      <c r="H70" s="30">
        <f t="shared" si="6"/>
        <v>33991885658.746033</v>
      </c>
    </row>
    <row r="71" spans="1:8" x14ac:dyDescent="0.25">
      <c r="A71" s="85">
        <f t="shared" ref="A71:A78" si="9">A70+B71-B70</f>
        <v>44381</v>
      </c>
      <c r="B71" s="6">
        <f t="shared" si="8"/>
        <v>330</v>
      </c>
      <c r="C71" s="31">
        <f t="shared" ref="C71:C78" si="10">C70+1</f>
        <v>276</v>
      </c>
      <c r="D71" s="30">
        <f t="shared" si="4"/>
        <v>10876738038.125237</v>
      </c>
      <c r="E71" s="30">
        <f t="shared" ref="E71:E78" si="11">$B$1*D70</f>
        <v>32728399.312312648</v>
      </c>
      <c r="F71" s="30">
        <f t="shared" si="5"/>
        <v>32925656.922937971</v>
      </c>
      <c r="G71" s="30">
        <f>E71+SUM(E$5:E70)</f>
        <v>2385542803.5559587</v>
      </c>
      <c r="H71" s="30">
        <f t="shared" si="6"/>
        <v>34024811315.668972</v>
      </c>
    </row>
    <row r="72" spans="1:8" x14ac:dyDescent="0.25">
      <c r="A72" s="85">
        <f t="shared" si="9"/>
        <v>44386</v>
      </c>
      <c r="B72" s="6">
        <f t="shared" si="8"/>
        <v>335</v>
      </c>
      <c r="C72" s="31">
        <f t="shared" si="10"/>
        <v>277</v>
      </c>
      <c r="D72" s="30">
        <f t="shared" ref="D72:D78" si="12">D71-E72</f>
        <v>10844107824.01086</v>
      </c>
      <c r="E72" s="30">
        <f t="shared" si="11"/>
        <v>32630214.11437571</v>
      </c>
      <c r="F72" s="30">
        <f t="shared" si="5"/>
        <v>32826879.952169158</v>
      </c>
      <c r="G72" s="30">
        <f>E72+SUM(E$5:E71)</f>
        <v>2418173017.6703343</v>
      </c>
      <c r="H72" s="30">
        <f t="shared" si="6"/>
        <v>34057638195.62114</v>
      </c>
    </row>
    <row r="73" spans="1:8" x14ac:dyDescent="0.25">
      <c r="A73" s="85">
        <f t="shared" si="9"/>
        <v>44391</v>
      </c>
      <c r="B73" s="6">
        <f t="shared" si="8"/>
        <v>340</v>
      </c>
      <c r="C73" s="31">
        <f t="shared" si="10"/>
        <v>278</v>
      </c>
      <c r="D73" s="30">
        <f t="shared" si="12"/>
        <v>10811575500.538828</v>
      </c>
      <c r="E73" s="30">
        <f t="shared" si="11"/>
        <v>32532323.472032581</v>
      </c>
      <c r="F73" s="30">
        <f t="shared" ref="F73:F78" si="13">E71</f>
        <v>32728399.312312648</v>
      </c>
      <c r="G73" s="30">
        <f>E73+SUM(E$5:E72)</f>
        <v>2450705341.1423669</v>
      </c>
      <c r="H73" s="30">
        <f t="shared" ref="H73:H78" si="14">H72+F73</f>
        <v>34090366594.933453</v>
      </c>
    </row>
    <row r="74" spans="1:8" x14ac:dyDescent="0.25">
      <c r="A74" s="85">
        <f t="shared" si="9"/>
        <v>44396</v>
      </c>
      <c r="B74" s="6">
        <f t="shared" si="8"/>
        <v>345</v>
      </c>
      <c r="C74" s="31">
        <f t="shared" si="10"/>
        <v>279</v>
      </c>
      <c r="D74" s="30">
        <f t="shared" si="12"/>
        <v>10779140774.03721</v>
      </c>
      <c r="E74" s="30">
        <f t="shared" si="11"/>
        <v>32434726.501616485</v>
      </c>
      <c r="F74" s="30">
        <f t="shared" si="13"/>
        <v>32630214.11437571</v>
      </c>
      <c r="G74" s="30">
        <f>E74+SUM(E$5:E73)</f>
        <v>2483140067.6439834</v>
      </c>
      <c r="H74" s="30">
        <f t="shared" si="14"/>
        <v>34122996809.047829</v>
      </c>
    </row>
    <row r="75" spans="1:8" x14ac:dyDescent="0.25">
      <c r="A75" s="85">
        <f t="shared" si="9"/>
        <v>44401</v>
      </c>
      <c r="B75" s="6">
        <f t="shared" si="8"/>
        <v>350</v>
      </c>
      <c r="C75" s="31">
        <f t="shared" si="10"/>
        <v>280</v>
      </c>
      <c r="D75" s="30">
        <f t="shared" si="12"/>
        <v>10746803351.715099</v>
      </c>
      <c r="E75" s="30">
        <f t="shared" si="11"/>
        <v>32337422.322111633</v>
      </c>
      <c r="F75" s="30">
        <f t="shared" si="13"/>
        <v>32532323.472032581</v>
      </c>
      <c r="G75" s="30">
        <f>E75+SUM(E$5:E74)</f>
        <v>2515477489.966095</v>
      </c>
      <c r="H75" s="30">
        <f t="shared" si="14"/>
        <v>34155529132.519863</v>
      </c>
    </row>
    <row r="76" spans="1:8" x14ac:dyDescent="0.25">
      <c r="A76" s="85">
        <f t="shared" si="9"/>
        <v>44406</v>
      </c>
      <c r="B76" s="6">
        <f t="shared" si="8"/>
        <v>355</v>
      </c>
      <c r="C76" s="31">
        <f t="shared" si="10"/>
        <v>281</v>
      </c>
      <c r="D76" s="30">
        <f t="shared" si="12"/>
        <v>10714562941.659954</v>
      </c>
      <c r="E76" s="30">
        <f t="shared" si="11"/>
        <v>32240410.055145297</v>
      </c>
      <c r="F76" s="30">
        <f t="shared" si="13"/>
        <v>32434726.501616485</v>
      </c>
      <c r="G76" s="30">
        <f>E76+SUM(E$5:E75)</f>
        <v>2547717900.0212402</v>
      </c>
      <c r="H76" s="30">
        <f t="shared" si="14"/>
        <v>34187963859.021481</v>
      </c>
    </row>
    <row r="77" spans="1:8" x14ac:dyDescent="0.25">
      <c r="A77" s="85">
        <f t="shared" si="9"/>
        <v>44411</v>
      </c>
      <c r="B77" s="6">
        <f t="shared" si="8"/>
        <v>360</v>
      </c>
      <c r="C77" s="31">
        <f t="shared" si="10"/>
        <v>282</v>
      </c>
      <c r="D77" s="30">
        <f t="shared" si="12"/>
        <v>10682419252.834974</v>
      </c>
      <c r="E77" s="30">
        <f t="shared" si="11"/>
        <v>32143688.824979864</v>
      </c>
      <c r="F77" s="30">
        <f t="shared" si="13"/>
        <v>32337422.322111633</v>
      </c>
      <c r="G77" s="30">
        <f>E77+SUM(E$5:E76)</f>
        <v>2579861588.84622</v>
      </c>
      <c r="H77" s="30">
        <f t="shared" si="14"/>
        <v>34220301281.343594</v>
      </c>
    </row>
    <row r="78" spans="1:8" x14ac:dyDescent="0.25">
      <c r="A78" s="85">
        <f t="shared" si="9"/>
        <v>44416</v>
      </c>
      <c r="B78" s="6">
        <f t="shared" si="8"/>
        <v>365</v>
      </c>
      <c r="C78" s="31">
        <f t="shared" si="10"/>
        <v>283</v>
      </c>
      <c r="D78" s="30">
        <f t="shared" si="12"/>
        <v>10650371995.076469</v>
      </c>
      <c r="E78" s="30">
        <f t="shared" si="11"/>
        <v>32047257.758504923</v>
      </c>
      <c r="F78" s="30">
        <f t="shared" si="13"/>
        <v>32240410.055145297</v>
      </c>
      <c r="G78" s="30">
        <f>E78+SUM(E$5:E77)</f>
        <v>2611908846.6047249</v>
      </c>
      <c r="H78" s="30">
        <f t="shared" si="14"/>
        <v>34252541691.398739</v>
      </c>
    </row>
    <row r="79" spans="1:8" s="17" customFormat="1" x14ac:dyDescent="0.25">
      <c r="A79" s="3" t="s">
        <v>59</v>
      </c>
      <c r="C79" s="3"/>
      <c r="D79" s="2"/>
      <c r="E79" s="2">
        <f>SUM(E6:E78)</f>
        <v>2611908846.6047249</v>
      </c>
      <c r="F79" s="2">
        <f>SUM(F8:F78)</f>
        <v>2547717900.0212402</v>
      </c>
      <c r="G79" s="3"/>
      <c r="H79" s="2"/>
    </row>
    <row r="80" spans="1:8" x14ac:dyDescent="0.25">
      <c r="D80" s="30"/>
      <c r="E80" s="4"/>
    </row>
    <row r="81" spans="2:15" x14ac:dyDescent="0.25">
      <c r="D81" s="30"/>
    </row>
    <row r="83" spans="2:15" x14ac:dyDescent="0.25">
      <c r="B83" s="6" t="s">
        <v>74</v>
      </c>
      <c r="C83" s="31" t="s">
        <v>78</v>
      </c>
      <c r="D83" s="31" t="s">
        <v>54</v>
      </c>
      <c r="E83" s="31" t="s">
        <v>64</v>
      </c>
      <c r="F83" s="31" t="s">
        <v>62</v>
      </c>
      <c r="G83" s="31" t="s">
        <v>86</v>
      </c>
      <c r="I83" s="31" t="s">
        <v>85</v>
      </c>
      <c r="J83" s="31" t="s">
        <v>79</v>
      </c>
      <c r="K83" s="6" t="s">
        <v>82</v>
      </c>
      <c r="L83" s="6" t="s">
        <v>81</v>
      </c>
      <c r="M83" s="6" t="s">
        <v>80</v>
      </c>
      <c r="O83" s="6" t="s">
        <v>83</v>
      </c>
    </row>
    <row r="84" spans="2:15" x14ac:dyDescent="0.25">
      <c r="B84" s="6">
        <v>2021</v>
      </c>
      <c r="C84" s="31">
        <v>1</v>
      </c>
      <c r="D84" s="30">
        <f>D78</f>
        <v>10650371995.076469</v>
      </c>
      <c r="E84" s="30">
        <f>E79</f>
        <v>2611908846.6047249</v>
      </c>
      <c r="F84" s="30">
        <f>Rewards_SKY!C51</f>
        <v>31704823791.377499</v>
      </c>
      <c r="G84" s="4">
        <f>E84/F84</f>
        <v>8.2382064754293452E-2</v>
      </c>
      <c r="I84" s="4">
        <f>SUM(E84+J84)/F84 * (1-Rewards_SKY!$C$30)</f>
        <v>6.597012148834612E-2</v>
      </c>
      <c r="J84" s="30">
        <f>1400*365*5</f>
        <v>2555000</v>
      </c>
      <c r="K84" s="6">
        <f>M84/L84</f>
        <v>4</v>
      </c>
      <c r="L84" s="6">
        <v>16384</v>
      </c>
      <c r="M84" s="6">
        <f>65536</f>
        <v>65536</v>
      </c>
    </row>
    <row r="85" spans="2:15" x14ac:dyDescent="0.25">
      <c r="B85" s="6">
        <v>2022</v>
      </c>
      <c r="C85" s="31">
        <v>2</v>
      </c>
      <c r="D85" s="30">
        <f>$D$5 * (1-$B$1)^(73*C85)</f>
        <v>8552859420.4562445</v>
      </c>
      <c r="E85" s="30">
        <f>(D84-D85) *(1- Rewards_SKY!$C$30)</f>
        <v>1678010059.6961801</v>
      </c>
      <c r="F85" s="30">
        <f>F84+E84</f>
        <v>34316732637.982224</v>
      </c>
      <c r="G85" s="4">
        <f t="shared" ref="G85:G88" si="15">E85/F85</f>
        <v>4.8897722210270562E-2</v>
      </c>
      <c r="I85" s="4">
        <f>SUM(E85+J85)/F85 * (1-Rewards_SKY!$C$30)</f>
        <v>4.2096316773410775E-2</v>
      </c>
      <c r="J85" s="30">
        <f>J84*50</f>
        <v>127750000</v>
      </c>
    </row>
    <row r="86" spans="2:15" x14ac:dyDescent="0.25">
      <c r="B86" s="6">
        <v>2023</v>
      </c>
      <c r="C86" s="31">
        <v>3</v>
      </c>
      <c r="D86" s="30">
        <f>$D$5 * (1-$B$1)^(73*C86)</f>
        <v>6868436548.4983969</v>
      </c>
      <c r="E86" s="30">
        <f>(D85-D86) *(1- Rewards_SKY!$C$30)</f>
        <v>1347538297.5662782</v>
      </c>
      <c r="F86" s="30">
        <f t="shared" ref="F86:F88" si="16">F85+E85</f>
        <v>35994742697.678406</v>
      </c>
      <c r="G86" s="4">
        <f t="shared" si="15"/>
        <v>3.7437086545785807E-2</v>
      </c>
      <c r="I86" s="4">
        <f>SUM(E86+J86)/F86 * (1-Rewards_SKY!$C$30)</f>
        <v>5.1244445711011888E-2</v>
      </c>
      <c r="J86" s="30">
        <f>J85*7.5</f>
        <v>958125000</v>
      </c>
    </row>
    <row r="87" spans="2:15" x14ac:dyDescent="0.25">
      <c r="B87" s="6">
        <v>2024</v>
      </c>
      <c r="C87" s="31">
        <v>4</v>
      </c>
      <c r="D87" s="30">
        <f>$D$5 * (1-$B$1)^(73*C87)</f>
        <v>5515748394.9656754</v>
      </c>
      <c r="E87" s="30">
        <f>(D86-D87) *(1- Rewards_SKY!$C$30)</f>
        <v>1082150522.8261774</v>
      </c>
      <c r="F87" s="30">
        <f t="shared" si="16"/>
        <v>37342280995.244682</v>
      </c>
      <c r="G87" s="4">
        <f t="shared" si="15"/>
        <v>2.8979229280717556E-2</v>
      </c>
      <c r="I87" s="4">
        <f>SUM(E87+J87)/F87 * (1-Rewards_SKY!$C$30)</f>
        <v>5.3972879121058519E-2</v>
      </c>
      <c r="J87" s="30">
        <f>J86*1.5</f>
        <v>1437187500</v>
      </c>
    </row>
    <row r="88" spans="2:15" x14ac:dyDescent="0.25">
      <c r="B88" s="6">
        <v>2025</v>
      </c>
      <c r="C88" s="31">
        <v>5</v>
      </c>
      <c r="D88" s="30">
        <f>$D$5 * (1-$B$1)^(73*C88)</f>
        <v>4429462242.4979258</v>
      </c>
      <c r="E88" s="30">
        <f>(D87-D88) *(1- Rewards_SKY!$C$30)</f>
        <v>869028921.97419977</v>
      </c>
      <c r="F88" s="30">
        <f t="shared" si="16"/>
        <v>38424431518.070862</v>
      </c>
      <c r="G88" s="4">
        <f t="shared" si="15"/>
        <v>2.2616571999653366E-2</v>
      </c>
      <c r="I88" s="4">
        <f>SUM(E88+J88)/F88 * (1-Rewards_SKY!$C$30)</f>
        <v>5.4000099821998188E-2</v>
      </c>
      <c r="J88" s="30">
        <f>J87*1.2</f>
        <v>1724625000</v>
      </c>
    </row>
    <row r="89" spans="2:15" x14ac:dyDescent="0.25">
      <c r="K89" s="23">
        <f>J88/((K92+(L92 *K93))/1000000)</f>
        <v>9249439.5122562256</v>
      </c>
    </row>
    <row r="91" spans="2:15" x14ac:dyDescent="0.25">
      <c r="K91" s="31" t="s">
        <v>12</v>
      </c>
      <c r="L91" s="31" t="s">
        <v>13</v>
      </c>
    </row>
    <row r="92" spans="2:15" x14ac:dyDescent="0.25">
      <c r="J92" s="6" t="s">
        <v>84</v>
      </c>
      <c r="K92" s="31">
        <v>44</v>
      </c>
      <c r="L92" s="31">
        <v>155381</v>
      </c>
    </row>
    <row r="93" spans="2:15" x14ac:dyDescent="0.25">
      <c r="J93" s="6" t="s">
        <v>87</v>
      </c>
      <c r="K93" s="31">
        <v>1200</v>
      </c>
    </row>
    <row r="94" spans="2:15" x14ac:dyDescent="0.25">
      <c r="K94" s="6">
        <f>K89/(21600 *73)</f>
        <v>5.8659560580011574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5E65-8124-4D59-B83F-04A19C4FEFFF}">
  <dimension ref="B1:M42"/>
  <sheetViews>
    <sheetView zoomScale="70" zoomScaleNormal="70" workbookViewId="0">
      <selection activeCell="I56" sqref="I56"/>
    </sheetView>
  </sheetViews>
  <sheetFormatPr defaultColWidth="9.140625" defaultRowHeight="15" x14ac:dyDescent="0.25"/>
  <cols>
    <col min="1" max="9" width="9.140625" style="6"/>
    <col min="10" max="10" width="9.140625" style="6" customWidth="1"/>
    <col min="11" max="16384" width="9.140625" style="6"/>
  </cols>
  <sheetData>
    <row r="1" spans="2:13" ht="15.75" thickBot="1" x14ac:dyDescent="0.3"/>
    <row r="2" spans="2:13" ht="21.75" thickBot="1" x14ac:dyDescent="0.4">
      <c r="E2" s="257" t="s">
        <v>98</v>
      </c>
      <c r="F2" s="258"/>
      <c r="G2" s="259"/>
      <c r="K2" s="257" t="s">
        <v>90</v>
      </c>
      <c r="L2" s="258"/>
      <c r="M2" s="259"/>
    </row>
    <row r="10" spans="2:13" ht="18.75" x14ac:dyDescent="0.3">
      <c r="B10" s="128" t="s">
        <v>54</v>
      </c>
    </row>
    <row r="42" spans="5:5" x14ac:dyDescent="0.25">
      <c r="E42" s="17" t="s">
        <v>99</v>
      </c>
    </row>
  </sheetData>
  <mergeCells count="2">
    <mergeCell ref="K2:M2"/>
    <mergeCell ref="E2: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BDF7-BE42-4DEF-AF56-AD9FC318459F}">
  <dimension ref="A1"/>
  <sheetViews>
    <sheetView topLeftCell="A9" zoomScaleNormal="100" workbookViewId="0">
      <selection activeCell="Q45" sqref="Q4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19</vt:i4>
      </vt:variant>
    </vt:vector>
  </HeadingPairs>
  <TitlesOfParts>
    <vt:vector size="25" baseType="lpstr">
      <vt:lpstr>Rewards_SKY</vt:lpstr>
      <vt:lpstr>SKY</vt:lpstr>
      <vt:lpstr>SKY2</vt:lpstr>
      <vt:lpstr>rho</vt:lpstr>
      <vt:lpstr>Reward mechanism</vt:lpstr>
      <vt:lpstr>2020 Distributions Graph</vt:lpstr>
      <vt:lpstr>ada_price</vt:lpstr>
      <vt:lpstr>av_epoch_rewards</vt:lpstr>
      <vt:lpstr>epoch_length</vt:lpstr>
      <vt:lpstr>fixed_opex</vt:lpstr>
      <vt:lpstr>nOps</vt:lpstr>
      <vt:lpstr>op_year</vt:lpstr>
      <vt:lpstr>performance_fee</vt:lpstr>
      <vt:lpstr>pledge</vt:lpstr>
      <vt:lpstr>pool_rewards_AT</vt:lpstr>
      <vt:lpstr>pool_size</vt:lpstr>
      <vt:lpstr>poop_performance</vt:lpstr>
      <vt:lpstr>rho</vt:lpstr>
      <vt:lpstr>saturation_point</vt:lpstr>
      <vt:lpstr>staked_ada</vt:lpstr>
      <vt:lpstr>staking_ratio</vt:lpstr>
      <vt:lpstr>'SKY2'!t.blocks</vt:lpstr>
      <vt:lpstr>t.blocks</vt:lpstr>
      <vt:lpstr>total_supply</vt:lpstr>
      <vt:lpstr>tr_tax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</dc:creator>
  <cp:lastModifiedBy>uss</cp:lastModifiedBy>
  <dcterms:created xsi:type="dcterms:W3CDTF">2020-05-05T12:00:30Z</dcterms:created>
  <dcterms:modified xsi:type="dcterms:W3CDTF">2020-08-26T18:55:40Z</dcterms:modified>
</cp:coreProperties>
</file>