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\Documents\8. Cardano StakePool\Cardano Staking\"/>
    </mc:Choice>
  </mc:AlternateContent>
  <xr:revisionPtr revIDLastSave="0" documentId="13_ncr:1_{0EC11FFA-D483-445E-B4FD-EC47F141BFE1}" xr6:coauthVersionLast="45" xr6:coauthVersionMax="45" xr10:uidLastSave="{00000000-0000-0000-0000-000000000000}"/>
  <bookViews>
    <workbookView xWindow="-108" yWindow="-108" windowWidth="23256" windowHeight="12576" tabRatio="779" xr2:uid="{0555CF38-D1C2-4BD8-9E20-82DC46488446}"/>
  </bookViews>
  <sheets>
    <sheet name="Block Production" sheetId="33" r:id="rId1"/>
    <sheet name="rho" sheetId="22" r:id="rId2"/>
    <sheet name="Reward mechanism" sheetId="34" r:id="rId3"/>
    <sheet name="Rewards" sheetId="1" r:id="rId4"/>
    <sheet name="2020 Distributions Graph" sheetId="23" r:id="rId5"/>
  </sheets>
  <definedNames>
    <definedName name="ada_price">Rewards!$C$39</definedName>
    <definedName name="av_epoch_rewards">Rewards!$C$35</definedName>
    <definedName name="epoch_length">Rewards!$C$31</definedName>
    <definedName name="fixed_opex">Rewards!$C$38</definedName>
    <definedName name="nOps">Rewards!$C$28</definedName>
    <definedName name="op_year">Rewards!$C$27</definedName>
    <definedName name="performance_fee">Rewards!$C$41</definedName>
    <definedName name="pledge">Rewards!$C$42</definedName>
    <definedName name="pool_rewards_AT">Rewards!$C$44</definedName>
    <definedName name="pool_size">Rewards!$C$43</definedName>
    <definedName name="poop_performance">Rewards!$C$40</definedName>
    <definedName name="rho">Rewards!$C$29</definedName>
    <definedName name="saturation_point">Rewards!$C$36</definedName>
    <definedName name="staked_ada">Rewards!$C$34</definedName>
    <definedName name="staking_ratio">Rewards!$C$33</definedName>
    <definedName name="t.blocks">'Block Production'!$B$28</definedName>
    <definedName name="total_supply">Rewards!$C$32</definedName>
    <definedName name="tr_tax">Rewards!$C$30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33" l="1"/>
  <c r="C51" i="1"/>
  <c r="C7" i="1" l="1"/>
  <c r="T5" i="33" l="1"/>
  <c r="T6" i="33" s="1"/>
  <c r="P2" i="33"/>
  <c r="P3" i="33"/>
  <c r="O4" i="33"/>
  <c r="P4" i="33" s="1"/>
  <c r="W21" i="33"/>
  <c r="O19" i="33"/>
  <c r="P19" i="33" s="1"/>
  <c r="O20" i="33"/>
  <c r="P20" i="33" s="1"/>
  <c r="O21" i="33"/>
  <c r="P21" i="33"/>
  <c r="O3" i="33"/>
  <c r="O2" i="33"/>
  <c r="W17" i="33"/>
  <c r="W18" i="33"/>
  <c r="W19" i="33"/>
  <c r="W20" i="33"/>
  <c r="V2" i="33"/>
  <c r="B29" i="33"/>
  <c r="W3" i="33"/>
  <c r="W4" i="33"/>
  <c r="W5" i="33"/>
  <c r="W6" i="33"/>
  <c r="W7" i="33"/>
  <c r="W8" i="33"/>
  <c r="W9" i="33"/>
  <c r="W10" i="33"/>
  <c r="W11" i="33"/>
  <c r="W12" i="33"/>
  <c r="W13" i="33"/>
  <c r="W14" i="33"/>
  <c r="W15" i="33"/>
  <c r="W16" i="33"/>
  <c r="W2" i="33"/>
  <c r="O6" i="33" l="1"/>
  <c r="P6" i="33" s="1"/>
  <c r="T7" i="33"/>
  <c r="O5" i="33"/>
  <c r="P5" i="33" s="1"/>
  <c r="X2" i="33"/>
  <c r="U2" i="33"/>
  <c r="Y2" i="33" s="1"/>
  <c r="O7" i="33" l="1"/>
  <c r="P7" i="33" s="1"/>
  <c r="T8" i="33"/>
  <c r="T9" i="33" l="1"/>
  <c r="O8" i="33"/>
  <c r="P8" i="33" s="1"/>
  <c r="C7" i="22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6" i="22"/>
  <c r="O9" i="33" l="1"/>
  <c r="P9" i="33" s="1"/>
  <c r="T10" i="33"/>
  <c r="F64" i="1"/>
  <c r="F63" i="1"/>
  <c r="F60" i="1"/>
  <c r="F34" i="1"/>
  <c r="F1" i="1"/>
  <c r="T11" i="33" l="1"/>
  <c r="O10" i="33"/>
  <c r="P10" i="33" s="1"/>
  <c r="F3" i="1"/>
  <c r="F4" i="1"/>
  <c r="F37" i="1"/>
  <c r="F36" i="1"/>
  <c r="F62" i="1"/>
  <c r="F38" i="1"/>
  <c r="F5" i="1"/>
  <c r="T12" i="33" l="1"/>
  <c r="O11" i="33"/>
  <c r="P11" i="33" s="1"/>
  <c r="J88" i="22"/>
  <c r="J86" i="22"/>
  <c r="J87" i="22" s="1"/>
  <c r="J85" i="22"/>
  <c r="J84" i="22"/>
  <c r="K84" i="22"/>
  <c r="M84" i="22"/>
  <c r="O12" i="33" l="1"/>
  <c r="P12" i="33" s="1"/>
  <c r="T13" i="33"/>
  <c r="K89" i="22"/>
  <c r="K94" i="22" s="1"/>
  <c r="C32" i="1"/>
  <c r="T14" i="33" l="1"/>
  <c r="O13" i="33"/>
  <c r="P13" i="33" s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G66" i="1"/>
  <c r="F84" i="22"/>
  <c r="D5" i="22"/>
  <c r="T15" i="33" l="1"/>
  <c r="O14" i="33"/>
  <c r="P14" i="33" s="1"/>
  <c r="G5" i="22"/>
  <c r="O15" i="33" l="1"/>
  <c r="P15" i="33" s="1"/>
  <c r="T16" i="33"/>
  <c r="B1" i="22"/>
  <c r="G25" i="1"/>
  <c r="A6" i="22"/>
  <c r="B7" i="22"/>
  <c r="O16" i="33" l="1"/>
  <c r="P16" i="33" s="1"/>
  <c r="T17" i="33"/>
  <c r="A7" i="22"/>
  <c r="B8" i="22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O17" i="33" l="1"/>
  <c r="P17" i="33" s="1"/>
  <c r="T18" i="33"/>
  <c r="O18" i="33" s="1"/>
  <c r="P18" i="33" s="1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Y56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G29" i="1"/>
  <c r="X25" i="1" l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C22" i="1" l="1"/>
  <c r="C12" i="1" l="1"/>
  <c r="D88" i="22"/>
  <c r="E6" i="22"/>
  <c r="B2" i="33" s="1"/>
  <c r="D85" i="22"/>
  <c r="C3" i="33" l="1"/>
  <c r="N2" i="33"/>
  <c r="D6" i="22"/>
  <c r="E7" i="22" s="1"/>
  <c r="F8" i="22"/>
  <c r="G6" i="22"/>
  <c r="D86" i="22"/>
  <c r="D87" i="22"/>
  <c r="E88" i="22" s="1"/>
  <c r="C62" i="1" s="1"/>
  <c r="J2" i="33" l="1"/>
  <c r="K2" i="33" s="1"/>
  <c r="L2" i="33" s="1"/>
  <c r="U3" i="33"/>
  <c r="Y3" i="33" s="1"/>
  <c r="V3" i="33"/>
  <c r="X3" i="33" s="1"/>
  <c r="D7" i="22"/>
  <c r="E8" i="22" s="1"/>
  <c r="B3" i="33"/>
  <c r="C4" i="33" s="1"/>
  <c r="E87" i="22"/>
  <c r="C61" i="1" s="1"/>
  <c r="E86" i="22"/>
  <c r="C60" i="1" s="1"/>
  <c r="G7" i="22"/>
  <c r="F9" i="22"/>
  <c r="N3" i="33" l="1"/>
  <c r="U4" i="33"/>
  <c r="Y4" i="33" s="1"/>
  <c r="V4" i="33"/>
  <c r="X4" i="33" s="1"/>
  <c r="D8" i="22"/>
  <c r="E9" i="22" s="1"/>
  <c r="B5" i="33" s="1"/>
  <c r="B4" i="33"/>
  <c r="C5" i="33" s="1"/>
  <c r="F10" i="22"/>
  <c r="G8" i="22"/>
  <c r="J3" i="33" l="1"/>
  <c r="K3" i="33" s="1"/>
  <c r="L3" i="33" s="1"/>
  <c r="N4" i="33"/>
  <c r="K4" i="33" s="1"/>
  <c r="C6" i="33"/>
  <c r="U5" i="33"/>
  <c r="Y5" i="33" s="1"/>
  <c r="V5" i="33"/>
  <c r="X5" i="33" s="1"/>
  <c r="F11" i="22"/>
  <c r="G9" i="22"/>
  <c r="D9" i="22"/>
  <c r="L4" i="33" l="1"/>
  <c r="N5" i="33"/>
  <c r="K5" i="33" s="1"/>
  <c r="V6" i="33"/>
  <c r="X6" i="33" s="1"/>
  <c r="U6" i="33"/>
  <c r="Y6" i="33" s="1"/>
  <c r="E10" i="22"/>
  <c r="L5" i="33" l="1"/>
  <c r="D10" i="22"/>
  <c r="E11" i="22" s="1"/>
  <c r="B6" i="33"/>
  <c r="C7" i="33" s="1"/>
  <c r="F12" i="22"/>
  <c r="G10" i="22"/>
  <c r="N6" i="33" l="1"/>
  <c r="K6" i="33" s="1"/>
  <c r="D11" i="22"/>
  <c r="E12" i="22" s="1"/>
  <c r="B7" i="33"/>
  <c r="C8" i="33" s="1"/>
  <c r="V7" i="33"/>
  <c r="X7" i="33" s="1"/>
  <c r="U7" i="33"/>
  <c r="Y7" i="33" s="1"/>
  <c r="F13" i="22"/>
  <c r="G11" i="22"/>
  <c r="L6" i="33" l="1"/>
  <c r="N7" i="33"/>
  <c r="K7" i="33" s="1"/>
  <c r="D12" i="22"/>
  <c r="E13" i="22" s="1"/>
  <c r="B9" i="33" s="1"/>
  <c r="B8" i="33"/>
  <c r="C9" i="33" s="1"/>
  <c r="U8" i="33"/>
  <c r="Y8" i="33" s="1"/>
  <c r="V8" i="33"/>
  <c r="X8" i="33" s="1"/>
  <c r="G12" i="22"/>
  <c r="F14" i="22"/>
  <c r="L7" i="33" l="1"/>
  <c r="N8" i="33"/>
  <c r="K8" i="33" s="1"/>
  <c r="U9" i="33"/>
  <c r="Y9" i="33" s="1"/>
  <c r="V9" i="33"/>
  <c r="X9" i="33" s="1"/>
  <c r="C10" i="33"/>
  <c r="G13" i="22"/>
  <c r="F15" i="22"/>
  <c r="D13" i="22"/>
  <c r="L8" i="33" l="1"/>
  <c r="N9" i="33"/>
  <c r="K9" i="33" s="1"/>
  <c r="U10" i="33"/>
  <c r="Y10" i="33" s="1"/>
  <c r="V10" i="33"/>
  <c r="X10" i="33" s="1"/>
  <c r="E14" i="22"/>
  <c r="L9" i="33" l="1"/>
  <c r="D14" i="22"/>
  <c r="E15" i="22" s="1"/>
  <c r="B10" i="33"/>
  <c r="C11" i="33" s="1"/>
  <c r="F16" i="22"/>
  <c r="G14" i="22"/>
  <c r="N10" i="33" l="1"/>
  <c r="K10" i="33" s="1"/>
  <c r="D15" i="22"/>
  <c r="E16" i="22" s="1"/>
  <c r="B11" i="33"/>
  <c r="C12" i="33" s="1"/>
  <c r="V11" i="33"/>
  <c r="X11" i="33" s="1"/>
  <c r="U11" i="33"/>
  <c r="Y11" i="33" s="1"/>
  <c r="G15" i="22"/>
  <c r="F17" i="22"/>
  <c r="L10" i="33" l="1"/>
  <c r="N11" i="33"/>
  <c r="K11" i="33" s="1"/>
  <c r="D16" i="22"/>
  <c r="E17" i="22" s="1"/>
  <c r="B13" i="33" s="1"/>
  <c r="B12" i="33"/>
  <c r="C13" i="33" s="1"/>
  <c r="U12" i="33"/>
  <c r="Y12" i="33" s="1"/>
  <c r="V12" i="33"/>
  <c r="X12" i="33" s="1"/>
  <c r="G16" i="22"/>
  <c r="F18" i="22"/>
  <c r="L11" i="33" l="1"/>
  <c r="N12" i="33"/>
  <c r="K12" i="33" s="1"/>
  <c r="C14" i="33"/>
  <c r="U13" i="33"/>
  <c r="Y13" i="33" s="1"/>
  <c r="V13" i="33"/>
  <c r="X13" i="33" s="1"/>
  <c r="F19" i="22"/>
  <c r="G17" i="22"/>
  <c r="D17" i="22"/>
  <c r="L12" i="33" l="1"/>
  <c r="N13" i="33"/>
  <c r="K13" i="33" s="1"/>
  <c r="U14" i="33"/>
  <c r="Y14" i="33" s="1"/>
  <c r="V14" i="33"/>
  <c r="X14" i="33" s="1"/>
  <c r="E18" i="22"/>
  <c r="L13" i="33" l="1"/>
  <c r="D18" i="22"/>
  <c r="E19" i="22" s="1"/>
  <c r="B15" i="33" s="1"/>
  <c r="B14" i="33"/>
  <c r="C15" i="33" s="1"/>
  <c r="G18" i="22"/>
  <c r="F20" i="22"/>
  <c r="N14" i="33" l="1"/>
  <c r="K14" i="33" s="1"/>
  <c r="C16" i="33"/>
  <c r="V15" i="33"/>
  <c r="X15" i="33" s="1"/>
  <c r="U15" i="33"/>
  <c r="Y15" i="33" s="1"/>
  <c r="F21" i="22"/>
  <c r="G19" i="22"/>
  <c r="D19" i="22"/>
  <c r="L14" i="33" l="1"/>
  <c r="N15" i="33"/>
  <c r="K15" i="33" s="1"/>
  <c r="U16" i="33"/>
  <c r="Y16" i="33" s="1"/>
  <c r="V16" i="33"/>
  <c r="X16" i="33" s="1"/>
  <c r="E20" i="22"/>
  <c r="B16" i="33" s="1"/>
  <c r="C17" i="33" s="1"/>
  <c r="L15" i="33" l="1"/>
  <c r="N16" i="33"/>
  <c r="K16" i="33" s="1"/>
  <c r="V17" i="33"/>
  <c r="X17" i="33" s="1"/>
  <c r="U17" i="33"/>
  <c r="Y17" i="33" s="1"/>
  <c r="F22" i="22"/>
  <c r="G20" i="22"/>
  <c r="D20" i="22"/>
  <c r="L16" i="33" l="1"/>
  <c r="E21" i="22"/>
  <c r="D21" i="22" l="1"/>
  <c r="E22" i="22" s="1"/>
  <c r="B18" i="33" s="1"/>
  <c r="B17" i="33"/>
  <c r="G21" i="22"/>
  <c r="F23" i="22"/>
  <c r="C18" i="33" l="1"/>
  <c r="N17" i="33"/>
  <c r="K17" i="33" s="1"/>
  <c r="G22" i="22"/>
  <c r="F24" i="22"/>
  <c r="D22" i="22"/>
  <c r="L17" i="33" l="1"/>
  <c r="U18" i="33"/>
  <c r="Y18" i="33" s="1"/>
  <c r="C19" i="33"/>
  <c r="V18" i="33"/>
  <c r="X18" i="33" s="1"/>
  <c r="E23" i="22"/>
  <c r="B19" i="33" s="1"/>
  <c r="N18" i="33" l="1"/>
  <c r="K18" i="33" s="1"/>
  <c r="U19" i="33"/>
  <c r="Y19" i="33" s="1"/>
  <c r="V19" i="33"/>
  <c r="X19" i="33" s="1"/>
  <c r="C20" i="33"/>
  <c r="G23" i="22"/>
  <c r="F25" i="22"/>
  <c r="D23" i="22"/>
  <c r="N19" i="33" l="1"/>
  <c r="K19" i="33" s="1"/>
  <c r="L18" i="33"/>
  <c r="L19" i="33"/>
  <c r="V20" i="33"/>
  <c r="X20" i="33" s="1"/>
  <c r="U20" i="33"/>
  <c r="Y20" i="33" s="1"/>
  <c r="E24" i="22"/>
  <c r="B20" i="33" s="1"/>
  <c r="C21" i="33" s="1"/>
  <c r="U21" i="33" l="1"/>
  <c r="Y21" i="33" s="1"/>
  <c r="V21" i="33"/>
  <c r="X21" i="33" s="1"/>
  <c r="N20" i="33"/>
  <c r="K20" i="33" s="1"/>
  <c r="F26" i="22"/>
  <c r="G24" i="22"/>
  <c r="D24" i="22"/>
  <c r="L20" i="33" l="1"/>
  <c r="E25" i="22"/>
  <c r="B21" i="33" s="1"/>
  <c r="N21" i="33" s="1"/>
  <c r="K21" i="33" s="1"/>
  <c r="L21" i="33" l="1"/>
  <c r="F27" i="22"/>
  <c r="G25" i="22"/>
  <c r="D25" i="22"/>
  <c r="E26" i="22" l="1"/>
  <c r="D26" i="22" s="1"/>
  <c r="E27" i="22" l="1"/>
  <c r="D27" i="22" s="1"/>
  <c r="F28" i="22"/>
  <c r="G26" i="22"/>
  <c r="E28" i="22" l="1"/>
  <c r="D28" i="22" s="1"/>
  <c r="F29" i="22"/>
  <c r="G27" i="22"/>
  <c r="E29" i="22" l="1"/>
  <c r="G28" i="22"/>
  <c r="F30" i="22"/>
  <c r="F31" i="22" l="1"/>
  <c r="G29" i="22"/>
  <c r="D29" i="22"/>
  <c r="E30" i="22" l="1"/>
  <c r="D30" i="22" s="1"/>
  <c r="E31" i="22" l="1"/>
  <c r="F32" i="22"/>
  <c r="G30" i="22"/>
  <c r="F33" i="22" l="1"/>
  <c r="G31" i="22"/>
  <c r="D31" i="22"/>
  <c r="E32" i="22" l="1"/>
  <c r="D32" i="22" s="1"/>
  <c r="E33" i="22" l="1"/>
  <c r="D33" i="22" s="1"/>
  <c r="F34" i="22"/>
  <c r="G32" i="22"/>
  <c r="E34" i="22" l="1"/>
  <c r="F35" i="22"/>
  <c r="G33" i="22"/>
  <c r="F36" i="22" l="1"/>
  <c r="G34" i="22"/>
  <c r="D34" i="22"/>
  <c r="E35" i="22" l="1"/>
  <c r="F37" i="22" l="1"/>
  <c r="G35" i="22"/>
  <c r="D35" i="22"/>
  <c r="E36" i="22" l="1"/>
  <c r="D36" i="22" s="1"/>
  <c r="E37" i="22" l="1"/>
  <c r="D37" i="22" s="1"/>
  <c r="G36" i="22"/>
  <c r="F38" i="22"/>
  <c r="E38" i="22" l="1"/>
  <c r="D38" i="22" s="1"/>
  <c r="G37" i="22"/>
  <c r="F39" i="22"/>
  <c r="E39" i="22" l="1"/>
  <c r="G38" i="22"/>
  <c r="F40" i="22"/>
  <c r="F41" i="22" l="1"/>
  <c r="G39" i="22"/>
  <c r="D39" i="22"/>
  <c r="E40" i="22" l="1"/>
  <c r="D40" i="22" s="1"/>
  <c r="E41" i="22" l="1"/>
  <c r="G40" i="22"/>
  <c r="F42" i="22"/>
  <c r="F43" i="22" l="1"/>
  <c r="G41" i="22"/>
  <c r="D41" i="22"/>
  <c r="E42" i="22" l="1"/>
  <c r="F44" i="22" l="1"/>
  <c r="G42" i="22"/>
  <c r="D42" i="22"/>
  <c r="E43" i="22" l="1"/>
  <c r="G43" i="22" l="1"/>
  <c r="F45" i="22"/>
  <c r="D43" i="22"/>
  <c r="E44" i="22" l="1"/>
  <c r="D44" i="22" s="1"/>
  <c r="E45" i="22" l="1"/>
  <c r="D45" i="22" s="1"/>
  <c r="G44" i="22"/>
  <c r="F46" i="22"/>
  <c r="E46" i="22" l="1"/>
  <c r="F47" i="22"/>
  <c r="G45" i="22"/>
  <c r="F48" i="22" l="1"/>
  <c r="G46" i="22"/>
  <c r="D46" i="22"/>
  <c r="E47" i="22" l="1"/>
  <c r="D47" i="22" s="1"/>
  <c r="E48" i="22" l="1"/>
  <c r="D48" i="22" s="1"/>
  <c r="G47" i="22"/>
  <c r="F49" i="22"/>
  <c r="E49" i="22" l="1"/>
  <c r="F50" i="22"/>
  <c r="G48" i="22"/>
  <c r="F51" i="22" l="1"/>
  <c r="G49" i="22"/>
  <c r="D49" i="22"/>
  <c r="E50" i="22" l="1"/>
  <c r="D50" i="22" s="1"/>
  <c r="E51" i="22" l="1"/>
  <c r="D51" i="22" s="1"/>
  <c r="F52" i="22"/>
  <c r="G50" i="22"/>
  <c r="E52" i="22" l="1"/>
  <c r="D52" i="22" s="1"/>
  <c r="F53" i="22"/>
  <c r="G51" i="22"/>
  <c r="E53" i="22" l="1"/>
  <c r="G52" i="22"/>
  <c r="F54" i="22"/>
  <c r="G53" i="22" l="1"/>
  <c r="F55" i="22"/>
  <c r="D53" i="22"/>
  <c r="E54" i="22" l="1"/>
  <c r="D54" i="22" s="1"/>
  <c r="E55" i="22" l="1"/>
  <c r="F56" i="22"/>
  <c r="G54" i="22"/>
  <c r="G55" i="22" l="1"/>
  <c r="F57" i="22"/>
  <c r="D55" i="22"/>
  <c r="E56" i="22" l="1"/>
  <c r="F58" i="22" l="1"/>
  <c r="G56" i="22"/>
  <c r="D56" i="22"/>
  <c r="E57" i="22" l="1"/>
  <c r="F59" i="22" l="1"/>
  <c r="G57" i="22"/>
  <c r="D57" i="22"/>
  <c r="E58" i="22" l="1"/>
  <c r="G58" i="22" l="1"/>
  <c r="F60" i="22"/>
  <c r="D58" i="22"/>
  <c r="E59" i="22" l="1"/>
  <c r="D59" i="22" s="1"/>
  <c r="E60" i="22" l="1"/>
  <c r="F61" i="22"/>
  <c r="G59" i="22"/>
  <c r="G60" i="22" l="1"/>
  <c r="F62" i="22"/>
  <c r="D60" i="22"/>
  <c r="E61" i="22" l="1"/>
  <c r="D61" i="22" s="1"/>
  <c r="E62" i="22" l="1"/>
  <c r="D62" i="22" s="1"/>
  <c r="G61" i="22"/>
  <c r="F63" i="22"/>
  <c r="E63" i="22" l="1"/>
  <c r="D63" i="22" s="1"/>
  <c r="F64" i="22"/>
  <c r="G62" i="22"/>
  <c r="E64" i="22" l="1"/>
  <c r="D64" i="22" s="1"/>
  <c r="F65" i="22"/>
  <c r="G63" i="22"/>
  <c r="E65" i="22" l="1"/>
  <c r="G64" i="22"/>
  <c r="F66" i="22"/>
  <c r="G65" i="22" l="1"/>
  <c r="F67" i="22"/>
  <c r="D65" i="22"/>
  <c r="E66" i="22" l="1"/>
  <c r="F68" i="22" l="1"/>
  <c r="G66" i="22"/>
  <c r="D66" i="22"/>
  <c r="E67" i="22" l="1"/>
  <c r="F69" i="22" l="1"/>
  <c r="G67" i="22"/>
  <c r="D67" i="22"/>
  <c r="E68" i="22" l="1"/>
  <c r="G68" i="22" l="1"/>
  <c r="F70" i="22"/>
  <c r="D68" i="22"/>
  <c r="E69" i="22" l="1"/>
  <c r="F71" i="22" l="1"/>
  <c r="G69" i="22"/>
  <c r="D69" i="22"/>
  <c r="E70" i="22" l="1"/>
  <c r="G70" i="22" l="1"/>
  <c r="F72" i="22"/>
  <c r="D70" i="22"/>
  <c r="E71" i="22" l="1"/>
  <c r="F73" i="22" l="1"/>
  <c r="G71" i="22"/>
  <c r="D71" i="22"/>
  <c r="E72" i="22" l="1"/>
  <c r="F74" i="22" l="1"/>
  <c r="G72" i="22"/>
  <c r="D72" i="22"/>
  <c r="E73" i="22" l="1"/>
  <c r="F75" i="22" l="1"/>
  <c r="G73" i="22"/>
  <c r="D73" i="22"/>
  <c r="E74" i="22" l="1"/>
  <c r="D74" i="22" s="1"/>
  <c r="E75" i="22" l="1"/>
  <c r="D75" i="22" s="1"/>
  <c r="G74" i="22"/>
  <c r="F76" i="22"/>
  <c r="E76" i="22" l="1"/>
  <c r="D76" i="22" s="1"/>
  <c r="G75" i="22"/>
  <c r="F77" i="22"/>
  <c r="E77" i="22" l="1"/>
  <c r="G77" i="22" s="1"/>
  <c r="G76" i="22"/>
  <c r="F78" i="22"/>
  <c r="F79" i="22" l="1"/>
  <c r="C58" i="1" s="1"/>
  <c r="D77" i="22"/>
  <c r="E78" i="22" s="1"/>
  <c r="G78" i="22" l="1"/>
  <c r="E79" i="22"/>
  <c r="D78" i="22"/>
  <c r="D84" i="22" s="1"/>
  <c r="E85" i="22" s="1"/>
  <c r="C59" i="1" s="1"/>
  <c r="E84" i="22" l="1"/>
  <c r="C35" i="1" l="1"/>
  <c r="I84" i="22"/>
  <c r="F85" i="22"/>
  <c r="G84" i="22"/>
  <c r="F86" i="22" l="1"/>
  <c r="I86" i="22" s="1"/>
  <c r="I85" i="22"/>
  <c r="G85" i="22"/>
  <c r="C52" i="1"/>
  <c r="G86" i="22" l="1"/>
  <c r="F87" i="22"/>
  <c r="G87" i="22" s="1"/>
  <c r="C53" i="1"/>
  <c r="F88" i="22" l="1"/>
  <c r="I88" i="22" s="1"/>
  <c r="C54" i="1"/>
  <c r="I87" i="22"/>
  <c r="C55" i="1" l="1"/>
  <c r="G88" i="22"/>
  <c r="C36" i="1"/>
  <c r="B30" i="33" l="1"/>
  <c r="K7" i="1"/>
  <c r="W7" i="1"/>
  <c r="P7" i="1"/>
  <c r="T7" i="1"/>
  <c r="J7" i="1"/>
  <c r="L7" i="1"/>
  <c r="X7" i="1"/>
  <c r="M7" i="1"/>
  <c r="N7" i="1"/>
  <c r="O7" i="1"/>
  <c r="Q7" i="1"/>
  <c r="V7" i="1"/>
  <c r="R7" i="1"/>
  <c r="G7" i="1"/>
  <c r="S7" i="1"/>
  <c r="H7" i="1"/>
  <c r="I7" i="1"/>
  <c r="U7" i="1"/>
  <c r="F8" i="1"/>
  <c r="F20" i="1"/>
  <c r="F22" i="1"/>
  <c r="F12" i="1"/>
  <c r="F14" i="1"/>
  <c r="F16" i="1"/>
  <c r="F9" i="1"/>
  <c r="F21" i="1"/>
  <c r="F23" i="1"/>
  <c r="F13" i="1"/>
  <c r="F15" i="1"/>
  <c r="F17" i="1"/>
  <c r="F19" i="1"/>
  <c r="F10" i="1"/>
  <c r="F18" i="1"/>
  <c r="F11" i="1"/>
  <c r="F24" i="1"/>
  <c r="B62" i="33" l="1"/>
  <c r="B51" i="33"/>
  <c r="B41" i="33"/>
  <c r="B53" i="33"/>
  <c r="B65" i="33"/>
  <c r="B77" i="33"/>
  <c r="B89" i="33"/>
  <c r="B42" i="33"/>
  <c r="B54" i="33"/>
  <c r="B66" i="33"/>
  <c r="B78" i="33"/>
  <c r="B90" i="33"/>
  <c r="B44" i="33"/>
  <c r="B56" i="33"/>
  <c r="B80" i="33"/>
  <c r="B92" i="33"/>
  <c r="B57" i="33"/>
  <c r="B81" i="33"/>
  <c r="B58" i="33"/>
  <c r="B70" i="33"/>
  <c r="B94" i="33"/>
  <c r="B71" i="33"/>
  <c r="B95" i="33"/>
  <c r="B48" i="33"/>
  <c r="B72" i="33"/>
  <c r="B96" i="33"/>
  <c r="B49" i="33"/>
  <c r="B40" i="33"/>
  <c r="B76" i="33"/>
  <c r="B52" i="33"/>
  <c r="B43" i="33"/>
  <c r="B55" i="33"/>
  <c r="B67" i="33"/>
  <c r="B79" i="33"/>
  <c r="B91" i="33"/>
  <c r="B68" i="33"/>
  <c r="B45" i="33"/>
  <c r="B69" i="33"/>
  <c r="B93" i="33"/>
  <c r="B46" i="33"/>
  <c r="B82" i="33"/>
  <c r="B59" i="33"/>
  <c r="B83" i="33"/>
  <c r="B36" i="33"/>
  <c r="B60" i="33"/>
  <c r="B84" i="33"/>
  <c r="B37" i="33"/>
  <c r="B75" i="33"/>
  <c r="B47" i="33"/>
  <c r="B61" i="33"/>
  <c r="B73" i="33"/>
  <c r="B85" i="33"/>
  <c r="B38" i="33"/>
  <c r="B50" i="33"/>
  <c r="B74" i="33"/>
  <c r="B86" i="33"/>
  <c r="B39" i="33"/>
  <c r="B63" i="33"/>
  <c r="B87" i="33"/>
  <c r="B64" i="33"/>
  <c r="B88" i="33"/>
  <c r="C11" i="1"/>
  <c r="C13" i="1" s="1"/>
  <c r="C16" i="1" s="1"/>
  <c r="C10" i="1"/>
  <c r="C14" i="1" s="1"/>
  <c r="C17" i="1" l="1"/>
  <c r="C18" i="1" s="1"/>
  <c r="C19" i="1" s="1"/>
  <c r="C20" i="1" s="1"/>
  <c r="C21" i="1" s="1"/>
  <c r="C23" i="1" s="1"/>
  <c r="S30" i="1"/>
  <c r="Q30" i="1"/>
  <c r="O30" i="1"/>
  <c r="J30" i="1"/>
  <c r="H30" i="1"/>
  <c r="L30" i="1"/>
  <c r="S26" i="1" l="1"/>
  <c r="R26" i="1"/>
  <c r="U26" i="1"/>
  <c r="X26" i="1"/>
  <c r="R30" i="1"/>
  <c r="I26" i="1"/>
  <c r="Q26" i="1"/>
  <c r="K26" i="1"/>
  <c r="X30" i="1"/>
  <c r="V26" i="1"/>
  <c r="N26" i="1"/>
  <c r="M26" i="1"/>
  <c r="O26" i="1"/>
  <c r="N30" i="1"/>
  <c r="M30" i="1"/>
  <c r="U30" i="1"/>
  <c r="L26" i="1"/>
  <c r="I30" i="1"/>
  <c r="K30" i="1"/>
  <c r="P26" i="1"/>
  <c r="T26" i="1"/>
  <c r="T30" i="1"/>
  <c r="P30" i="1"/>
  <c r="H26" i="1"/>
  <c r="J26" i="1"/>
  <c r="V30" i="1"/>
  <c r="C44" i="1"/>
  <c r="W30" i="1"/>
  <c r="W26" i="1"/>
  <c r="C46" i="1" l="1"/>
  <c r="F66" i="1"/>
  <c r="C47" i="1"/>
  <c r="F40" i="1" l="1"/>
  <c r="C48" i="1"/>
  <c r="F7" i="1"/>
  <c r="B31" i="33"/>
  <c r="B32" i="33" s="1"/>
  <c r="B33" i="33" s="1"/>
  <c r="F2" i="1"/>
  <c r="F61" i="1"/>
  <c r="F35" i="1"/>
</calcChain>
</file>

<file path=xl/sharedStrings.xml><?xml version="1.0" encoding="utf-8"?>
<sst xmlns="http://schemas.openxmlformats.org/spreadsheetml/2006/main" count="161" uniqueCount="128">
  <si>
    <t>k</t>
  </si>
  <si>
    <t>desired # of pools</t>
  </si>
  <si>
    <t>R</t>
  </si>
  <si>
    <t>ƛ</t>
  </si>
  <si>
    <t>Value</t>
  </si>
  <si>
    <t>ơ</t>
  </si>
  <si>
    <t>ơ'</t>
  </si>
  <si>
    <t>pool share [capped at 1/k]</t>
  </si>
  <si>
    <t>max. pool size [1/k]</t>
  </si>
  <si>
    <t>ƛ'</t>
  </si>
  <si>
    <t>leader share [capped at 1/k]</t>
  </si>
  <si>
    <t>epoch rewards represented as percentage</t>
  </si>
  <si>
    <t>A</t>
  </si>
  <si>
    <t>B</t>
  </si>
  <si>
    <t>ƛ' * A</t>
  </si>
  <si>
    <t>C</t>
  </si>
  <si>
    <t>ơ' -B</t>
  </si>
  <si>
    <t>D</t>
  </si>
  <si>
    <t>E</t>
  </si>
  <si>
    <t>F</t>
  </si>
  <si>
    <t>G</t>
  </si>
  <si>
    <t xml:space="preserve"> ơ' + E</t>
  </si>
  <si>
    <t>=</t>
  </si>
  <si>
    <t>Result</t>
  </si>
  <si>
    <t>Epoch Length (days)</t>
  </si>
  <si>
    <t>Saturation Point</t>
  </si>
  <si>
    <t>Variables</t>
  </si>
  <si>
    <t>Comments</t>
  </si>
  <si>
    <t>Pool Size</t>
  </si>
  <si>
    <t>Pool Size (ADA)</t>
  </si>
  <si>
    <t>Operator Pledge (ADA)</t>
  </si>
  <si>
    <t>Pool Operator Pledge</t>
  </si>
  <si>
    <t>Staking Ratio</t>
  </si>
  <si>
    <t>USD/ADA Price</t>
  </si>
  <si>
    <t>Variable Pool Fees</t>
  </si>
  <si>
    <t>pledged stake influence factor</t>
  </si>
  <si>
    <t>pool's total share of the stake</t>
  </si>
  <si>
    <t>a</t>
  </si>
  <si>
    <t>b</t>
  </si>
  <si>
    <t>R/(1 + a)</t>
  </si>
  <si>
    <t xml:space="preserve">ƛ' * a  * D </t>
  </si>
  <si>
    <t>C/b</t>
  </si>
  <si>
    <t>(1-ơ'/b)</t>
  </si>
  <si>
    <t>Total Liquid Supply (ADA)</t>
  </si>
  <si>
    <t>Pool size premium</t>
  </si>
  <si>
    <t>Pledge Amount Percentile</t>
  </si>
  <si>
    <t>Pledge</t>
  </si>
  <si>
    <t>Pools</t>
  </si>
  <si>
    <t>Max.Return</t>
  </si>
  <si>
    <t>Total Staked ADA</t>
  </si>
  <si>
    <t xml:space="preserve">pledged stake share </t>
  </si>
  <si>
    <t>Annual Pool Reward (%)</t>
  </si>
  <si>
    <t>Annual Delegator Net Reward</t>
  </si>
  <si>
    <t>Pool Fixed costs (ADA/epoch)</t>
  </si>
  <si>
    <t>Reserves</t>
  </si>
  <si>
    <t>Epoch</t>
  </si>
  <si>
    <t>Days</t>
  </si>
  <si>
    <t>Date</t>
  </si>
  <si>
    <t>Decay Rate</t>
  </si>
  <si>
    <t>Total</t>
  </si>
  <si>
    <t>Cumulative Reward Distribution</t>
  </si>
  <si>
    <t>Pool Performance</t>
  </si>
  <si>
    <t>ADA in Circulation</t>
  </si>
  <si>
    <t>Earned Rewards After Treasury Tax</t>
  </si>
  <si>
    <t>Total Rewards Before Treasury Tax</t>
  </si>
  <si>
    <t xml:space="preserve">Pledge Amount </t>
  </si>
  <si>
    <t>k factor (number of desirede pools)</t>
  </si>
  <si>
    <t>rho: The Reserve Decay Parameter</t>
  </si>
  <si>
    <t>k: The Desired Number of Pools</t>
  </si>
  <si>
    <t>tau: Treasury Tax Rate</t>
  </si>
  <si>
    <t>ADA In Circulation</t>
  </si>
  <si>
    <t>Year 1</t>
  </si>
  <si>
    <t>Year 2</t>
  </si>
  <si>
    <t>Year 3</t>
  </si>
  <si>
    <t>Year 4</t>
  </si>
  <si>
    <t>Year 5</t>
  </si>
  <si>
    <t>Average Epoch Rewards Before Treasury Tax</t>
  </si>
  <si>
    <t>Pool Reward per Epoch After Taxes (ADA)</t>
  </si>
  <si>
    <t>Pool fee</t>
  </si>
  <si>
    <t>USD/ADA</t>
  </si>
  <si>
    <t>Year</t>
  </si>
  <si>
    <t>Total Pool Rewards Per Epoch After  Treasury Taxes (ADA)</t>
  </si>
  <si>
    <t>Assumptions/Inputs</t>
  </si>
  <si>
    <t>Year of Operation</t>
  </si>
  <si>
    <t>ROS After Treasury Tax, Before Pool Fees (excludes tx. Fees)</t>
  </si>
  <si>
    <t>Year End</t>
  </si>
  <si>
    <t>Tx. Fees</t>
  </si>
  <si>
    <t>Max Block Size</t>
  </si>
  <si>
    <t>Max. Tx. Size</t>
  </si>
  <si>
    <t>min. tx/block</t>
  </si>
  <si>
    <t>Active slots</t>
  </si>
  <si>
    <t>tx. Fees</t>
  </si>
  <si>
    <t>Network ROS after Treasury Tax (Including tx. Fees)</t>
  </si>
  <si>
    <t>Network ROS Before Treasury Tax</t>
  </si>
  <si>
    <t>average tx. Size (bytes)</t>
  </si>
  <si>
    <t>nOps</t>
  </si>
  <si>
    <t>variance</t>
  </si>
  <si>
    <t>Blocks</t>
  </si>
  <si>
    <t>Probability</t>
  </si>
  <si>
    <t>n (number of available blocks)</t>
  </si>
  <si>
    <t>st.deviation</t>
  </si>
  <si>
    <t>3 standard deviations</t>
  </si>
  <si>
    <t>Pool's Stake</t>
  </si>
  <si>
    <t>p (epoch probability )</t>
  </si>
  <si>
    <t>Total Blocks</t>
  </si>
  <si>
    <t xml:space="preserve">Annual Total Operator Fees </t>
  </si>
  <si>
    <t>ADA/Block</t>
  </si>
  <si>
    <t>Epoch Payouts</t>
  </si>
  <si>
    <t>Rewards</t>
  </si>
  <si>
    <t>Excess Rewards</t>
  </si>
  <si>
    <t>Active Stake</t>
  </si>
  <si>
    <t>Blocks per Epoch at d=0</t>
  </si>
  <si>
    <t>Epoch Rewards (ADA)</t>
  </si>
  <si>
    <t>Pool size</t>
  </si>
  <si>
    <t>Total Active Stake</t>
  </si>
  <si>
    <t>Total Stake</t>
  </si>
  <si>
    <t>a0</t>
  </si>
  <si>
    <t>Actual Blocks</t>
  </si>
  <si>
    <t>Performance</t>
  </si>
  <si>
    <t>d</t>
  </si>
  <si>
    <t>Chart Inputs</t>
  </si>
  <si>
    <t xml:space="preserve">Rewards After Tr.Tax </t>
  </si>
  <si>
    <t>Opt. Rewards</t>
  </si>
  <si>
    <t>Exp. Blocks</t>
  </si>
  <si>
    <t>fixed fee</t>
  </si>
  <si>
    <t>op. fees</t>
  </si>
  <si>
    <t>Pool fees</t>
  </si>
  <si>
    <t>Stakeholder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</si>
</sst>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0"/>
    <numFmt numFmtId="165" formatCode="0.00000"/>
    <numFmt numFmtId="166" formatCode="0.0"/>
    <numFmt numFmtId="167" formatCode="#,##0.00000000"/>
    <numFmt numFmtId="168" formatCode="0.0000%"/>
    <numFmt numFmtId="169" formatCode="0.0%"/>
    <numFmt numFmtId="170" formatCode="0.0000000000"/>
    <numFmt numFmtId="171" formatCode="0.00000000"/>
    <numFmt numFmtId="172" formatCode="_(* #,##0_);_(* \(#,##0\);_(* &quot;-&quot;??_);_(@_)"/>
    <numFmt numFmtId="173" formatCode="#,##0.000000"/>
    <numFmt numFmtId="174" formatCode="0.000%"/>
    <numFmt numFmtId="17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39">
    <xf numFmtId="0" fontId="0" fillId="0" borderId="0" xfId="0"/>
    <xf numFmtId="0" fontId="0" fillId="0" borderId="0" xfId="0" applyAlignment="1">
      <alignment horizontal="center"/>
    </xf>
    <xf numFmtId="3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0" fontId="0" fillId="4" borderId="0" xfId="0" applyFill="1"/>
    <xf numFmtId="0" fontId="2" fillId="0" borderId="0" xfId="0" applyFont="1" applyFill="1"/>
    <xf numFmtId="10" fontId="2" fillId="0" borderId="0" xfId="0" applyNumberFormat="1" applyFont="1" applyFill="1" applyAlignment="1">
      <alignment horizontal="center"/>
    </xf>
    <xf numFmtId="9" fontId="3" fillId="4" borderId="6" xfId="0" applyNumberFormat="1" applyFont="1" applyFill="1" applyBorder="1"/>
    <xf numFmtId="3" fontId="2" fillId="4" borderId="7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10" fontId="1" fillId="4" borderId="0" xfId="2" applyNumberFormat="1" applyFont="1" applyFill="1" applyBorder="1" applyAlignment="1">
      <alignment horizontal="center"/>
    </xf>
    <xf numFmtId="10" fontId="1" fillId="4" borderId="12" xfId="2" applyNumberFormat="1" applyFont="1" applyFill="1" applyBorder="1" applyAlignment="1">
      <alignment horizontal="center"/>
    </xf>
    <xf numFmtId="10" fontId="1" fillId="4" borderId="13" xfId="2" applyNumberFormat="1" applyFont="1" applyFill="1" applyBorder="1" applyAlignment="1">
      <alignment horizontal="center"/>
    </xf>
    <xf numFmtId="10" fontId="1" fillId="4" borderId="10" xfId="2" applyNumberFormat="1" applyFont="1" applyFill="1" applyBorder="1" applyAlignment="1">
      <alignment horizontal="center"/>
    </xf>
    <xf numFmtId="0" fontId="2" fillId="4" borderId="0" xfId="0" applyFont="1" applyFill="1"/>
    <xf numFmtId="8" fontId="0" fillId="4" borderId="0" xfId="0" applyNumberFormat="1" applyFill="1"/>
    <xf numFmtId="0" fontId="2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/>
    <xf numFmtId="4" fontId="0" fillId="4" borderId="0" xfId="0" applyNumberFormat="1" applyFill="1"/>
    <xf numFmtId="166" fontId="0" fillId="4" borderId="0" xfId="0" applyNumberFormat="1" applyFill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10" fontId="0" fillId="4" borderId="0" xfId="0" applyNumberForma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  <xf numFmtId="10" fontId="2" fillId="4" borderId="12" xfId="2" applyNumberFormat="1" applyFont="1" applyFill="1" applyBorder="1" applyAlignment="1">
      <alignment horizontal="center"/>
    </xf>
    <xf numFmtId="3" fontId="5" fillId="4" borderId="0" xfId="0" applyNumberFormat="1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9" xfId="0" applyFont="1" applyFill="1" applyBorder="1"/>
    <xf numFmtId="10" fontId="2" fillId="4" borderId="20" xfId="0" applyNumberFormat="1" applyFont="1" applyFill="1" applyBorder="1" applyAlignment="1">
      <alignment horizontal="center"/>
    </xf>
    <xf numFmtId="10" fontId="1" fillId="4" borderId="0" xfId="1" applyNumberFormat="1" applyFont="1" applyFill="1" applyBorder="1" applyAlignment="1">
      <alignment horizontal="center"/>
    </xf>
    <xf numFmtId="10" fontId="1" fillId="4" borderId="10" xfId="1" applyNumberFormat="1" applyFont="1" applyFill="1" applyBorder="1" applyAlignment="1">
      <alignment horizontal="center"/>
    </xf>
    <xf numFmtId="10" fontId="3" fillId="4" borderId="0" xfId="2" applyNumberFormat="1" applyFont="1" applyFill="1" applyBorder="1" applyAlignment="1">
      <alignment horizontal="center"/>
    </xf>
    <xf numFmtId="10" fontId="3" fillId="4" borderId="12" xfId="2" applyNumberFormat="1" applyFont="1" applyFill="1" applyBorder="1" applyAlignment="1">
      <alignment horizontal="center"/>
    </xf>
    <xf numFmtId="10" fontId="3" fillId="4" borderId="13" xfId="2" applyNumberFormat="1" applyFont="1" applyFill="1" applyBorder="1" applyAlignment="1">
      <alignment horizontal="center"/>
    </xf>
    <xf numFmtId="10" fontId="3" fillId="4" borderId="10" xfId="2" applyNumberFormat="1" applyFont="1" applyFill="1" applyBorder="1" applyAlignment="1">
      <alignment horizontal="center"/>
    </xf>
    <xf numFmtId="0" fontId="6" fillId="4" borderId="0" xfId="0" applyFont="1" applyFill="1"/>
    <xf numFmtId="9" fontId="0" fillId="4" borderId="0" xfId="0" applyNumberForma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3" fontId="5" fillId="4" borderId="0" xfId="1" applyNumberFormat="1" applyFont="1" applyFill="1" applyBorder="1" applyAlignment="1">
      <alignment horizontal="center"/>
    </xf>
    <xf numFmtId="9" fontId="5" fillId="2" borderId="22" xfId="0" applyNumberFormat="1" applyFont="1" applyFill="1" applyBorder="1" applyAlignment="1">
      <alignment horizontal="center"/>
    </xf>
    <xf numFmtId="3" fontId="3" fillId="4" borderId="6" xfId="0" applyNumberFormat="1" applyFont="1" applyFill="1" applyBorder="1"/>
    <xf numFmtId="3" fontId="1" fillId="4" borderId="0" xfId="2" applyNumberFormat="1" applyFont="1" applyFill="1" applyBorder="1" applyAlignment="1">
      <alignment horizontal="center"/>
    </xf>
    <xf numFmtId="3" fontId="1" fillId="4" borderId="0" xfId="1" applyNumberFormat="1" applyFont="1" applyFill="1" applyBorder="1" applyAlignment="1">
      <alignment horizontal="center"/>
    </xf>
    <xf numFmtId="3" fontId="1" fillId="4" borderId="10" xfId="1" applyNumberFormat="1" applyFont="1" applyFill="1" applyBorder="1" applyAlignment="1">
      <alignment horizontal="center"/>
    </xf>
    <xf numFmtId="3" fontId="1" fillId="4" borderId="10" xfId="2" applyNumberFormat="1" applyFont="1" applyFill="1" applyBorder="1" applyAlignment="1">
      <alignment horizontal="center"/>
    </xf>
    <xf numFmtId="3" fontId="6" fillId="4" borderId="0" xfId="2" applyNumberFormat="1" applyFont="1" applyFill="1" applyBorder="1" applyAlignment="1">
      <alignment horizontal="center"/>
    </xf>
    <xf numFmtId="3" fontId="6" fillId="4" borderId="10" xfId="2" applyNumberFormat="1" applyFont="1" applyFill="1" applyBorder="1" applyAlignment="1">
      <alignment horizontal="center"/>
    </xf>
    <xf numFmtId="3" fontId="6" fillId="4" borderId="12" xfId="2" applyNumberFormat="1" applyFont="1" applyFill="1" applyBorder="1" applyAlignment="1">
      <alignment horizontal="center"/>
    </xf>
    <xf numFmtId="3" fontId="6" fillId="4" borderId="13" xfId="2" applyNumberFormat="1" applyFont="1" applyFill="1" applyBorder="1" applyAlignment="1">
      <alignment horizontal="center"/>
    </xf>
    <xf numFmtId="43" fontId="3" fillId="4" borderId="0" xfId="1" applyFont="1" applyFill="1" applyBorder="1" applyAlignment="1">
      <alignment horizontal="center"/>
    </xf>
    <xf numFmtId="43" fontId="3" fillId="4" borderId="10" xfId="1" applyFont="1" applyFill="1" applyBorder="1" applyAlignment="1">
      <alignment horizontal="center"/>
    </xf>
    <xf numFmtId="43" fontId="3" fillId="4" borderId="0" xfId="1" applyNumberFormat="1" applyFont="1" applyFill="1" applyBorder="1" applyAlignment="1">
      <alignment horizontal="center"/>
    </xf>
    <xf numFmtId="10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Border="1" applyAlignment="1">
      <alignment horizontal="center"/>
    </xf>
    <xf numFmtId="10" fontId="2" fillId="4" borderId="16" xfId="0" applyNumberFormat="1" applyFont="1" applyFill="1" applyBorder="1" applyAlignment="1">
      <alignment horizontal="center"/>
    </xf>
    <xf numFmtId="10" fontId="2" fillId="4" borderId="18" xfId="0" applyNumberFormat="1" applyFont="1" applyFill="1" applyBorder="1" applyAlignment="1">
      <alignment horizontal="center"/>
    </xf>
    <xf numFmtId="3" fontId="8" fillId="2" borderId="4" xfId="1" applyNumberFormat="1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/>
    </xf>
    <xf numFmtId="3" fontId="8" fillId="2" borderId="14" xfId="0" applyNumberFormat="1" applyFont="1" applyFill="1" applyBorder="1" applyAlignment="1">
      <alignment horizontal="center"/>
    </xf>
    <xf numFmtId="8" fontId="10" fillId="4" borderId="23" xfId="0" applyNumberFormat="1" applyFont="1" applyFill="1" applyBorder="1" applyAlignment="1">
      <alignment horizontal="center"/>
    </xf>
    <xf numFmtId="9" fontId="8" fillId="4" borderId="24" xfId="0" applyNumberFormat="1" applyFont="1" applyFill="1" applyBorder="1" applyAlignment="1">
      <alignment horizontal="center"/>
    </xf>
    <xf numFmtId="3" fontId="6" fillId="4" borderId="0" xfId="0" applyNumberFormat="1" applyFont="1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10" fillId="2" borderId="22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11" fillId="4" borderId="0" xfId="3" applyNumberFormat="1" applyFill="1" applyAlignment="1">
      <alignment horizontal="center"/>
    </xf>
    <xf numFmtId="1" fontId="11" fillId="4" borderId="0" xfId="3" applyNumberFormat="1" applyFill="1" applyAlignment="1">
      <alignment horizontal="center"/>
    </xf>
    <xf numFmtId="166" fontId="11" fillId="4" borderId="0" xfId="3" applyNumberFormat="1" applyFill="1" applyAlignment="1">
      <alignment horizontal="center"/>
    </xf>
    <xf numFmtId="169" fontId="11" fillId="4" borderId="0" xfId="3" applyNumberFormat="1" applyFill="1" applyAlignment="1">
      <alignment horizontal="center"/>
    </xf>
    <xf numFmtId="3" fontId="11" fillId="4" borderId="0" xfId="3" applyNumberFormat="1" applyFill="1" applyAlignment="1">
      <alignment horizontal="center"/>
    </xf>
    <xf numFmtId="10" fontId="0" fillId="4" borderId="0" xfId="0" applyNumberFormat="1" applyFill="1"/>
    <xf numFmtId="0" fontId="2" fillId="4" borderId="21" xfId="0" applyFont="1" applyFill="1" applyBorder="1" applyAlignment="1">
      <alignment horizontal="center"/>
    </xf>
    <xf numFmtId="10" fontId="7" fillId="4" borderId="21" xfId="0" applyNumberFormat="1" applyFont="1" applyFill="1" applyBorder="1"/>
    <xf numFmtId="9" fontId="0" fillId="4" borderId="0" xfId="0" applyNumberFormat="1" applyFill="1"/>
    <xf numFmtId="14" fontId="0" fillId="4" borderId="0" xfId="0" applyNumberFormat="1" applyFill="1" applyAlignment="1">
      <alignment horizontal="center"/>
    </xf>
    <xf numFmtId="3" fontId="0" fillId="4" borderId="0" xfId="0" applyNumberFormat="1" applyFill="1"/>
    <xf numFmtId="9" fontId="3" fillId="4" borderId="0" xfId="0" applyNumberFormat="1" applyFont="1" applyFill="1" applyAlignment="1">
      <alignment horizontal="center"/>
    </xf>
    <xf numFmtId="0" fontId="3" fillId="4" borderId="0" xfId="0" applyFont="1" applyFill="1"/>
    <xf numFmtId="3" fontId="2" fillId="4" borderId="1" xfId="0" applyNumberFormat="1" applyFont="1" applyFill="1" applyBorder="1" applyAlignment="1">
      <alignment horizontal="center"/>
    </xf>
    <xf numFmtId="3" fontId="2" fillId="4" borderId="2" xfId="2" applyNumberFormat="1" applyFont="1" applyFill="1" applyBorder="1" applyAlignment="1">
      <alignment horizontal="center"/>
    </xf>
    <xf numFmtId="3" fontId="2" fillId="4" borderId="2" xfId="1" applyNumberFormat="1" applyFont="1" applyFill="1" applyBorder="1" applyAlignment="1">
      <alignment horizontal="center"/>
    </xf>
    <xf numFmtId="3" fontId="2" fillId="4" borderId="3" xfId="1" applyNumberFormat="1" applyFont="1" applyFill="1" applyBorder="1" applyAlignment="1">
      <alignment horizontal="center"/>
    </xf>
    <xf numFmtId="0" fontId="2" fillId="4" borderId="0" xfId="0" applyFont="1" applyFill="1" applyBorder="1"/>
    <xf numFmtId="165" fontId="6" fillId="4" borderId="0" xfId="0" applyNumberFormat="1" applyFont="1" applyFill="1" applyAlignment="1">
      <alignment horizontal="center"/>
    </xf>
    <xf numFmtId="164" fontId="6" fillId="4" borderId="0" xfId="0" quotePrefix="1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0" fontId="0" fillId="4" borderId="0" xfId="0" applyNumberFormat="1" applyFill="1"/>
    <xf numFmtId="171" fontId="2" fillId="4" borderId="0" xfId="0" applyNumberFormat="1" applyFont="1" applyFill="1" applyAlignment="1">
      <alignment horizontal="center"/>
    </xf>
    <xf numFmtId="169" fontId="0" fillId="4" borderId="0" xfId="0" applyNumberFormat="1" applyFill="1" applyAlignment="1">
      <alignment horizontal="center"/>
    </xf>
    <xf numFmtId="3" fontId="8" fillId="4" borderId="24" xfId="0" applyNumberFormat="1" applyFont="1" applyFill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0" fontId="2" fillId="0" borderId="0" xfId="0" applyFont="1"/>
    <xf numFmtId="0" fontId="8" fillId="2" borderId="4" xfId="0" applyNumberFormat="1" applyFont="1" applyFill="1" applyBorder="1" applyAlignment="1">
      <alignment horizontal="center"/>
    </xf>
    <xf numFmtId="1" fontId="6" fillId="4" borderId="0" xfId="0" applyNumberFormat="1" applyFont="1" applyFill="1" applyBorder="1" applyAlignment="1">
      <alignment horizontal="center"/>
    </xf>
    <xf numFmtId="2" fontId="8" fillId="4" borderId="0" xfId="0" applyNumberFormat="1" applyFont="1" applyFill="1" applyBorder="1" applyAlignment="1">
      <alignment horizontal="center"/>
    </xf>
    <xf numFmtId="4" fontId="8" fillId="2" borderId="2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72" fontId="2" fillId="0" borderId="0" xfId="1" applyNumberFormat="1" applyFont="1" applyFill="1" applyBorder="1" applyAlignment="1">
      <alignment horizontal="center"/>
    </xf>
    <xf numFmtId="0" fontId="11" fillId="0" borderId="0" xfId="3" applyFill="1" applyBorder="1"/>
    <xf numFmtId="10" fontId="11" fillId="0" borderId="0" xfId="3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8" fontId="11" fillId="0" borderId="0" xfId="3" applyNumberForma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/>
    <xf numFmtId="9" fontId="0" fillId="4" borderId="0" xfId="0" applyNumberFormat="1" applyFill="1" applyAlignment="1">
      <alignment horizontal="center"/>
    </xf>
    <xf numFmtId="174" fontId="2" fillId="4" borderId="3" xfId="0" applyNumberFormat="1" applyFont="1" applyFill="1" applyBorder="1" applyAlignment="1">
      <alignment horizontal="center"/>
    </xf>
    <xf numFmtId="173" fontId="0" fillId="4" borderId="0" xfId="0" applyNumberFormat="1" applyFill="1" applyAlignment="1">
      <alignment horizontal="center"/>
    </xf>
    <xf numFmtId="10" fontId="6" fillId="4" borderId="0" xfId="0" applyNumberFormat="1" applyFont="1" applyFill="1" applyBorder="1" applyAlignment="1">
      <alignment horizontal="center"/>
    </xf>
    <xf numFmtId="0" fontId="2" fillId="4" borderId="1" xfId="0" quotePrefix="1" applyFont="1" applyFill="1" applyBorder="1"/>
    <xf numFmtId="0" fontId="2" fillId="4" borderId="0" xfId="0" quotePrefix="1" applyFont="1" applyFill="1"/>
    <xf numFmtId="8" fontId="8" fillId="2" borderId="14" xfId="0" applyNumberFormat="1" applyFont="1" applyFill="1" applyBorder="1" applyAlignment="1">
      <alignment horizontal="center"/>
    </xf>
    <xf numFmtId="3" fontId="8" fillId="2" borderId="5" xfId="1" applyNumberFormat="1" applyFont="1" applyFill="1" applyBorder="1" applyAlignment="1">
      <alignment horizontal="center"/>
    </xf>
    <xf numFmtId="0" fontId="12" fillId="4" borderId="0" xfId="0" applyFont="1" applyFill="1"/>
    <xf numFmtId="164" fontId="14" fillId="4" borderId="0" xfId="0" applyNumberFormat="1" applyFont="1" applyFill="1" applyBorder="1" applyAlignment="1">
      <alignment horizontal="center"/>
    </xf>
    <xf numFmtId="164" fontId="14" fillId="4" borderId="0" xfId="0" applyNumberFormat="1" applyFont="1" applyFill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74" fontId="2" fillId="4" borderId="0" xfId="0" applyNumberFormat="1" applyFont="1" applyFill="1" applyBorder="1" applyAlignment="1">
      <alignment horizontal="center"/>
    </xf>
    <xf numFmtId="4" fontId="8" fillId="4" borderId="0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4" fontId="0" fillId="4" borderId="0" xfId="0" applyNumberFormat="1" applyFill="1" applyBorder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9" fontId="0" fillId="4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6" fontId="0" fillId="0" borderId="0" xfId="0" applyNumberFormat="1" applyFill="1"/>
    <xf numFmtId="6" fontId="1" fillId="0" borderId="0" xfId="2" applyNumberFormat="1" applyFont="1" applyFill="1" applyBorder="1" applyAlignment="1">
      <alignment horizontal="center"/>
    </xf>
    <xf numFmtId="6" fontId="1" fillId="0" borderId="0" xfId="1" applyNumberFormat="1" applyFont="1" applyFill="1" applyBorder="1" applyAlignment="1">
      <alignment horizontal="center"/>
    </xf>
    <xf numFmtId="6" fontId="6" fillId="0" borderId="0" xfId="2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>
      <alignment horizontal="center"/>
    </xf>
    <xf numFmtId="8" fontId="10" fillId="0" borderId="0" xfId="0" applyNumberFormat="1" applyFont="1" applyFill="1" applyBorder="1" applyAlignment="1">
      <alignment horizontal="center"/>
    </xf>
    <xf numFmtId="6" fontId="0" fillId="0" borderId="0" xfId="0" applyNumberFormat="1" applyFill="1" applyBorder="1"/>
    <xf numFmtId="9" fontId="8" fillId="0" borderId="0" xfId="0" applyNumberFormat="1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3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textRotation="255"/>
    </xf>
    <xf numFmtId="0" fontId="3" fillId="0" borderId="0" xfId="0" applyFont="1" applyFill="1"/>
    <xf numFmtId="10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175" fontId="0" fillId="0" borderId="0" xfId="0" applyNumberForma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0" fillId="0" borderId="0" xfId="0" quotePrefix="1" applyFill="1"/>
    <xf numFmtId="0" fontId="6" fillId="0" borderId="0" xfId="0" applyFont="1" applyFill="1"/>
    <xf numFmtId="1" fontId="6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6" fontId="0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6" fontId="0" fillId="0" borderId="0" xfId="0" applyNumberFormat="1" applyFill="1" applyBorder="1" applyAlignment="1">
      <alignment horizontal="center"/>
    </xf>
    <xf numFmtId="6" fontId="0" fillId="0" borderId="0" xfId="0" applyNumberFormat="1" applyFill="1" applyAlignment="1">
      <alignment horizontal="center"/>
    </xf>
    <xf numFmtId="9" fontId="0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/>
    <xf numFmtId="166" fontId="2" fillId="0" borderId="0" xfId="0" applyNumberFormat="1" applyFont="1" applyFill="1" applyBorder="1" applyAlignment="1"/>
    <xf numFmtId="3" fontId="15" fillId="2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3" fontId="2" fillId="4" borderId="0" xfId="0" applyNumberFormat="1" applyFont="1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3" fontId="0" fillId="4" borderId="7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3" fontId="0" fillId="4" borderId="9" xfId="0" applyNumberFormat="1" applyFill="1" applyBorder="1" applyAlignment="1">
      <alignment horizontal="center"/>
    </xf>
    <xf numFmtId="3" fontId="0" fillId="4" borderId="0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3" fontId="0" fillId="4" borderId="11" xfId="0" applyNumberFormat="1" applyFill="1" applyBorder="1" applyAlignment="1">
      <alignment horizontal="center"/>
    </xf>
    <xf numFmtId="3" fontId="0" fillId="4" borderId="12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164" fontId="14" fillId="4" borderId="7" xfId="0" applyNumberFormat="1" applyFont="1" applyFill="1" applyBorder="1" applyAlignment="1">
      <alignment horizontal="center"/>
    </xf>
    <xf numFmtId="165" fontId="6" fillId="4" borderId="7" xfId="0" applyNumberFormat="1" applyFont="1" applyFill="1" applyBorder="1" applyAlignment="1">
      <alignment horizontal="center"/>
    </xf>
    <xf numFmtId="164" fontId="6" fillId="4" borderId="7" xfId="0" quotePrefix="1" applyNumberFormat="1" applyFont="1" applyFill="1" applyBorder="1" applyAlignment="1">
      <alignment horizontal="center"/>
    </xf>
    <xf numFmtId="164" fontId="6" fillId="4" borderId="8" xfId="0" applyNumberFormat="1" applyFont="1" applyFill="1" applyBorder="1" applyAlignment="1">
      <alignment horizontal="center"/>
    </xf>
    <xf numFmtId="2" fontId="6" fillId="4" borderId="9" xfId="0" applyNumberFormat="1" applyFont="1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center"/>
    </xf>
    <xf numFmtId="164" fontId="6" fillId="4" borderId="0" xfId="0" quotePrefix="1" applyNumberFormat="1" applyFont="1" applyFill="1" applyBorder="1" applyAlignment="1">
      <alignment horizontal="center"/>
    </xf>
    <xf numFmtId="164" fontId="6" fillId="4" borderId="10" xfId="0" applyNumberFormat="1" applyFont="1" applyFill="1" applyBorder="1" applyAlignment="1">
      <alignment horizontal="center"/>
    </xf>
    <xf numFmtId="2" fontId="6" fillId="4" borderId="11" xfId="0" applyNumberFormat="1" applyFont="1" applyFill="1" applyBorder="1" applyAlignment="1">
      <alignment horizontal="center"/>
    </xf>
    <xf numFmtId="164" fontId="14" fillId="4" borderId="12" xfId="0" applyNumberFormat="1" applyFont="1" applyFill="1" applyBorder="1" applyAlignment="1">
      <alignment horizontal="center"/>
    </xf>
    <xf numFmtId="165" fontId="6" fillId="4" borderId="12" xfId="0" applyNumberFormat="1" applyFont="1" applyFill="1" applyBorder="1" applyAlignment="1">
      <alignment horizontal="center"/>
    </xf>
    <xf numFmtId="164" fontId="6" fillId="4" borderId="12" xfId="0" quotePrefix="1" applyNumberFormat="1" applyFont="1" applyFill="1" applyBorder="1" applyAlignment="1">
      <alignment horizontal="center"/>
    </xf>
    <xf numFmtId="164" fontId="6" fillId="4" borderId="13" xfId="0" applyNumberFormat="1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  <xf numFmtId="3" fontId="15" fillId="2" borderId="4" xfId="0" applyNumberFormat="1" applyFont="1" applyFill="1" applyBorder="1" applyAlignment="1">
      <alignment horizontal="center"/>
    </xf>
    <xf numFmtId="3" fontId="15" fillId="2" borderId="14" xfId="0" applyNumberFormat="1" applyFont="1" applyFill="1" applyBorder="1" applyAlignment="1">
      <alignment horizontal="center"/>
    </xf>
    <xf numFmtId="4" fontId="15" fillId="2" borderId="5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textRotation="255"/>
    </xf>
    <xf numFmtId="0" fontId="2" fillId="3" borderId="9" xfId="0" applyFont="1" applyFill="1" applyBorder="1" applyAlignment="1">
      <alignment horizontal="center" vertical="center" textRotation="255"/>
    </xf>
    <xf numFmtId="0" fontId="2" fillId="3" borderId="11" xfId="0" applyFont="1" applyFill="1" applyBorder="1" applyAlignment="1">
      <alignment horizontal="center" vertical="center" textRotation="255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66" fontId="2" fillId="4" borderId="1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textRotation="255"/>
    </xf>
    <xf numFmtId="0" fontId="2" fillId="3" borderId="0" xfId="0" applyFont="1" applyFill="1" applyAlignment="1">
      <alignment horizontal="center"/>
    </xf>
    <xf numFmtId="6" fontId="2" fillId="4" borderId="11" xfId="0" applyNumberFormat="1" applyFont="1" applyFill="1" applyBorder="1" applyAlignment="1">
      <alignment horizontal="center"/>
    </xf>
    <xf numFmtId="6" fontId="2" fillId="4" borderId="12" xfId="0" applyNumberFormat="1" applyFont="1" applyFill="1" applyBorder="1" applyAlignment="1">
      <alignment horizontal="center"/>
    </xf>
    <xf numFmtId="9" fontId="15" fillId="2" borderId="0" xfId="0" applyNumberFormat="1" applyFont="1" applyFill="1" applyAlignment="1">
      <alignment horizontal="center"/>
    </xf>
    <xf numFmtId="3" fontId="2" fillId="5" borderId="0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3" fontId="2" fillId="5" borderId="8" xfId="0" applyNumberFormat="1" applyFont="1" applyFill="1" applyBorder="1" applyAlignment="1">
      <alignment horizontal="center"/>
    </xf>
    <xf numFmtId="3" fontId="2" fillId="5" borderId="10" xfId="0" applyNumberFormat="1" applyFont="1" applyFill="1" applyBorder="1" applyAlignment="1">
      <alignment horizontal="center"/>
    </xf>
    <xf numFmtId="3" fontId="2" fillId="5" borderId="12" xfId="0" applyNumberFormat="1" applyFont="1" applyFill="1" applyBorder="1" applyAlignment="1">
      <alignment horizontal="center"/>
    </xf>
    <xf numFmtId="3" fontId="2" fillId="5" borderId="13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3" fontId="8" fillId="4" borderId="0" xfId="0" applyNumberFormat="1" applyFont="1" applyFill="1" applyBorder="1" applyAlignment="1">
      <alignment horizontal="center"/>
    </xf>
    <xf numFmtId="3" fontId="15" fillId="2" borderId="22" xfId="0" applyNumberFormat="1" applyFont="1" applyFill="1" applyBorder="1" applyAlignment="1">
      <alignment horizontal="center"/>
    </xf>
    <xf numFmtId="3" fontId="17" fillId="5" borderId="6" xfId="0" applyNumberFormat="1" applyFont="1" applyFill="1" applyBorder="1" applyAlignment="1">
      <alignment horizontal="center"/>
    </xf>
    <xf numFmtId="3" fontId="17" fillId="5" borderId="9" xfId="0" applyNumberFormat="1" applyFont="1" applyFill="1" applyBorder="1" applyAlignment="1">
      <alignment horizontal="center"/>
    </xf>
    <xf numFmtId="9" fontId="17" fillId="5" borderId="9" xfId="0" applyNumberFormat="1" applyFont="1" applyFill="1" applyBorder="1" applyAlignment="1">
      <alignment horizontal="center"/>
    </xf>
    <xf numFmtId="9" fontId="17" fillId="5" borderId="11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Explanatory Text" xfId="3" builtinId="53"/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1CE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Binomial Probability</a:t>
            </a:r>
            <a:r>
              <a:rPr lang="en-US" baseline="0"/>
              <a:t> </a:t>
            </a:r>
            <a:r>
              <a:rPr lang="en-US"/>
              <a:t>Distribution (VRF) </a:t>
            </a:r>
            <a:br>
              <a:rPr lang="en-US"/>
            </a:br>
            <a:r>
              <a:rPr lang="en-US"/>
              <a:t>EPOCH 212:</a:t>
            </a:r>
            <a:r>
              <a:rPr lang="en-US" baseline="0"/>
              <a:t> SKY </a:t>
            </a:r>
            <a:r>
              <a:rPr lang="en-US"/>
              <a:t># of expected</a:t>
            </a:r>
            <a:r>
              <a:rPr lang="en-US" baseline="0"/>
              <a:t> blocks </a:t>
            </a:r>
            <a:endParaRPr lang="en-US"/>
          </a:p>
        </c:rich>
      </c:tx>
      <c:layout>
        <c:manualLayout>
          <c:xMode val="edge"/>
          <c:yMode val="edge"/>
          <c:x val="0.3029744654083642"/>
          <c:y val="2.0105793828373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'Block Production'!$A$36:$A$96</c15:sqref>
                  </c15:fullRef>
                </c:ext>
              </c:extLst>
              <c:f>('Block Production'!$A$36:$A$45,'Block Production'!$A$48:$A$96)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'Block Production'!$B$36:$B$96</c15:sqref>
                  </c15:fullRef>
                </c:ext>
              </c:extLst>
              <c:f>('Block Production'!$B$36:$B$45,'Block Production'!$B$48:$B$96)</c:f>
              <c:numCache>
                <c:formatCode>0.00%</c:formatCode>
                <c:ptCount val="59"/>
                <c:pt idx="0">
                  <c:v>8.5787424742408191E-13</c:v>
                </c:pt>
                <c:pt idx="1">
                  <c:v>2.3912283567281832E-11</c:v>
                </c:pt>
                <c:pt idx="2">
                  <c:v>3.3318689539006466E-10</c:v>
                </c:pt>
                <c:pt idx="3">
                  <c:v>3.0943036026853557E-9</c:v>
                </c:pt>
                <c:pt idx="4">
                  <c:v>2.1547584123184318E-8</c:v>
                </c:pt>
                <c:pt idx="5">
                  <c:v>1.2001170280981276E-7</c:v>
                </c:pt>
                <c:pt idx="6">
                  <c:v>5.5688652001625354E-7</c:v>
                </c:pt>
                <c:pt idx="7">
                  <c:v>2.2144319602761825E-6</c:v>
                </c:pt>
                <c:pt idx="8">
                  <c:v>7.7030962307082967E-6</c:v>
                </c:pt>
                <c:pt idx="9">
                  <c:v>2.3813051651289058E-5</c:v>
                </c:pt>
                <c:pt idx="10">
                  <c:v>3.8798347935082645E-4</c:v>
                </c:pt>
                <c:pt idx="11">
                  <c:v>8.2958133101376514E-4</c:v>
                </c:pt>
                <c:pt idx="12">
                  <c:v>1.6467177892207671E-3</c:v>
                </c:pt>
                <c:pt idx="13">
                  <c:v>3.0501085179459515E-3</c:v>
                </c:pt>
                <c:pt idx="14">
                  <c:v>5.2951929317913539E-3</c:v>
                </c:pt>
                <c:pt idx="15">
                  <c:v>8.6500462652800043E-3</c:v>
                </c:pt>
                <c:pt idx="16">
                  <c:v>1.334229530051086E-2</c:v>
                </c:pt>
                <c:pt idx="17">
                  <c:v>1.949218871419426E-2</c:v>
                </c:pt>
                <c:pt idx="18">
                  <c:v>2.7046637762468788E-2</c:v>
                </c:pt>
                <c:pt idx="19">
                  <c:v>3.573350789041467E-2</c:v>
                </c:pt>
                <c:pt idx="20">
                  <c:v>4.5054025419195766E-2</c:v>
                </c:pt>
                <c:pt idx="21">
                  <c:v>5.4323198720908183E-2</c:v>
                </c:pt>
                <c:pt idx="22">
                  <c:v>6.2755613973171212E-2</c:v>
                </c:pt>
                <c:pt idx="23">
                  <c:v>6.9580886822944887E-2</c:v>
                </c:pt>
                <c:pt idx="24">
                  <c:v>7.4163952827374716E-2</c:v>
                </c:pt>
                <c:pt idx="25">
                  <c:v>7.6103426424509277E-2</c:v>
                </c:pt>
                <c:pt idx="26">
                  <c:v>7.5287020427280027E-2</c:v>
                </c:pt>
                <c:pt idx="27">
                  <c:v>7.1894363583656473E-2</c:v>
                </c:pt>
                <c:pt idx="28">
                  <c:v>6.6350637257853881E-2</c:v>
                </c:pt>
                <c:pt idx="29">
                  <c:v>5.9245267949752711E-2</c:v>
                </c:pt>
                <c:pt idx="30">
                  <c:v>5.1235701127282783E-2</c:v>
                </c:pt>
                <c:pt idx="31">
                  <c:v>4.2956258234079163E-2</c:v>
                </c:pt>
                <c:pt idx="32">
                  <c:v>3.494732279471547E-2</c:v>
                </c:pt>
                <c:pt idx="33">
                  <c:v>2.7612829454388844E-2</c:v>
                </c:pt>
                <c:pt idx="34">
                  <c:v>2.1206650999804288E-2</c:v>
                </c:pt>
                <c:pt idx="35">
                  <c:v>1.5842826158980177E-2</c:v>
                </c:pt>
                <c:pt idx="36">
                  <c:v>1.1521524306282416E-2</c:v>
                </c:pt>
                <c:pt idx="37">
                  <c:v>8.1621538840906289E-3</c:v>
                </c:pt>
                <c:pt idx="38">
                  <c:v>5.6364125517034749E-3</c:v>
                </c:pt>
                <c:pt idx="39">
                  <c:v>3.79643020777615E-3</c:v>
                </c:pt>
                <c:pt idx="40">
                  <c:v>2.4956353430518972E-3</c:v>
                </c:pt>
                <c:pt idx="41">
                  <c:v>1.6020133814552014E-3</c:v>
                </c:pt>
                <c:pt idx="42">
                  <c:v>1.0047670318675311E-3</c:v>
                </c:pt>
                <c:pt idx="43">
                  <c:v>6.1603189628761028E-4</c:v>
                </c:pt>
                <c:pt idx="44">
                  <c:v>3.6939762818308795E-4</c:v>
                </c:pt>
                <c:pt idx="45">
                  <c:v>2.1674213884455729E-4</c:v>
                </c:pt>
                <c:pt idx="46">
                  <c:v>1.2449375850702871E-4</c:v>
                </c:pt>
                <c:pt idx="47">
                  <c:v>7.0031799722954235E-5</c:v>
                </c:pt>
                <c:pt idx="48">
                  <c:v>3.859822871446303E-5</c:v>
                </c:pt>
                <c:pt idx="49">
                  <c:v>2.0851512904328676E-5</c:v>
                </c:pt>
                <c:pt idx="50">
                  <c:v>1.1045181467362338E-5</c:v>
                </c:pt>
                <c:pt idx="51">
                  <c:v>5.7389685665080539E-6</c:v>
                </c:pt>
                <c:pt idx="52">
                  <c:v>2.926005610768005E-6</c:v>
                </c:pt>
                <c:pt idx="53">
                  <c:v>1.4643527860552566E-6</c:v>
                </c:pt>
                <c:pt idx="54">
                  <c:v>7.1959660231094889E-7</c:v>
                </c:pt>
                <c:pt idx="55">
                  <c:v>3.4733120122062147E-7</c:v>
                </c:pt>
                <c:pt idx="56">
                  <c:v>1.6471891289187305E-7</c:v>
                </c:pt>
                <c:pt idx="57">
                  <c:v>7.6774537199950821E-8</c:v>
                </c:pt>
                <c:pt idx="58">
                  <c:v>3.5179508953316216E-8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B-4123-8E13-EC173EF6C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6778271"/>
        <c:axId val="340095551"/>
      </c:barChart>
      <c:catAx>
        <c:axId val="3367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Blocks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95551"/>
        <c:crosses val="autoZero"/>
        <c:auto val="1"/>
        <c:lblAlgn val="ctr"/>
        <c:lblOffset val="100"/>
        <c:noMultiLvlLbl val="0"/>
      </c:catAx>
      <c:valAx>
        <c:axId val="340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7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Reserve Emissions 2020</a:t>
            </a:r>
          </a:p>
        </c:rich>
      </c:tx>
      <c:layout>
        <c:manualLayout>
          <c:xMode val="edge"/>
          <c:yMode val="edge"/>
          <c:x val="0.40936422455718169"/>
          <c:y val="6.526151123266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472584677719967E-2"/>
          <c:y val="0.20448168039681205"/>
          <c:w val="0.91584270991681493"/>
          <c:h val="0.71544043302920635"/>
        </c:manualLayout>
      </c:layout>
      <c:areaChart>
        <c:grouping val="stacked"/>
        <c:varyColors val="0"/>
        <c:ser>
          <c:idx val="0"/>
          <c:order val="1"/>
          <c:tx>
            <c:strRef>
              <c:f>rho!$G$4</c:f>
              <c:strCache>
                <c:ptCount val="1"/>
                <c:pt idx="0">
                  <c:v>Cumulative Reward Distribution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rho!$G$8:$G$34</c:f>
              <c:numCache>
                <c:formatCode>#,##0</c:formatCode>
                <c:ptCount val="27"/>
                <c:pt idx="0">
                  <c:v>107676324</c:v>
                </c:pt>
                <c:pt idx="1">
                  <c:v>143353295.028</c:v>
                </c:pt>
                <c:pt idx="2">
                  <c:v>178923235.14291599</c:v>
                </c:pt>
                <c:pt idx="3">
                  <c:v>214386465.43748724</c:v>
                </c:pt>
                <c:pt idx="4">
                  <c:v>249743306.04117477</c:v>
                </c:pt>
                <c:pt idx="5">
                  <c:v>284994076.12305123</c:v>
                </c:pt>
                <c:pt idx="6">
                  <c:v>320139093.89468205</c:v>
                </c:pt>
                <c:pt idx="7">
                  <c:v>355178676.61299801</c:v>
                </c:pt>
                <c:pt idx="8">
                  <c:v>390113140.58315903</c:v>
                </c:pt>
                <c:pt idx="9">
                  <c:v>424942801.16140956</c:v>
                </c:pt>
                <c:pt idx="10">
                  <c:v>459667972.75792533</c:v>
                </c:pt>
                <c:pt idx="11">
                  <c:v>494288968.83965158</c:v>
                </c:pt>
                <c:pt idx="12">
                  <c:v>528806101.93313265</c:v>
                </c:pt>
                <c:pt idx="13">
                  <c:v>563219683.62733328</c:v>
                </c:pt>
                <c:pt idx="14">
                  <c:v>597530024.5764513</c:v>
                </c:pt>
                <c:pt idx="15">
                  <c:v>631737434.50272191</c:v>
                </c:pt>
                <c:pt idx="16">
                  <c:v>665842222.19921374</c:v>
                </c:pt>
                <c:pt idx="17">
                  <c:v>699844695.53261614</c:v>
                </c:pt>
                <c:pt idx="18">
                  <c:v>733745161.44601834</c:v>
                </c:pt>
                <c:pt idx="19">
                  <c:v>767543925.96168029</c:v>
                </c:pt>
                <c:pt idx="20">
                  <c:v>801241294.18379521</c:v>
                </c:pt>
                <c:pt idx="21">
                  <c:v>834837570.30124378</c:v>
                </c:pt>
                <c:pt idx="22">
                  <c:v>868333057.59034002</c:v>
                </c:pt>
                <c:pt idx="23">
                  <c:v>901728058.41756904</c:v>
                </c:pt>
                <c:pt idx="24">
                  <c:v>935022874.24231637</c:v>
                </c:pt>
                <c:pt idx="25">
                  <c:v>968217805.61958945</c:v>
                </c:pt>
                <c:pt idx="26">
                  <c:v>1001313152.2027307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E-40EF-9366-46AEBCF40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199584"/>
        <c:axId val="1501947216"/>
      </c:areaChart>
      <c:barChart>
        <c:barDir val="col"/>
        <c:grouping val="clustered"/>
        <c:varyColors val="0"/>
        <c:ser>
          <c:idx val="2"/>
          <c:order val="2"/>
          <c:tx>
            <c:strRef>
              <c:f>rho!$F$4</c:f>
              <c:strCache>
                <c:ptCount val="1"/>
                <c:pt idx="0">
                  <c:v>Epoch Payouts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cap="rnd">
              <a:gradFill>
                <a:gsLst>
                  <a:gs pos="0">
                    <a:srgbClr val="D9E3F3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rho!$F$8:$F$34</c:f>
              <c:numCache>
                <c:formatCode>#,##0</c:formatCode>
                <c:ptCount val="27"/>
                <c:pt idx="0">
                  <c:v>36000000</c:v>
                </c:pt>
                <c:pt idx="1">
                  <c:v>35892000</c:v>
                </c:pt>
                <c:pt idx="2">
                  <c:v>35784324</c:v>
                </c:pt>
                <c:pt idx="3">
                  <c:v>35676971.027999997</c:v>
                </c:pt>
                <c:pt idx="4">
                  <c:v>35569940.114916004</c:v>
                </c:pt>
                <c:pt idx="5">
                  <c:v>35463230.294571251</c:v>
                </c:pt>
                <c:pt idx="6">
                  <c:v>35356840.60368754</c:v>
                </c:pt>
                <c:pt idx="7">
                  <c:v>35250770.081876479</c:v>
                </c:pt>
                <c:pt idx="8">
                  <c:v>35145017.771630846</c:v>
                </c:pt>
                <c:pt idx="9">
                  <c:v>35039582.718315952</c:v>
                </c:pt>
                <c:pt idx="10">
                  <c:v>34934463.970161006</c:v>
                </c:pt>
                <c:pt idx="11">
                  <c:v>34829660.578250527</c:v>
                </c:pt>
                <c:pt idx="12">
                  <c:v>34725171.596515775</c:v>
                </c:pt>
                <c:pt idx="13">
                  <c:v>34620996.081726223</c:v>
                </c:pt>
                <c:pt idx="14">
                  <c:v>34517133.093481049</c:v>
                </c:pt>
                <c:pt idx="15">
                  <c:v>34413581.694200605</c:v>
                </c:pt>
                <c:pt idx="16">
                  <c:v>34310340.949118003</c:v>
                </c:pt>
                <c:pt idx="17">
                  <c:v>34207409.926270649</c:v>
                </c:pt>
                <c:pt idx="18">
                  <c:v>34104787.696491838</c:v>
                </c:pt>
                <c:pt idx="19">
                  <c:v>34002473.333402358</c:v>
                </c:pt>
                <c:pt idx="20">
                  <c:v>33900465.913402155</c:v>
                </c:pt>
                <c:pt idx="21">
                  <c:v>33798764.515661947</c:v>
                </c:pt>
                <c:pt idx="22">
                  <c:v>33697368.222114965</c:v>
                </c:pt>
                <c:pt idx="23">
                  <c:v>33596276.11744862</c:v>
                </c:pt>
                <c:pt idx="24">
                  <c:v>33495487.289096273</c:v>
                </c:pt>
                <c:pt idx="25">
                  <c:v>33395000.827228982</c:v>
                </c:pt>
                <c:pt idx="26">
                  <c:v>33294815.824747298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5-4C8F-8F05-A00CB42AA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axId val="1488439392"/>
        <c:axId val="149013944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rho!$D$4</c15:sqref>
                        </c15:formulaRef>
                      </c:ext>
                    </c:extLst>
                    <c:strCache>
                      <c:ptCount val="1"/>
                      <c:pt idx="0">
                        <c:v>Reserves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rgbClr val="0070C0"/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rho!$C$8:$C$34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213</c:v>
                      </c:pt>
                      <c:pt idx="1">
                        <c:v>214</c:v>
                      </c:pt>
                      <c:pt idx="2">
                        <c:v>215</c:v>
                      </c:pt>
                      <c:pt idx="3">
                        <c:v>216</c:v>
                      </c:pt>
                      <c:pt idx="4">
                        <c:v>217</c:v>
                      </c:pt>
                      <c:pt idx="5">
                        <c:v>218</c:v>
                      </c:pt>
                      <c:pt idx="6">
                        <c:v>219</c:v>
                      </c:pt>
                      <c:pt idx="7">
                        <c:v>220</c:v>
                      </c:pt>
                      <c:pt idx="8">
                        <c:v>221</c:v>
                      </c:pt>
                      <c:pt idx="9">
                        <c:v>222</c:v>
                      </c:pt>
                      <c:pt idx="10">
                        <c:v>223</c:v>
                      </c:pt>
                      <c:pt idx="11">
                        <c:v>224</c:v>
                      </c:pt>
                      <c:pt idx="12">
                        <c:v>225</c:v>
                      </c:pt>
                      <c:pt idx="13">
                        <c:v>226</c:v>
                      </c:pt>
                      <c:pt idx="14">
                        <c:v>227</c:v>
                      </c:pt>
                      <c:pt idx="15">
                        <c:v>228</c:v>
                      </c:pt>
                      <c:pt idx="16">
                        <c:v>229</c:v>
                      </c:pt>
                      <c:pt idx="17">
                        <c:v>230</c:v>
                      </c:pt>
                      <c:pt idx="18">
                        <c:v>231</c:v>
                      </c:pt>
                      <c:pt idx="19">
                        <c:v>232</c:v>
                      </c:pt>
                      <c:pt idx="20">
                        <c:v>233</c:v>
                      </c:pt>
                      <c:pt idx="21">
                        <c:v>234</c:v>
                      </c:pt>
                      <c:pt idx="22">
                        <c:v>235</c:v>
                      </c:pt>
                      <c:pt idx="23">
                        <c:v>236</c:v>
                      </c:pt>
                      <c:pt idx="24">
                        <c:v>237</c:v>
                      </c:pt>
                      <c:pt idx="25">
                        <c:v>238</c:v>
                      </c:pt>
                      <c:pt idx="26">
                        <c:v>239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rho!$D$5:$D$34</c15:sqref>
                        </c15:formulaRef>
                      </c:ext>
                    </c:extLst>
                    <c:numCache>
                      <c:formatCode>#,##0</c:formatCode>
                      <c:ptCount val="30"/>
                      <c:pt idx="0">
                        <c:v>12000000000</c:v>
                      </c:pt>
                      <c:pt idx="1">
                        <c:v>11964000000</c:v>
                      </c:pt>
                      <c:pt idx="2">
                        <c:v>11928108000</c:v>
                      </c:pt>
                      <c:pt idx="3">
                        <c:v>11892323676</c:v>
                      </c:pt>
                      <c:pt idx="4">
                        <c:v>11856646704.972</c:v>
                      </c:pt>
                      <c:pt idx="5">
                        <c:v>11821076764.857084</c:v>
                      </c:pt>
                      <c:pt idx="6">
                        <c:v>11785613534.562513</c:v>
                      </c:pt>
                      <c:pt idx="7">
                        <c:v>11750256693.958826</c:v>
                      </c:pt>
                      <c:pt idx="8">
                        <c:v>11715005923.876949</c:v>
                      </c:pt>
                      <c:pt idx="9">
                        <c:v>11679860906.105318</c:v>
                      </c:pt>
                      <c:pt idx="10">
                        <c:v>11644821323.387003</c:v>
                      </c:pt>
                      <c:pt idx="11">
                        <c:v>11609886859.416842</c:v>
                      </c:pt>
                      <c:pt idx="12">
                        <c:v>11575057198.838591</c:v>
                      </c:pt>
                      <c:pt idx="13">
                        <c:v>11540332027.242075</c:v>
                      </c:pt>
                      <c:pt idx="14">
                        <c:v>11505711031.160349</c:v>
                      </c:pt>
                      <c:pt idx="15">
                        <c:v>11471193898.066868</c:v>
                      </c:pt>
                      <c:pt idx="16">
                        <c:v>11436780316.372667</c:v>
                      </c:pt>
                      <c:pt idx="17">
                        <c:v>11402469975.42355</c:v>
                      </c:pt>
                      <c:pt idx="18">
                        <c:v>11368262565.497278</c:v>
                      </c:pt>
                      <c:pt idx="19">
                        <c:v>11334157777.800787</c:v>
                      </c:pt>
                      <c:pt idx="20">
                        <c:v>11300155304.467384</c:v>
                      </c:pt>
                      <c:pt idx="21">
                        <c:v>11266254838.553982</c:v>
                      </c:pt>
                      <c:pt idx="22">
                        <c:v>11232456074.038321</c:v>
                      </c:pt>
                      <c:pt idx="23">
                        <c:v>11198758705.816206</c:v>
                      </c:pt>
                      <c:pt idx="24">
                        <c:v>11165162429.698757</c:v>
                      </c:pt>
                      <c:pt idx="25">
                        <c:v>11131666942.40966</c:v>
                      </c:pt>
                      <c:pt idx="26">
                        <c:v>11098271941.582432</c:v>
                      </c:pt>
                      <c:pt idx="27">
                        <c:v>11064977125.757685</c:v>
                      </c:pt>
                      <c:pt idx="28">
                        <c:v>11031782194.380411</c:v>
                      </c:pt>
                      <c:pt idx="29">
                        <c:v>10998686847.79727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68E-40EF-9366-46AEBCF408A4}"/>
                  </c:ext>
                </c:extLst>
              </c15:ser>
            </c15:filteredBarSeries>
          </c:ext>
        </c:extLst>
      </c:barChart>
      <c:dateAx>
        <c:axId val="14884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39440"/>
        <c:crosses val="autoZero"/>
        <c:auto val="1"/>
        <c:lblOffset val="100"/>
        <c:baseTimeUnit val="days"/>
        <c:majorTimeUnit val="days"/>
        <c:minorTimeUnit val="days"/>
      </c:dateAx>
      <c:valAx>
        <c:axId val="14901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OutStanding Reward Reserves (Million ADA)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439392"/>
        <c:crosses val="autoZero"/>
        <c:crossBetween val="between"/>
        <c:dispUnits>
          <c:builtInUnit val="millions"/>
        </c:dispUnits>
      </c:valAx>
      <c:valAx>
        <c:axId val="1501947216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199584"/>
        <c:crosses val="max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98655607745382812"/>
                <c:y val="0.559794149710038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1567199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194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80790125086535"/>
          <c:y val="0.94869222747030912"/>
          <c:w val="0.41193189946631542"/>
          <c:h val="5.1307772529690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84668</xdr:colOff>
      <xdr:row>22</xdr:row>
      <xdr:rowOff>178739</xdr:rowOff>
    </xdr:from>
    <xdr:to>
      <xdr:col>24</xdr:col>
      <xdr:colOff>611482</xdr:colOff>
      <xdr:row>61</xdr:row>
      <xdr:rowOff>75259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11125-C9FE-4633-800B-0FDFF7169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57150</xdr:rowOff>
    </xdr:from>
    <xdr:to>
      <xdr:col>6</xdr:col>
      <xdr:colOff>600075</xdr:colOff>
      <xdr:row>9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063ED6-EE26-49CC-A6A3-CC773463D8E5}"/>
            </a:ext>
          </a:extLst>
        </xdr:cNvPr>
        <xdr:cNvSpPr/>
      </xdr:nvSpPr>
      <xdr:spPr>
        <a:xfrm>
          <a:off x="1257300" y="1295400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 Available Rewards:</a:t>
          </a:r>
        </a:p>
        <a:p>
          <a:pPr algn="ctr"/>
          <a:r>
            <a:rPr lang="en-US" sz="1400" b="1"/>
            <a:t>ADA 36M</a:t>
          </a:r>
        </a:p>
      </xdr:txBody>
    </xdr:sp>
    <xdr:clientData/>
  </xdr:twoCellAnchor>
  <xdr:twoCellAnchor>
    <xdr:from>
      <xdr:col>4</xdr:col>
      <xdr:colOff>104775</xdr:colOff>
      <xdr:row>19</xdr:row>
      <xdr:rowOff>114300</xdr:rowOff>
    </xdr:from>
    <xdr:to>
      <xdr:col>6</xdr:col>
      <xdr:colOff>600075</xdr:colOff>
      <xdr:row>26</xdr:row>
      <xdr:rowOff>180975</xdr:rowOff>
    </xdr:to>
    <xdr:sp macro="" textlink="">
      <xdr:nvSpPr>
        <xdr:cNvPr id="4" name="Flowchart: Merge 3">
          <a:extLst>
            <a:ext uri="{FF2B5EF4-FFF2-40B4-BE49-F238E27FC236}">
              <a16:creationId xmlns:a16="http://schemas.microsoft.com/office/drawing/2014/main" id="{0855950D-A029-450F-82D9-506449508759}"/>
            </a:ext>
          </a:extLst>
        </xdr:cNvPr>
        <xdr:cNvSpPr/>
      </xdr:nvSpPr>
      <xdr:spPr>
        <a:xfrm>
          <a:off x="2543175" y="4400550"/>
          <a:ext cx="1714500" cy="14001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Pool Reward </a:t>
          </a:r>
        </a:p>
        <a:p>
          <a:pPr algn="ctr"/>
          <a:r>
            <a:rPr lang="en-US" sz="1200" b="1"/>
            <a:t>Formula</a:t>
          </a:r>
        </a:p>
      </xdr:txBody>
    </xdr:sp>
    <xdr:clientData/>
  </xdr:twoCellAnchor>
  <xdr:twoCellAnchor>
    <xdr:from>
      <xdr:col>5</xdr:col>
      <xdr:colOff>161925</xdr:colOff>
      <xdr:row>9</xdr:row>
      <xdr:rowOff>28575</xdr:rowOff>
    </xdr:from>
    <xdr:to>
      <xdr:col>5</xdr:col>
      <xdr:colOff>371475</xdr:colOff>
      <xdr:row>10</xdr:row>
      <xdr:rowOff>133350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E44FDB2-1D50-46CA-BB52-E2F3E2DB47F2}"/>
            </a:ext>
          </a:extLst>
        </xdr:cNvPr>
        <xdr:cNvSpPr/>
      </xdr:nvSpPr>
      <xdr:spPr>
        <a:xfrm>
          <a:off x="1990725" y="2409825"/>
          <a:ext cx="20955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266699</xdr:colOff>
      <xdr:row>27</xdr:row>
      <xdr:rowOff>0</xdr:rowOff>
    </xdr:from>
    <xdr:to>
      <xdr:col>5</xdr:col>
      <xdr:colOff>438150</xdr:colOff>
      <xdr:row>29</xdr:row>
      <xdr:rowOff>66675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EEEABEFD-EE51-41D1-89EA-35F7C3DD6F91}"/>
            </a:ext>
          </a:extLst>
        </xdr:cNvPr>
        <xdr:cNvSpPr/>
      </xdr:nvSpPr>
      <xdr:spPr>
        <a:xfrm>
          <a:off x="3314699" y="5238750"/>
          <a:ext cx="171451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114300</xdr:colOff>
      <xdr:row>3</xdr:row>
      <xdr:rowOff>28575</xdr:rowOff>
    </xdr:from>
    <xdr:to>
      <xdr:col>13</xdr:col>
      <xdr:colOff>66675</xdr:colOff>
      <xdr:row>8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7560C7C-858D-4827-9F1F-07E407F552B9}"/>
            </a:ext>
          </a:extLst>
        </xdr:cNvPr>
        <xdr:cNvSpPr/>
      </xdr:nvSpPr>
      <xdr:spPr>
        <a:xfrm>
          <a:off x="4991100" y="219075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baseline="0"/>
            <a:t>Share of Live Stake:</a:t>
          </a:r>
        </a:p>
        <a:p>
          <a:pPr algn="ctr"/>
          <a:r>
            <a:rPr lang="en-US" sz="1400" b="1"/>
            <a:t>Pool</a:t>
          </a:r>
          <a:r>
            <a:rPr lang="en-US" sz="1400" b="1" baseline="0"/>
            <a:t> Stake/Live Stake</a:t>
          </a:r>
          <a:endParaRPr lang="en-US" sz="1400" b="1"/>
        </a:p>
      </xdr:txBody>
    </xdr:sp>
    <xdr:clientData/>
  </xdr:twoCellAnchor>
  <xdr:twoCellAnchor>
    <xdr:from>
      <xdr:col>10</xdr:col>
      <xdr:colOff>200025</xdr:colOff>
      <xdr:row>19</xdr:row>
      <xdr:rowOff>123825</xdr:rowOff>
    </xdr:from>
    <xdr:to>
      <xdr:col>13</xdr:col>
      <xdr:colOff>85725</xdr:colOff>
      <xdr:row>27</xdr:row>
      <xdr:rowOff>0</xdr:rowOff>
    </xdr:to>
    <xdr:sp macro="" textlink="">
      <xdr:nvSpPr>
        <xdr:cNvPr id="10" name="Flowchart: Merge 9">
          <a:extLst>
            <a:ext uri="{FF2B5EF4-FFF2-40B4-BE49-F238E27FC236}">
              <a16:creationId xmlns:a16="http://schemas.microsoft.com/office/drawing/2014/main" id="{146C707F-7B38-4EE3-848C-21B5728AA4BD}"/>
            </a:ext>
          </a:extLst>
        </xdr:cNvPr>
        <xdr:cNvSpPr/>
      </xdr:nvSpPr>
      <xdr:spPr>
        <a:xfrm>
          <a:off x="6296025" y="3838575"/>
          <a:ext cx="1714500" cy="1400175"/>
        </a:xfrm>
        <a:prstGeom prst="flowChartMerg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VRF Function</a:t>
          </a:r>
        </a:p>
      </xdr:txBody>
    </xdr:sp>
    <xdr:clientData/>
  </xdr:twoCellAnchor>
  <xdr:twoCellAnchor>
    <xdr:from>
      <xdr:col>11</xdr:col>
      <xdr:colOff>276225</xdr:colOff>
      <xdr:row>8</xdr:row>
      <xdr:rowOff>161925</xdr:rowOff>
    </xdr:from>
    <xdr:to>
      <xdr:col>11</xdr:col>
      <xdr:colOff>485775</xdr:colOff>
      <xdr:row>10</xdr:row>
      <xdr:rowOff>76200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EEF10CED-24E8-43FC-A137-13928B0CF6B6}"/>
            </a:ext>
          </a:extLst>
        </xdr:cNvPr>
        <xdr:cNvSpPr/>
      </xdr:nvSpPr>
      <xdr:spPr>
        <a:xfrm>
          <a:off x="6981825" y="2352675"/>
          <a:ext cx="209550" cy="2952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10</xdr:row>
      <xdr:rowOff>142875</xdr:rowOff>
    </xdr:from>
    <xdr:to>
      <xdr:col>6</xdr:col>
      <xdr:colOff>581025</xdr:colOff>
      <xdr:row>16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B4B9762-8E46-47D1-A1BD-07F5CCCC433A}"/>
            </a:ext>
          </a:extLst>
        </xdr:cNvPr>
        <xdr:cNvSpPr/>
      </xdr:nvSpPr>
      <xdr:spPr>
        <a:xfrm>
          <a:off x="1238250" y="2714625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</a:t>
          </a:r>
          <a:r>
            <a:rPr lang="en-US" sz="1400" b="1" baseline="0"/>
            <a:t> Rewards After Tr. Taxes</a:t>
          </a:r>
          <a:r>
            <a:rPr lang="en-US" sz="1400" b="1"/>
            <a:t>:</a:t>
          </a:r>
        </a:p>
        <a:p>
          <a:pPr algn="ctr"/>
          <a:r>
            <a:rPr lang="en-US" sz="1400" b="1"/>
            <a:t>ADA 28.8M</a:t>
          </a:r>
        </a:p>
      </xdr:txBody>
    </xdr:sp>
    <xdr:clientData/>
  </xdr:twoCellAnchor>
  <xdr:twoCellAnchor>
    <xdr:from>
      <xdr:col>6</xdr:col>
      <xdr:colOff>532039</xdr:colOff>
      <xdr:row>32</xdr:row>
      <xdr:rowOff>92529</xdr:rowOff>
    </xdr:from>
    <xdr:to>
      <xdr:col>10</xdr:col>
      <xdr:colOff>236764</xdr:colOff>
      <xdr:row>40</xdr:row>
      <xdr:rowOff>159204</xdr:rowOff>
    </xdr:to>
    <xdr:sp macro="" textlink="">
      <xdr:nvSpPr>
        <xdr:cNvPr id="20" name="Callout: Down Arrow 19">
          <a:extLst>
            <a:ext uri="{FF2B5EF4-FFF2-40B4-BE49-F238E27FC236}">
              <a16:creationId xmlns:a16="http://schemas.microsoft.com/office/drawing/2014/main" id="{BA400066-01C6-4FF4-9551-D76C40C1B2A2}"/>
            </a:ext>
          </a:extLst>
        </xdr:cNvPr>
        <xdr:cNvSpPr/>
      </xdr:nvSpPr>
      <xdr:spPr>
        <a:xfrm>
          <a:off x="4254953" y="6155872"/>
          <a:ext cx="2186668" cy="1547132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</a:t>
          </a:r>
        </a:p>
        <a:p>
          <a:pPr algn="l"/>
          <a:r>
            <a:rPr lang="en-US" sz="1100" baseline="0"/>
            <a:t>         </a:t>
          </a:r>
        </a:p>
        <a:p>
          <a:pPr algn="l"/>
          <a:r>
            <a:rPr lang="en-US" sz="1100" b="1" baseline="0"/>
            <a:t>             Performance evaluation</a:t>
          </a:r>
        </a:p>
        <a:p>
          <a:pPr algn="l"/>
          <a:r>
            <a:rPr lang="en-US" sz="1100" b="1"/>
            <a:t>                   vs.</a:t>
          </a:r>
          <a:r>
            <a:rPr lang="en-US" sz="1100" b="1" baseline="0"/>
            <a:t> Expected</a:t>
          </a:r>
          <a:endParaRPr lang="en-US" sz="1100" b="1"/>
        </a:p>
      </xdr:txBody>
    </xdr:sp>
    <xdr:clientData/>
  </xdr:twoCellAnchor>
  <xdr:twoCellAnchor>
    <xdr:from>
      <xdr:col>10</xdr:col>
      <xdr:colOff>123825</xdr:colOff>
      <xdr:row>10</xdr:row>
      <xdr:rowOff>76200</xdr:rowOff>
    </xdr:from>
    <xdr:to>
      <xdr:col>13</xdr:col>
      <xdr:colOff>76200</xdr:colOff>
      <xdr:row>16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F610055-8C56-4107-82A6-EABD20E942CE}"/>
            </a:ext>
          </a:extLst>
        </xdr:cNvPr>
        <xdr:cNvSpPr/>
      </xdr:nvSpPr>
      <xdr:spPr>
        <a:xfrm>
          <a:off x="6219825" y="2647950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Available Blocks= f(d</a:t>
          </a:r>
          <a:r>
            <a:rPr lang="en-US" sz="1400" b="1" baseline="0"/>
            <a:t> factor)</a:t>
          </a:r>
        </a:p>
        <a:p>
          <a:pPr algn="ctr"/>
          <a:r>
            <a:rPr lang="en-US" sz="1400" b="1" baseline="0"/>
            <a:t>2160</a:t>
          </a:r>
          <a:endParaRPr lang="en-US" sz="1400" b="1"/>
        </a:p>
      </xdr:txBody>
    </xdr:sp>
    <xdr:clientData/>
  </xdr:twoCellAnchor>
  <xdr:twoCellAnchor>
    <xdr:from>
      <xdr:col>5</xdr:col>
      <xdr:colOff>171450</xdr:colOff>
      <xdr:row>16</xdr:row>
      <xdr:rowOff>133351</xdr:rowOff>
    </xdr:from>
    <xdr:to>
      <xdr:col>5</xdr:col>
      <xdr:colOff>361950</xdr:colOff>
      <xdr:row>19</xdr:row>
      <xdr:rowOff>114300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DA1DBCD6-31EB-4C83-B1A3-0BCCE538EDC3}"/>
            </a:ext>
          </a:extLst>
        </xdr:cNvPr>
        <xdr:cNvSpPr/>
      </xdr:nvSpPr>
      <xdr:spPr>
        <a:xfrm>
          <a:off x="3219450" y="3848101"/>
          <a:ext cx="190500" cy="5524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314324</xdr:colOff>
      <xdr:row>16</xdr:row>
      <xdr:rowOff>57150</xdr:rowOff>
    </xdr:from>
    <xdr:to>
      <xdr:col>11</xdr:col>
      <xdr:colOff>552449</xdr:colOff>
      <xdr:row>19</xdr:row>
      <xdr:rowOff>123825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F5A52B4F-DAE4-4F1E-99C6-C98B60C38930}"/>
            </a:ext>
          </a:extLst>
        </xdr:cNvPr>
        <xdr:cNvSpPr/>
      </xdr:nvSpPr>
      <xdr:spPr>
        <a:xfrm>
          <a:off x="7019924" y="3200400"/>
          <a:ext cx="238125" cy="6381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352425</xdr:colOff>
      <xdr:row>27</xdr:row>
      <xdr:rowOff>9526</xdr:rowOff>
    </xdr:from>
    <xdr:to>
      <xdr:col>11</xdr:col>
      <xdr:colOff>542925</xdr:colOff>
      <xdr:row>29</xdr:row>
      <xdr:rowOff>95250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1BDE40D0-E082-435D-B3B3-D73308E77672}"/>
            </a:ext>
          </a:extLst>
        </xdr:cNvPr>
        <xdr:cNvSpPr/>
      </xdr:nvSpPr>
      <xdr:spPr>
        <a:xfrm>
          <a:off x="7058025" y="5295901"/>
          <a:ext cx="190500" cy="466724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29</xdr:row>
      <xdr:rowOff>85725</xdr:rowOff>
    </xdr:from>
    <xdr:to>
      <xdr:col>13</xdr:col>
      <xdr:colOff>371475</xdr:colOff>
      <xdr:row>40</xdr:row>
      <xdr:rowOff>9525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857018B-1E3F-4DF4-97F4-6E4071F756EA}"/>
            </a:ext>
          </a:extLst>
        </xdr:cNvPr>
        <xdr:cNvSpPr/>
      </xdr:nvSpPr>
      <xdr:spPr>
        <a:xfrm>
          <a:off x="6115050" y="5705475"/>
          <a:ext cx="2181225" cy="20193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endParaRPr lang="en-US" sz="1400" b="1"/>
        </a:p>
        <a:p>
          <a:pPr algn="ctr"/>
          <a:r>
            <a:rPr lang="en-US" sz="1400" b="1"/>
            <a:t>Assigned Blocks</a:t>
          </a:r>
        </a:p>
      </xdr:txBody>
    </xdr:sp>
    <xdr:clientData/>
  </xdr:twoCellAnchor>
  <xdr:twoCellAnchor>
    <xdr:from>
      <xdr:col>3</xdr:col>
      <xdr:colOff>504825</xdr:colOff>
      <xdr:row>29</xdr:row>
      <xdr:rowOff>57150</xdr:rowOff>
    </xdr:from>
    <xdr:to>
      <xdr:col>7</xdr:col>
      <xdr:colOff>247650</xdr:colOff>
      <xdr:row>40</xdr:row>
      <xdr:rowOff>9525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0E62DF1-3719-492C-BD15-F9B2925971EE}"/>
            </a:ext>
          </a:extLst>
        </xdr:cNvPr>
        <xdr:cNvSpPr/>
      </xdr:nvSpPr>
      <xdr:spPr>
        <a:xfrm>
          <a:off x="2333625" y="5676900"/>
          <a:ext cx="2181225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400" b="1"/>
            <a:t>Available</a:t>
          </a:r>
          <a:r>
            <a:rPr lang="en-US" sz="1400" b="1" baseline="0"/>
            <a:t> Reward</a:t>
          </a:r>
        </a:p>
        <a:p>
          <a:pPr algn="ctr"/>
          <a:r>
            <a:rPr lang="en-US" sz="1400" b="1" baseline="0"/>
            <a:t> for a pool</a:t>
          </a:r>
          <a:endParaRPr lang="en-US" sz="1400" b="1"/>
        </a:p>
      </xdr:txBody>
    </xdr:sp>
    <xdr:clientData/>
  </xdr:twoCellAnchor>
  <xdr:twoCellAnchor>
    <xdr:from>
      <xdr:col>7</xdr:col>
      <xdr:colOff>65314</xdr:colOff>
      <xdr:row>41</xdr:row>
      <xdr:rowOff>13607</xdr:rowOff>
    </xdr:from>
    <xdr:to>
      <xdr:col>10</xdr:col>
      <xdr:colOff>93889</xdr:colOff>
      <xdr:row>50</xdr:row>
      <xdr:rowOff>42182</xdr:rowOff>
    </xdr:to>
    <xdr:sp macro="" textlink="">
      <xdr:nvSpPr>
        <xdr:cNvPr id="23" name="Partial Circle 22">
          <a:extLst>
            <a:ext uri="{FF2B5EF4-FFF2-40B4-BE49-F238E27FC236}">
              <a16:creationId xmlns:a16="http://schemas.microsoft.com/office/drawing/2014/main" id="{F41B731B-4F1C-4BCC-858C-3FEB86222389}"/>
            </a:ext>
          </a:extLst>
        </xdr:cNvPr>
        <xdr:cNvSpPr/>
      </xdr:nvSpPr>
      <xdr:spPr>
        <a:xfrm>
          <a:off x="4408714" y="7742464"/>
          <a:ext cx="1890032" cy="1694089"/>
        </a:xfrm>
        <a:prstGeom prst="pi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chemeClr val="tx1"/>
              </a:solidFill>
            </a:rPr>
            <a:t>Total Actual Pool</a:t>
          </a:r>
          <a:r>
            <a:rPr lang="en-US" sz="1100" b="1" baseline="0">
              <a:solidFill>
                <a:schemeClr val="tx1"/>
              </a:solidFill>
            </a:rPr>
            <a:t> Rewards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417739</xdr:colOff>
      <xdr:row>11</xdr:row>
      <xdr:rowOff>83005</xdr:rowOff>
    </xdr:from>
    <xdr:to>
      <xdr:col>8</xdr:col>
      <xdr:colOff>384402</xdr:colOff>
      <xdr:row>40</xdr:row>
      <xdr:rowOff>159205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27509F1-DFD0-4906-9622-800BA0E3E8AC}"/>
            </a:ext>
          </a:extLst>
        </xdr:cNvPr>
        <xdr:cNvCxnSpPr>
          <a:stCxn id="20" idx="2"/>
        </xdr:cNvCxnSpPr>
      </xdr:nvCxnSpPr>
      <xdr:spPr>
        <a:xfrm rot="5400000" flipH="1">
          <a:off x="471828" y="2826545"/>
          <a:ext cx="5442857" cy="4310063"/>
        </a:xfrm>
        <a:prstGeom prst="bentConnector3">
          <a:avLst>
            <a:gd name="adj1" fmla="val 34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7</xdr:row>
      <xdr:rowOff>142875</xdr:rowOff>
    </xdr:from>
    <xdr:to>
      <xdr:col>2</xdr:col>
      <xdr:colOff>457199</xdr:colOff>
      <xdr:row>11</xdr:row>
      <xdr:rowOff>19050</xdr:rowOff>
    </xdr:to>
    <xdr:sp macro="" textlink="">
      <xdr:nvSpPr>
        <xdr:cNvPr id="47" name="Frame 46">
          <a:extLst>
            <a:ext uri="{FF2B5EF4-FFF2-40B4-BE49-F238E27FC236}">
              <a16:creationId xmlns:a16="http://schemas.microsoft.com/office/drawing/2014/main" id="{B041DC9E-B15B-4777-AF7E-0CE912D81146}"/>
            </a:ext>
          </a:extLst>
        </xdr:cNvPr>
        <xdr:cNvSpPr/>
      </xdr:nvSpPr>
      <xdr:spPr>
        <a:xfrm>
          <a:off x="342900" y="1571625"/>
          <a:ext cx="1333499" cy="6858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593913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28CD0-EF6D-4D0E-863A-B5682B910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451412" cy="800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409574</xdr:colOff>
      <xdr:row>41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FC9E2-E13A-4F72-8CF0-DDE9491DE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21C-EC63-427C-89FB-000C12D7D2E3}">
  <dimension ref="A1:AG96"/>
  <sheetViews>
    <sheetView tabSelected="1" zoomScale="81" zoomScaleNormal="81" workbookViewId="0">
      <selection activeCell="C2" sqref="C2"/>
    </sheetView>
  </sheetViews>
  <sheetFormatPr defaultRowHeight="14.4" x14ac:dyDescent="0.3"/>
  <cols>
    <col min="1" max="1" width="27.109375" bestFit="1" customWidth="1"/>
    <col min="2" max="2" width="20.21875" style="1" bestFit="1" customWidth="1"/>
    <col min="3" max="3" width="15.77734375" style="6" customWidth="1"/>
    <col min="4" max="4" width="9.88671875" style="31" bestFit="1" customWidth="1"/>
    <col min="5" max="5" width="16.109375" style="31" customWidth="1"/>
    <col min="6" max="6" width="7.44140625" style="31" bestFit="1" customWidth="1"/>
    <col min="7" max="7" width="12.109375" style="31" bestFit="1" customWidth="1"/>
    <col min="8" max="10" width="12.109375" style="31" customWidth="1"/>
    <col min="11" max="11" width="17.77734375" style="31" bestFit="1" customWidth="1"/>
    <col min="12" max="12" width="10.5546875" style="31" bestFit="1" customWidth="1"/>
    <col min="13" max="13" width="2.33203125" style="31" customWidth="1"/>
    <col min="14" max="14" width="12.88671875" style="31" bestFit="1" customWidth="1"/>
    <col min="15" max="15" width="14.6640625" style="31" bestFit="1" customWidth="1"/>
    <col min="16" max="16" width="11.88671875" style="31" bestFit="1" customWidth="1"/>
    <col min="17" max="17" width="2.5546875" customWidth="1"/>
    <col min="19" max="19" width="8.88671875" style="6"/>
    <col min="20" max="20" width="8.88671875" style="31"/>
    <col min="21" max="27" width="9.109375" style="31"/>
    <col min="28" max="33" width="9.109375" style="6"/>
  </cols>
  <sheetData>
    <row r="1" spans="1:33" s="104" customFormat="1" ht="15" thickBot="1" x14ac:dyDescent="0.35">
      <c r="A1" s="3" t="s">
        <v>55</v>
      </c>
      <c r="B1" s="143" t="s">
        <v>121</v>
      </c>
      <c r="C1" s="3" t="s">
        <v>115</v>
      </c>
      <c r="D1" s="3" t="s">
        <v>113</v>
      </c>
      <c r="E1" s="3" t="s">
        <v>114</v>
      </c>
      <c r="F1" s="3" t="s">
        <v>46</v>
      </c>
      <c r="G1" s="3" t="s">
        <v>117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106</v>
      </c>
      <c r="M1" s="3"/>
      <c r="N1" s="3" t="s">
        <v>122</v>
      </c>
      <c r="O1" s="3" t="s">
        <v>123</v>
      </c>
      <c r="P1" s="3" t="s">
        <v>118</v>
      </c>
      <c r="Q1" s="17"/>
      <c r="R1" s="208" t="s">
        <v>0</v>
      </c>
      <c r="S1" s="208" t="s">
        <v>116</v>
      </c>
      <c r="T1" s="3" t="s">
        <v>119</v>
      </c>
      <c r="U1" s="144" t="s">
        <v>3</v>
      </c>
      <c r="V1" s="144" t="s">
        <v>5</v>
      </c>
      <c r="W1" s="3" t="s">
        <v>38</v>
      </c>
      <c r="X1" s="144" t="s">
        <v>6</v>
      </c>
      <c r="Y1" s="3" t="s">
        <v>9</v>
      </c>
      <c r="AC1" s="17"/>
      <c r="AD1" s="17"/>
      <c r="AE1" s="17"/>
      <c r="AF1" s="17"/>
      <c r="AG1" s="17"/>
    </row>
    <row r="2" spans="1:33" ht="15" thickBot="1" x14ac:dyDescent="0.35">
      <c r="A2" s="31">
        <v>211</v>
      </c>
      <c r="B2" s="30">
        <f>rho!E6 * (1-tr_tax)</f>
        <v>28800000</v>
      </c>
      <c r="C2" s="234">
        <f>150 * 220000000</f>
        <v>33000000000</v>
      </c>
      <c r="D2" s="182">
        <v>76550000</v>
      </c>
      <c r="E2" s="182">
        <v>10177000000</v>
      </c>
      <c r="F2" s="182">
        <v>250000</v>
      </c>
      <c r="G2" s="141">
        <v>16</v>
      </c>
      <c r="H2" s="141">
        <v>340</v>
      </c>
      <c r="I2" s="225">
        <v>0.05</v>
      </c>
      <c r="J2" s="235">
        <f>P2*N2 *I2 +H2</f>
        <v>2910.3845936398311</v>
      </c>
      <c r="K2" s="227">
        <f>P2*N2-J2</f>
        <v>48497.30727915679</v>
      </c>
      <c r="L2" s="228">
        <f>K2/G2</f>
        <v>3031.0817049472994</v>
      </c>
      <c r="M2" s="184"/>
      <c r="N2" s="185">
        <f>(((X2-((1-X2/W2)*Y2))/W2*Y2*S2)+X2) * B2/(1+S2)</f>
        <v>51407.691872796619</v>
      </c>
      <c r="O2" s="186">
        <f>D2/E2 * 21600 * (1-T2)</f>
        <v>16.247224132848576</v>
      </c>
      <c r="P2" s="187">
        <f>IF(T2&gt;=0.8,1,G2/O2)</f>
        <v>1</v>
      </c>
      <c r="Q2" s="6"/>
      <c r="R2" s="141">
        <v>150</v>
      </c>
      <c r="S2" s="141">
        <v>0.3</v>
      </c>
      <c r="T2" s="194">
        <v>0.9</v>
      </c>
      <c r="U2" s="195">
        <f>F2/C2</f>
        <v>7.5757575757575756E-6</v>
      </c>
      <c r="V2" s="195">
        <f>D2/C2</f>
        <v>2.3196969696969699E-3</v>
      </c>
      <c r="W2" s="196">
        <f t="shared" ref="W2:W21" si="0">1/R2</f>
        <v>6.6666666666666671E-3</v>
      </c>
      <c r="X2" s="197">
        <f>MIN(V2,W2)</f>
        <v>2.3196969696969699E-3</v>
      </c>
      <c r="Y2" s="198">
        <f>MIN(U2,W2)</f>
        <v>7.5757575757575756E-6</v>
      </c>
    </row>
    <row r="3" spans="1:33" x14ac:dyDescent="0.3">
      <c r="A3" s="31">
        <v>212</v>
      </c>
      <c r="B3" s="30">
        <f>rho!E7 * (1-tr_tax)</f>
        <v>28713600</v>
      </c>
      <c r="C3" s="30">
        <f t="shared" ref="C3:C21" si="1">C2+(B2/(1-tr_tax))</f>
        <v>33036000000</v>
      </c>
      <c r="D3" s="182">
        <v>77590000</v>
      </c>
      <c r="E3" s="182">
        <v>12100000000</v>
      </c>
      <c r="F3" s="182">
        <v>250000</v>
      </c>
      <c r="G3" s="141">
        <v>1</v>
      </c>
      <c r="H3" s="141">
        <v>340</v>
      </c>
      <c r="I3" s="225">
        <v>0.05</v>
      </c>
      <c r="J3" s="236">
        <f>P3*N3 *I3 +H3</f>
        <v>2934.6581821928175</v>
      </c>
      <c r="K3" s="226">
        <f>P3*N3-J3</f>
        <v>48958.505461663532</v>
      </c>
      <c r="L3" s="229">
        <f>K3/G3</f>
        <v>48958.505461663532</v>
      </c>
      <c r="M3" s="184"/>
      <c r="N3" s="188">
        <f>(((X3-((1-X3/W3)*Y3))/W3*Y3*S3)+X3) * B3/(1+S3)</f>
        <v>51893.163643856351</v>
      </c>
      <c r="O3" s="189">
        <f>D3/E3 * 21600 * (1-T3)</f>
        <v>27.701553719008263</v>
      </c>
      <c r="P3" s="190">
        <f>IF(T3&gt;=0.8,1,G3/O3)</f>
        <v>1</v>
      </c>
      <c r="Q3" s="6"/>
      <c r="R3" s="141">
        <v>150</v>
      </c>
      <c r="S3" s="141">
        <v>0.3</v>
      </c>
      <c r="T3" s="199">
        <v>0.8</v>
      </c>
      <c r="U3" s="130">
        <f>F3/C3</f>
        <v>7.5675021189005936E-6</v>
      </c>
      <c r="V3" s="130">
        <f>D3/C3</f>
        <v>2.3486499576219882E-3</v>
      </c>
      <c r="W3" s="200">
        <f t="shared" si="0"/>
        <v>6.6666666666666671E-3</v>
      </c>
      <c r="X3" s="201">
        <f t="shared" ref="X3:X16" si="2">MIN(V3,W3)</f>
        <v>2.3486499576219882E-3</v>
      </c>
      <c r="Y3" s="202">
        <f t="shared" ref="Y3:Y16" si="3">MIN(U3,W3)</f>
        <v>7.5675021189005936E-6</v>
      </c>
    </row>
    <row r="4" spans="1:33" x14ac:dyDescent="0.3">
      <c r="A4" s="31">
        <v>213</v>
      </c>
      <c r="B4" s="30">
        <f>rho!E8 * (1-tr_tax)</f>
        <v>28627459.200000003</v>
      </c>
      <c r="C4" s="30">
        <f t="shared" si="1"/>
        <v>33071892000</v>
      </c>
      <c r="D4" s="182"/>
      <c r="E4" s="182"/>
      <c r="F4" s="182"/>
      <c r="G4" s="141"/>
      <c r="H4" s="141">
        <v>340</v>
      </c>
      <c r="I4" s="225">
        <v>0.05</v>
      </c>
      <c r="J4" s="237"/>
      <c r="K4" s="226" t="e">
        <f>P4*N4-J4</f>
        <v>#DIV/0!</v>
      </c>
      <c r="L4" s="229" t="e">
        <f>K4/G4</f>
        <v>#DIV/0!</v>
      </c>
      <c r="M4" s="184"/>
      <c r="N4" s="188">
        <f>(((X4-((1-X4/W4)*Y4))/W4*Y4*S4)+X4) * B4/(1+S4)</f>
        <v>0</v>
      </c>
      <c r="O4" s="189" t="e">
        <f>D4/E4 * 21600 * (1-T4)</f>
        <v>#DIV/0!</v>
      </c>
      <c r="P4" s="190" t="e">
        <f>IF(T4&gt;=0.8,1,G4/O4)</f>
        <v>#DIV/0!</v>
      </c>
      <c r="Q4" s="6"/>
      <c r="R4" s="141">
        <v>150</v>
      </c>
      <c r="S4" s="141">
        <v>0.3</v>
      </c>
      <c r="T4" s="199">
        <v>0.78</v>
      </c>
      <c r="U4" s="130">
        <f>F4/C4</f>
        <v>0</v>
      </c>
      <c r="V4" s="130">
        <f>D4/C4</f>
        <v>0</v>
      </c>
      <c r="W4" s="200">
        <f t="shared" si="0"/>
        <v>6.6666666666666671E-3</v>
      </c>
      <c r="X4" s="201">
        <f t="shared" si="2"/>
        <v>0</v>
      </c>
      <c r="Y4" s="202">
        <f t="shared" si="3"/>
        <v>0</v>
      </c>
    </row>
    <row r="5" spans="1:33" x14ac:dyDescent="0.3">
      <c r="A5" s="31">
        <v>214</v>
      </c>
      <c r="B5" s="30">
        <f>rho!E9 * (1-tr_tax)</f>
        <v>28541576.8224</v>
      </c>
      <c r="C5" s="30">
        <f t="shared" si="1"/>
        <v>33107676324</v>
      </c>
      <c r="D5" s="145"/>
      <c r="E5" s="182"/>
      <c r="F5" s="182"/>
      <c r="G5" s="141"/>
      <c r="H5" s="141">
        <v>340</v>
      </c>
      <c r="I5" s="225">
        <v>0.05</v>
      </c>
      <c r="J5" s="237"/>
      <c r="K5" s="226" t="e">
        <f>P5*N5-J5</f>
        <v>#DIV/0!</v>
      </c>
      <c r="L5" s="229" t="e">
        <f>K5/G5</f>
        <v>#DIV/0!</v>
      </c>
      <c r="M5" s="184"/>
      <c r="N5" s="188">
        <f>(((X5-((1-X5/W5)*Y5))/W5*Y5*S5)+X5) * B5/(1+S5)</f>
        <v>0</v>
      </c>
      <c r="O5" s="189" t="e">
        <f>D5/E5 * 21600 * (1-T5)</f>
        <v>#DIV/0!</v>
      </c>
      <c r="P5" s="190" t="e">
        <f>IF(OR(A5=212, A5=211),1,G5/O5)</f>
        <v>#DIV/0!</v>
      </c>
      <c r="Q5" s="6"/>
      <c r="R5" s="141">
        <v>150</v>
      </c>
      <c r="S5" s="141">
        <v>0.3</v>
      </c>
      <c r="T5" s="199">
        <f>T4-0.02</f>
        <v>0.76</v>
      </c>
      <c r="U5" s="130">
        <f>F5/C5</f>
        <v>0</v>
      </c>
      <c r="V5" s="130">
        <f>D5/C5</f>
        <v>0</v>
      </c>
      <c r="W5" s="200">
        <f t="shared" si="0"/>
        <v>6.6666666666666671E-3</v>
      </c>
      <c r="X5" s="201">
        <f t="shared" si="2"/>
        <v>0</v>
      </c>
      <c r="Y5" s="202">
        <f t="shared" si="3"/>
        <v>0</v>
      </c>
    </row>
    <row r="6" spans="1:33" x14ac:dyDescent="0.3">
      <c r="A6" s="31">
        <v>215</v>
      </c>
      <c r="B6" s="30">
        <f>rho!E10 * (1-tr_tax)</f>
        <v>28455952.091932803</v>
      </c>
      <c r="C6" s="30">
        <f t="shared" si="1"/>
        <v>33143353295.028</v>
      </c>
      <c r="D6" s="145"/>
      <c r="E6" s="182"/>
      <c r="F6" s="182"/>
      <c r="G6" s="141"/>
      <c r="H6" s="141">
        <v>340</v>
      </c>
      <c r="I6" s="225">
        <v>0.05</v>
      </c>
      <c r="J6" s="237"/>
      <c r="K6" s="226" t="e">
        <f>P6*N6-J6</f>
        <v>#DIV/0!</v>
      </c>
      <c r="L6" s="229" t="e">
        <f>K6/G6</f>
        <v>#DIV/0!</v>
      </c>
      <c r="M6" s="184"/>
      <c r="N6" s="188">
        <f>(((X6-((1-X6/W6)*Y6))/W6*Y6*S6)+X6) * B6/(1+S6)</f>
        <v>0</v>
      </c>
      <c r="O6" s="189" t="e">
        <f>D6/E6 * 21600 * (1-T6)</f>
        <v>#DIV/0!</v>
      </c>
      <c r="P6" s="190" t="e">
        <f>IF(OR(A6=212, A6=211),1,G6/O6)</f>
        <v>#DIV/0!</v>
      </c>
      <c r="Q6" s="6"/>
      <c r="R6" s="141">
        <v>150</v>
      </c>
      <c r="S6" s="141">
        <v>0.3</v>
      </c>
      <c r="T6" s="199">
        <f t="shared" ref="T6:T18" si="4">T5-0.02</f>
        <v>0.74</v>
      </c>
      <c r="U6" s="130">
        <f>F6/C6</f>
        <v>0</v>
      </c>
      <c r="V6" s="130">
        <f>D6/C6</f>
        <v>0</v>
      </c>
      <c r="W6" s="200">
        <f t="shared" si="0"/>
        <v>6.6666666666666671E-3</v>
      </c>
      <c r="X6" s="201">
        <f t="shared" si="2"/>
        <v>0</v>
      </c>
      <c r="Y6" s="202">
        <f t="shared" si="3"/>
        <v>0</v>
      </c>
    </row>
    <row r="7" spans="1:33" x14ac:dyDescent="0.3">
      <c r="A7" s="31">
        <v>216</v>
      </c>
      <c r="B7" s="30">
        <f>rho!E11 * (1-tr_tax)</f>
        <v>28370584.235657003</v>
      </c>
      <c r="C7" s="30">
        <f t="shared" si="1"/>
        <v>33178923235.142918</v>
      </c>
      <c r="D7" s="145"/>
      <c r="E7" s="182"/>
      <c r="F7" s="182"/>
      <c r="G7" s="141"/>
      <c r="H7" s="141">
        <v>340</v>
      </c>
      <c r="I7" s="225">
        <v>0.05</v>
      </c>
      <c r="J7" s="237"/>
      <c r="K7" s="226" t="e">
        <f>P7*N7-J7</f>
        <v>#DIV/0!</v>
      </c>
      <c r="L7" s="229" t="e">
        <f>K7/G7</f>
        <v>#DIV/0!</v>
      </c>
      <c r="M7" s="184"/>
      <c r="N7" s="188">
        <f>(((X7-((1-X7/W7)*Y7))/W7*Y7*S7)+X7) * B7/(1+S7)</f>
        <v>0</v>
      </c>
      <c r="O7" s="189" t="e">
        <f>D7/E7 * 21600 * (1-T7)</f>
        <v>#DIV/0!</v>
      </c>
      <c r="P7" s="190" t="e">
        <f>IF(OR(A7=212, A7=211),1,G7/O7)</f>
        <v>#DIV/0!</v>
      </c>
      <c r="Q7" s="6"/>
      <c r="R7" s="141">
        <v>150</v>
      </c>
      <c r="S7" s="141">
        <v>0.3</v>
      </c>
      <c r="T7" s="199">
        <f t="shared" si="4"/>
        <v>0.72</v>
      </c>
      <c r="U7" s="130">
        <f>F7/C7</f>
        <v>0</v>
      </c>
      <c r="V7" s="130">
        <f>D7/C7</f>
        <v>0</v>
      </c>
      <c r="W7" s="200">
        <f t="shared" si="0"/>
        <v>6.6666666666666671E-3</v>
      </c>
      <c r="X7" s="201">
        <f t="shared" si="2"/>
        <v>0</v>
      </c>
      <c r="Y7" s="202">
        <f t="shared" si="3"/>
        <v>0</v>
      </c>
    </row>
    <row r="8" spans="1:33" x14ac:dyDescent="0.3">
      <c r="A8" s="31">
        <v>217</v>
      </c>
      <c r="B8" s="30">
        <f>rho!E12 * (1-tr_tax)</f>
        <v>28285472.482950032</v>
      </c>
      <c r="C8" s="30">
        <f t="shared" si="1"/>
        <v>33214386465.437489</v>
      </c>
      <c r="D8" s="145"/>
      <c r="E8" s="182"/>
      <c r="F8" s="182"/>
      <c r="G8" s="141"/>
      <c r="H8" s="141">
        <v>340</v>
      </c>
      <c r="I8" s="225">
        <v>0.05</v>
      </c>
      <c r="J8" s="237"/>
      <c r="K8" s="226" t="e">
        <f>P8*N8-J8</f>
        <v>#DIV/0!</v>
      </c>
      <c r="L8" s="229" t="e">
        <f>K8/G8</f>
        <v>#DIV/0!</v>
      </c>
      <c r="M8" s="184"/>
      <c r="N8" s="188">
        <f>(((X8-((1-X8/W8)*Y8))/W8*Y8*S8)+X8) * B8/(1+S8)</f>
        <v>0</v>
      </c>
      <c r="O8" s="189" t="e">
        <f>D8/E8 * 21600 * (1-T8)</f>
        <v>#DIV/0!</v>
      </c>
      <c r="P8" s="190" t="e">
        <f>IF(OR(A8=212, A8=211),1,G8/O8)</f>
        <v>#DIV/0!</v>
      </c>
      <c r="Q8" s="6"/>
      <c r="R8" s="141">
        <v>150</v>
      </c>
      <c r="S8" s="141">
        <v>0.3</v>
      </c>
      <c r="T8" s="199">
        <f t="shared" si="4"/>
        <v>0.7</v>
      </c>
      <c r="U8" s="130">
        <f>F8/C8</f>
        <v>0</v>
      </c>
      <c r="V8" s="130">
        <f>D8/C8</f>
        <v>0</v>
      </c>
      <c r="W8" s="200">
        <f t="shared" si="0"/>
        <v>6.6666666666666671E-3</v>
      </c>
      <c r="X8" s="201">
        <f t="shared" si="2"/>
        <v>0</v>
      </c>
      <c r="Y8" s="202">
        <f t="shared" si="3"/>
        <v>0</v>
      </c>
    </row>
    <row r="9" spans="1:33" x14ac:dyDescent="0.3">
      <c r="A9" s="31">
        <v>218</v>
      </c>
      <c r="B9" s="30">
        <f>rho!E13 * (1-tr_tax)</f>
        <v>28200616.065501183</v>
      </c>
      <c r="C9" s="30">
        <f t="shared" si="1"/>
        <v>33249743306.041176</v>
      </c>
      <c r="D9" s="145"/>
      <c r="E9" s="182"/>
      <c r="F9" s="182"/>
      <c r="G9" s="141"/>
      <c r="H9" s="141">
        <v>340</v>
      </c>
      <c r="I9" s="225">
        <v>0.05</v>
      </c>
      <c r="J9" s="237"/>
      <c r="K9" s="226" t="e">
        <f>P9*N9-J9</f>
        <v>#DIV/0!</v>
      </c>
      <c r="L9" s="229" t="e">
        <f>K9/G9</f>
        <v>#DIV/0!</v>
      </c>
      <c r="M9" s="184"/>
      <c r="N9" s="188">
        <f>(((X9-((1-X9/W9)*Y9))/W9*Y9*S9)+X9) * B9/(1+S9)</f>
        <v>0</v>
      </c>
      <c r="O9" s="189" t="e">
        <f>D9/E9 * 21600 * (1-T9)</f>
        <v>#DIV/0!</v>
      </c>
      <c r="P9" s="190" t="e">
        <f>IF(OR(A9=212, A9=211),1,G9/O9)</f>
        <v>#DIV/0!</v>
      </c>
      <c r="Q9" s="6"/>
      <c r="R9" s="141">
        <v>150</v>
      </c>
      <c r="S9" s="141">
        <v>0.3</v>
      </c>
      <c r="T9" s="199">
        <f t="shared" si="4"/>
        <v>0.67999999999999994</v>
      </c>
      <c r="U9" s="130">
        <f>F9/C9</f>
        <v>0</v>
      </c>
      <c r="V9" s="130">
        <f>D9/C9</f>
        <v>0</v>
      </c>
      <c r="W9" s="200">
        <f t="shared" si="0"/>
        <v>6.6666666666666671E-3</v>
      </c>
      <c r="X9" s="201">
        <f t="shared" si="2"/>
        <v>0</v>
      </c>
      <c r="Y9" s="202">
        <f t="shared" si="3"/>
        <v>0</v>
      </c>
    </row>
    <row r="10" spans="1:33" x14ac:dyDescent="0.3">
      <c r="A10" s="31">
        <v>219</v>
      </c>
      <c r="B10" s="30">
        <f>rho!E14 * (1-tr_tax)</f>
        <v>28116014.217304677</v>
      </c>
      <c r="C10" s="30">
        <f t="shared" si="1"/>
        <v>33284994076.123051</v>
      </c>
      <c r="D10" s="145"/>
      <c r="E10" s="182"/>
      <c r="F10" s="182"/>
      <c r="G10" s="141"/>
      <c r="H10" s="141">
        <v>340</v>
      </c>
      <c r="I10" s="225">
        <v>0.05</v>
      </c>
      <c r="J10" s="237"/>
      <c r="K10" s="226" t="e">
        <f>P10*N10-J10</f>
        <v>#DIV/0!</v>
      </c>
      <c r="L10" s="229" t="e">
        <f>K10/G10</f>
        <v>#DIV/0!</v>
      </c>
      <c r="M10" s="184"/>
      <c r="N10" s="188">
        <f>(((X10-((1-X10/W10)*Y10))/W10*Y10*S10)+X10) * B10/(1+S10)</f>
        <v>0</v>
      </c>
      <c r="O10" s="189" t="e">
        <f>D10/E10 * 21600 * (1-T10)</f>
        <v>#DIV/0!</v>
      </c>
      <c r="P10" s="190" t="e">
        <f>IF(OR(A10=212, A10=211),1,G10/O10)</f>
        <v>#DIV/0!</v>
      </c>
      <c r="Q10" s="6"/>
      <c r="R10" s="141">
        <v>150</v>
      </c>
      <c r="S10" s="141">
        <v>0.3</v>
      </c>
      <c r="T10" s="199">
        <f t="shared" si="4"/>
        <v>0.65999999999999992</v>
      </c>
      <c r="U10" s="130">
        <f>F10/C10</f>
        <v>0</v>
      </c>
      <c r="V10" s="130">
        <f>D10/C10</f>
        <v>0</v>
      </c>
      <c r="W10" s="200">
        <f t="shared" si="0"/>
        <v>6.6666666666666671E-3</v>
      </c>
      <c r="X10" s="201">
        <f t="shared" si="2"/>
        <v>0</v>
      </c>
      <c r="Y10" s="202">
        <f t="shared" si="3"/>
        <v>0</v>
      </c>
    </row>
    <row r="11" spans="1:33" x14ac:dyDescent="0.3">
      <c r="A11" s="31">
        <v>220</v>
      </c>
      <c r="B11" s="30">
        <f>rho!E15 * (1-tr_tax)</f>
        <v>28031666.174652763</v>
      </c>
      <c r="C11" s="30">
        <f t="shared" si="1"/>
        <v>33320139093.89468</v>
      </c>
      <c r="D11" s="145"/>
      <c r="E11" s="182"/>
      <c r="F11" s="182"/>
      <c r="G11" s="141"/>
      <c r="H11" s="141">
        <v>340</v>
      </c>
      <c r="I11" s="225">
        <v>0.05</v>
      </c>
      <c r="J11" s="237"/>
      <c r="K11" s="226" t="e">
        <f>P11*N11-J11</f>
        <v>#DIV/0!</v>
      </c>
      <c r="L11" s="229" t="e">
        <f>K11/G11</f>
        <v>#DIV/0!</v>
      </c>
      <c r="M11" s="184"/>
      <c r="N11" s="188">
        <f>(((X11-((1-X11/W11)*Y11))/W11*Y11*S11)+X11) * B11/(1+S11)</f>
        <v>0</v>
      </c>
      <c r="O11" s="189" t="e">
        <f>D11/E11 * 21600 * (1-T11)</f>
        <v>#DIV/0!</v>
      </c>
      <c r="P11" s="190" t="e">
        <f>IF(OR(A11=212, A11=211),1,G11/O11)</f>
        <v>#DIV/0!</v>
      </c>
      <c r="Q11" s="6"/>
      <c r="R11" s="141">
        <v>150</v>
      </c>
      <c r="S11" s="141">
        <v>0.3</v>
      </c>
      <c r="T11" s="199">
        <f t="shared" si="4"/>
        <v>0.6399999999999999</v>
      </c>
      <c r="U11" s="130">
        <f>F11/C11</f>
        <v>0</v>
      </c>
      <c r="V11" s="130">
        <f>D11/C11</f>
        <v>0</v>
      </c>
      <c r="W11" s="200">
        <f t="shared" si="0"/>
        <v>6.6666666666666671E-3</v>
      </c>
      <c r="X11" s="201">
        <f t="shared" si="2"/>
        <v>0</v>
      </c>
      <c r="Y11" s="202">
        <f t="shared" si="3"/>
        <v>0</v>
      </c>
    </row>
    <row r="12" spans="1:33" x14ac:dyDescent="0.3">
      <c r="A12" s="31">
        <v>221</v>
      </c>
      <c r="B12" s="30">
        <f>rho!E16 * (1-tr_tax)</f>
        <v>27947571.176128805</v>
      </c>
      <c r="C12" s="30">
        <f t="shared" si="1"/>
        <v>33355178676.612995</v>
      </c>
      <c r="D12" s="145"/>
      <c r="E12" s="182"/>
      <c r="F12" s="182"/>
      <c r="G12" s="141"/>
      <c r="H12" s="141">
        <v>340</v>
      </c>
      <c r="I12" s="225">
        <v>0.05</v>
      </c>
      <c r="J12" s="237"/>
      <c r="K12" s="226" t="e">
        <f>P12*N12-J12</f>
        <v>#DIV/0!</v>
      </c>
      <c r="L12" s="229" t="e">
        <f>K12/G12</f>
        <v>#DIV/0!</v>
      </c>
      <c r="M12" s="184"/>
      <c r="N12" s="188">
        <f>(((X12-((1-X12/W12)*Y12))/W12*Y12*S12)+X12) * B12/(1+S12)</f>
        <v>0</v>
      </c>
      <c r="O12" s="189" t="e">
        <f>D12/E12 * 21600 * (1-T12)</f>
        <v>#DIV/0!</v>
      </c>
      <c r="P12" s="190" t="e">
        <f>IF(OR(A12=212, A12=211),1,G12/O12)</f>
        <v>#DIV/0!</v>
      </c>
      <c r="Q12" s="6"/>
      <c r="R12" s="141">
        <v>150</v>
      </c>
      <c r="S12" s="141">
        <v>0.3</v>
      </c>
      <c r="T12" s="199">
        <f t="shared" si="4"/>
        <v>0.61999999999999988</v>
      </c>
      <c r="U12" s="130">
        <f>F12/C12</f>
        <v>0</v>
      </c>
      <c r="V12" s="130">
        <f>D12/C12</f>
        <v>0</v>
      </c>
      <c r="W12" s="200">
        <f t="shared" si="0"/>
        <v>6.6666666666666671E-3</v>
      </c>
      <c r="X12" s="201">
        <f t="shared" si="2"/>
        <v>0</v>
      </c>
      <c r="Y12" s="202">
        <f t="shared" si="3"/>
        <v>0</v>
      </c>
    </row>
    <row r="13" spans="1:33" x14ac:dyDescent="0.3">
      <c r="A13" s="31">
        <v>222</v>
      </c>
      <c r="B13" s="30">
        <f>rho!E17 * (1-tr_tax)</f>
        <v>27863728.462600425</v>
      </c>
      <c r="C13" s="30">
        <f t="shared" si="1"/>
        <v>33390113140.583157</v>
      </c>
      <c r="D13" s="145"/>
      <c r="E13" s="182"/>
      <c r="F13" s="182"/>
      <c r="G13" s="141"/>
      <c r="H13" s="141">
        <v>340</v>
      </c>
      <c r="I13" s="225">
        <v>0.05</v>
      </c>
      <c r="J13" s="237"/>
      <c r="K13" s="226" t="e">
        <f>P13*N13-J13</f>
        <v>#DIV/0!</v>
      </c>
      <c r="L13" s="229" t="e">
        <f>K13/G13</f>
        <v>#DIV/0!</v>
      </c>
      <c r="M13" s="184"/>
      <c r="N13" s="188">
        <f>(((X13-((1-X13/W13)*Y13))/W13*Y13*S13)+X13) * B13/(1+S13)</f>
        <v>0</v>
      </c>
      <c r="O13" s="189" t="e">
        <f>D13/E13 * 21600 * (1-T13)</f>
        <v>#DIV/0!</v>
      </c>
      <c r="P13" s="190" t="e">
        <f>IF(OR(A13=212, A13=211),1,G13/O13)</f>
        <v>#DIV/0!</v>
      </c>
      <c r="Q13" s="6"/>
      <c r="R13" s="141">
        <v>150</v>
      </c>
      <c r="S13" s="141">
        <v>0.3</v>
      </c>
      <c r="T13" s="199">
        <f t="shared" si="4"/>
        <v>0.59999999999999987</v>
      </c>
      <c r="U13" s="130">
        <f>F13/C13</f>
        <v>0</v>
      </c>
      <c r="V13" s="130">
        <f>D13/C13</f>
        <v>0</v>
      </c>
      <c r="W13" s="200">
        <f t="shared" si="0"/>
        <v>6.6666666666666671E-3</v>
      </c>
      <c r="X13" s="201">
        <f t="shared" si="2"/>
        <v>0</v>
      </c>
      <c r="Y13" s="202">
        <f t="shared" si="3"/>
        <v>0</v>
      </c>
    </row>
    <row r="14" spans="1:33" x14ac:dyDescent="0.3">
      <c r="A14" s="31">
        <v>223</v>
      </c>
      <c r="B14" s="30">
        <f>rho!E18 * (1-tr_tax)</f>
        <v>27780137.27721262</v>
      </c>
      <c r="C14" s="30">
        <f t="shared" si="1"/>
        <v>33424942801.161407</v>
      </c>
      <c r="D14" s="145"/>
      <c r="E14" s="182"/>
      <c r="F14" s="182"/>
      <c r="G14" s="141"/>
      <c r="H14" s="141">
        <v>340</v>
      </c>
      <c r="I14" s="225">
        <v>0.05</v>
      </c>
      <c r="J14" s="237"/>
      <c r="K14" s="226" t="e">
        <f>P14*N14-J14</f>
        <v>#DIV/0!</v>
      </c>
      <c r="L14" s="229" t="e">
        <f>K14/G14</f>
        <v>#DIV/0!</v>
      </c>
      <c r="M14" s="184"/>
      <c r="N14" s="188">
        <f>(((X14-((1-X14/W14)*Y14))/W14*Y14*S14)+X14) * B14/(1+S14)</f>
        <v>0</v>
      </c>
      <c r="O14" s="189" t="e">
        <f>D14/E14 * 21600 * (1-T14)</f>
        <v>#DIV/0!</v>
      </c>
      <c r="P14" s="190" t="e">
        <f>IF(OR(A14=212, A14=211),1,G14/O14)</f>
        <v>#DIV/0!</v>
      </c>
      <c r="Q14" s="6"/>
      <c r="R14" s="141">
        <v>150</v>
      </c>
      <c r="S14" s="141">
        <v>0.3</v>
      </c>
      <c r="T14" s="199">
        <f t="shared" si="4"/>
        <v>0.57999999999999985</v>
      </c>
      <c r="U14" s="130">
        <f>F14/C14</f>
        <v>0</v>
      </c>
      <c r="V14" s="130">
        <f>D14/C14</f>
        <v>0</v>
      </c>
      <c r="W14" s="200">
        <f t="shared" si="0"/>
        <v>6.6666666666666671E-3</v>
      </c>
      <c r="X14" s="201">
        <f t="shared" si="2"/>
        <v>0</v>
      </c>
      <c r="Y14" s="202">
        <f t="shared" si="3"/>
        <v>0</v>
      </c>
    </row>
    <row r="15" spans="1:33" x14ac:dyDescent="0.3">
      <c r="A15" s="31">
        <v>224</v>
      </c>
      <c r="B15" s="30">
        <f>rho!E19 * (1-tr_tax)</f>
        <v>27696796.86538098</v>
      </c>
      <c r="C15" s="30">
        <f t="shared" si="1"/>
        <v>33459667972.757923</v>
      </c>
      <c r="D15" s="145"/>
      <c r="E15" s="182"/>
      <c r="F15" s="182"/>
      <c r="G15" s="141"/>
      <c r="H15" s="141">
        <v>340</v>
      </c>
      <c r="I15" s="225">
        <v>0.05</v>
      </c>
      <c r="J15" s="237"/>
      <c r="K15" s="226" t="e">
        <f>P15*N15-J15</f>
        <v>#DIV/0!</v>
      </c>
      <c r="L15" s="229" t="e">
        <f>K15/G15</f>
        <v>#DIV/0!</v>
      </c>
      <c r="M15" s="184"/>
      <c r="N15" s="188">
        <f>(((X15-((1-X15/W15)*Y15))/W15*Y15*S15)+X15) * B15/(1+S15)</f>
        <v>0</v>
      </c>
      <c r="O15" s="189" t="e">
        <f>D15/E15 * 21600 * (1-T15)</f>
        <v>#DIV/0!</v>
      </c>
      <c r="P15" s="190" t="e">
        <f>IF(OR(A15=212, A15=211),1,G15/O15)</f>
        <v>#DIV/0!</v>
      </c>
      <c r="Q15" s="6"/>
      <c r="R15" s="141">
        <v>150</v>
      </c>
      <c r="S15" s="141">
        <v>0.3</v>
      </c>
      <c r="T15" s="199">
        <f t="shared" si="4"/>
        <v>0.55999999999999983</v>
      </c>
      <c r="U15" s="130">
        <f>F15/C15</f>
        <v>0</v>
      </c>
      <c r="V15" s="130">
        <f>D15/C15</f>
        <v>0</v>
      </c>
      <c r="W15" s="200">
        <f t="shared" si="0"/>
        <v>6.6666666666666671E-3</v>
      </c>
      <c r="X15" s="201">
        <f t="shared" si="2"/>
        <v>0</v>
      </c>
      <c r="Y15" s="202">
        <f t="shared" si="3"/>
        <v>0</v>
      </c>
    </row>
    <row r="16" spans="1:33" x14ac:dyDescent="0.3">
      <c r="A16" s="31">
        <v>225</v>
      </c>
      <c r="B16" s="30">
        <f>rho!E20 * (1-tr_tax)</f>
        <v>27613706.47478484</v>
      </c>
      <c r="C16" s="30">
        <f t="shared" si="1"/>
        <v>33494288968.839649</v>
      </c>
      <c r="D16" s="145"/>
      <c r="E16" s="182"/>
      <c r="F16" s="182"/>
      <c r="G16" s="141"/>
      <c r="H16" s="141">
        <v>340</v>
      </c>
      <c r="I16" s="225">
        <v>0.05</v>
      </c>
      <c r="J16" s="237"/>
      <c r="K16" s="226" t="e">
        <f>P16*N16-J16</f>
        <v>#DIV/0!</v>
      </c>
      <c r="L16" s="229" t="e">
        <f>K16/G16</f>
        <v>#DIV/0!</v>
      </c>
      <c r="M16" s="184"/>
      <c r="N16" s="188">
        <f>(((X16-((1-X16/W16)*Y16))/W16*Y16*S16)+X16) * B16/(1+S16)</f>
        <v>0</v>
      </c>
      <c r="O16" s="189" t="e">
        <f>D16/E16 * 21600 * (1-T16)</f>
        <v>#DIV/0!</v>
      </c>
      <c r="P16" s="190" t="e">
        <f>IF(OR(A16=212, A16=211),1,G16/O16)</f>
        <v>#DIV/0!</v>
      </c>
      <c r="Q16" s="6"/>
      <c r="R16" s="141">
        <v>150</v>
      </c>
      <c r="S16" s="141">
        <v>0.3</v>
      </c>
      <c r="T16" s="199">
        <f t="shared" si="4"/>
        <v>0.53999999999999981</v>
      </c>
      <c r="U16" s="130">
        <f>F16/C16</f>
        <v>0</v>
      </c>
      <c r="V16" s="130">
        <f>D16/C16</f>
        <v>0</v>
      </c>
      <c r="W16" s="200">
        <f t="shared" si="0"/>
        <v>6.6666666666666671E-3</v>
      </c>
      <c r="X16" s="201">
        <f t="shared" si="2"/>
        <v>0</v>
      </c>
      <c r="Y16" s="202">
        <f t="shared" si="3"/>
        <v>0</v>
      </c>
    </row>
    <row r="17" spans="1:25" x14ac:dyDescent="0.3">
      <c r="A17" s="31">
        <v>226</v>
      </c>
      <c r="B17" s="30">
        <f>rho!E21 * (1-tr_tax)</f>
        <v>27530865.355360486</v>
      </c>
      <c r="C17" s="30">
        <f t="shared" si="1"/>
        <v>33528806101.933128</v>
      </c>
      <c r="D17" s="145"/>
      <c r="E17" s="182"/>
      <c r="F17" s="182"/>
      <c r="G17" s="141"/>
      <c r="H17" s="141">
        <v>340</v>
      </c>
      <c r="I17" s="225">
        <v>0.05</v>
      </c>
      <c r="J17" s="237"/>
      <c r="K17" s="226" t="e">
        <f>P17*N17-J17</f>
        <v>#DIV/0!</v>
      </c>
      <c r="L17" s="229" t="e">
        <f>K17/G17</f>
        <v>#DIV/0!</v>
      </c>
      <c r="M17" s="184"/>
      <c r="N17" s="188">
        <f>(((X17-((1-X17/W17)*Y17))/W17*Y17*S17)+X17) * B17/(1+S17)</f>
        <v>0</v>
      </c>
      <c r="O17" s="189" t="e">
        <f>D17/E17 * 21600 * (1-T17)</f>
        <v>#DIV/0!</v>
      </c>
      <c r="P17" s="190" t="e">
        <f>IF(OR(A17=212, A17=211),1,G17/O17)</f>
        <v>#DIV/0!</v>
      </c>
      <c r="Q17" s="6"/>
      <c r="R17" s="141">
        <v>150</v>
      </c>
      <c r="S17" s="141">
        <v>0.3</v>
      </c>
      <c r="T17" s="199">
        <f t="shared" si="4"/>
        <v>0.5199999999999998</v>
      </c>
      <c r="U17" s="130">
        <f>F17/C17</f>
        <v>0</v>
      </c>
      <c r="V17" s="130">
        <f>D17/C17</f>
        <v>0</v>
      </c>
      <c r="W17" s="200">
        <f t="shared" si="0"/>
        <v>6.6666666666666671E-3</v>
      </c>
      <c r="X17" s="201">
        <f t="shared" ref="X17:X20" si="5">MIN(V17,W17)</f>
        <v>0</v>
      </c>
      <c r="Y17" s="202">
        <f t="shared" ref="Y17:Y20" si="6">MIN(U17,W17)</f>
        <v>0</v>
      </c>
    </row>
    <row r="18" spans="1:25" x14ac:dyDescent="0.3">
      <c r="A18" s="31">
        <v>227</v>
      </c>
      <c r="B18" s="30">
        <f>rho!E22 * (1-tr_tax)</f>
        <v>27448272.759294406</v>
      </c>
      <c r="C18" s="30">
        <f t="shared" si="1"/>
        <v>33563219683.627331</v>
      </c>
      <c r="D18" s="145"/>
      <c r="E18" s="182"/>
      <c r="F18" s="182"/>
      <c r="G18" s="141"/>
      <c r="H18" s="141">
        <v>340</v>
      </c>
      <c r="I18" s="225">
        <v>0.05</v>
      </c>
      <c r="J18" s="237"/>
      <c r="K18" s="226" t="e">
        <f>P18*N18-J18</f>
        <v>#DIV/0!</v>
      </c>
      <c r="L18" s="229" t="e">
        <f>K18/G18</f>
        <v>#DIV/0!</v>
      </c>
      <c r="M18" s="184"/>
      <c r="N18" s="188">
        <f>(((X18-((1-X18/W18)*Y18))/W18*Y18*S18)+X18) * B18/(1+S18)</f>
        <v>0</v>
      </c>
      <c r="O18" s="189" t="e">
        <f>D18/E18 * 21600 * (1-T18)</f>
        <v>#DIV/0!</v>
      </c>
      <c r="P18" s="190" t="e">
        <f>IF(OR(A18=212, A18=211),1,G18/O18)</f>
        <v>#DIV/0!</v>
      </c>
      <c r="Q18" s="6"/>
      <c r="R18" s="141">
        <v>150</v>
      </c>
      <c r="S18" s="141">
        <v>0.3</v>
      </c>
      <c r="T18" s="199">
        <f t="shared" si="4"/>
        <v>0.49999999999999978</v>
      </c>
      <c r="U18" s="130">
        <f>F18/C18</f>
        <v>0</v>
      </c>
      <c r="V18" s="130">
        <f>D18/C18</f>
        <v>0</v>
      </c>
      <c r="W18" s="200">
        <f t="shared" si="0"/>
        <v>6.6666666666666671E-3</v>
      </c>
      <c r="X18" s="201">
        <f t="shared" si="5"/>
        <v>0</v>
      </c>
      <c r="Y18" s="202">
        <f t="shared" si="6"/>
        <v>0</v>
      </c>
    </row>
    <row r="19" spans="1:25" x14ac:dyDescent="0.3">
      <c r="A19" s="31">
        <v>228</v>
      </c>
      <c r="B19" s="30">
        <f>rho!E23 * (1-tr_tax)</f>
        <v>27365927.941016521</v>
      </c>
      <c r="C19" s="30">
        <f t="shared" si="1"/>
        <v>33597530024.57645</v>
      </c>
      <c r="D19" s="145"/>
      <c r="E19" s="182"/>
      <c r="F19" s="182"/>
      <c r="G19" s="141"/>
      <c r="H19" s="141">
        <v>340</v>
      </c>
      <c r="I19" s="225">
        <v>0.05</v>
      </c>
      <c r="J19" s="237"/>
      <c r="K19" s="226" t="e">
        <f>P19*N19-J19</f>
        <v>#DIV/0!</v>
      </c>
      <c r="L19" s="229" t="e">
        <f>K19/G19</f>
        <v>#DIV/0!</v>
      </c>
      <c r="M19" s="184"/>
      <c r="N19" s="188">
        <f>(((X19-((1-X19/W19)*Y19))/W19*Y19*S19)+X19) * B19/(1+S19)</f>
        <v>0</v>
      </c>
      <c r="O19" s="189" t="e">
        <f>D19/E19 * 21600 * (1-T19)</f>
        <v>#DIV/0!</v>
      </c>
      <c r="P19" s="190" t="e">
        <f>IF(OR(A19=212, A19=211),1,G19/O19)</f>
        <v>#DIV/0!</v>
      </c>
      <c r="Q19" s="6"/>
      <c r="R19" s="141">
        <v>150</v>
      </c>
      <c r="S19" s="141">
        <v>0.3</v>
      </c>
      <c r="T19" s="199">
        <v>0.5</v>
      </c>
      <c r="U19" s="130">
        <f>F19/C19</f>
        <v>0</v>
      </c>
      <c r="V19" s="130">
        <f>D19/C19</f>
        <v>0</v>
      </c>
      <c r="W19" s="200">
        <f t="shared" si="0"/>
        <v>6.6666666666666671E-3</v>
      </c>
      <c r="X19" s="201">
        <f t="shared" si="5"/>
        <v>0</v>
      </c>
      <c r="Y19" s="202">
        <f t="shared" si="6"/>
        <v>0</v>
      </c>
    </row>
    <row r="20" spans="1:25" x14ac:dyDescent="0.3">
      <c r="A20" s="31">
        <v>229</v>
      </c>
      <c r="B20" s="30">
        <f>rho!E24 * (1-tr_tax)</f>
        <v>27283830.157193471</v>
      </c>
      <c r="C20" s="30">
        <f t="shared" si="1"/>
        <v>33631737434.50272</v>
      </c>
      <c r="D20" s="145"/>
      <c r="E20" s="182"/>
      <c r="F20" s="182"/>
      <c r="G20" s="141"/>
      <c r="H20" s="141">
        <v>340</v>
      </c>
      <c r="I20" s="225">
        <v>0.05</v>
      </c>
      <c r="J20" s="237"/>
      <c r="K20" s="226" t="e">
        <f>P20*N20-J20</f>
        <v>#DIV/0!</v>
      </c>
      <c r="L20" s="229" t="e">
        <f>K20/G20</f>
        <v>#DIV/0!</v>
      </c>
      <c r="M20" s="184"/>
      <c r="N20" s="188">
        <f>(((X20-((1-X20/W20)*Y20))/W20*Y20*S20)+X20) * B20/(1+S20)</f>
        <v>0</v>
      </c>
      <c r="O20" s="189" t="e">
        <f>D20/E20 * 21600 * (1-T20)</f>
        <v>#DIV/0!</v>
      </c>
      <c r="P20" s="190" t="e">
        <f>IF(OR(A20=212, A20=211),1,G20/O20)</f>
        <v>#DIV/0!</v>
      </c>
      <c r="Q20" s="6"/>
      <c r="R20" s="141">
        <v>150</v>
      </c>
      <c r="S20" s="141">
        <v>0.3</v>
      </c>
      <c r="T20" s="199">
        <v>0.5</v>
      </c>
      <c r="U20" s="130">
        <f>F20/C20</f>
        <v>0</v>
      </c>
      <c r="V20" s="130">
        <f>D20/C20</f>
        <v>0</v>
      </c>
      <c r="W20" s="200">
        <f t="shared" si="0"/>
        <v>6.6666666666666671E-3</v>
      </c>
      <c r="X20" s="201">
        <f t="shared" si="5"/>
        <v>0</v>
      </c>
      <c r="Y20" s="202">
        <f t="shared" si="6"/>
        <v>0</v>
      </c>
    </row>
    <row r="21" spans="1:25" x14ac:dyDescent="0.3">
      <c r="A21" s="31">
        <v>230</v>
      </c>
      <c r="B21" s="30">
        <f>rho!E25 * (1-tr_tax)</f>
        <v>27201978.666721888</v>
      </c>
      <c r="C21" s="30">
        <f t="shared" si="1"/>
        <v>33665842222.199211</v>
      </c>
      <c r="D21" s="145"/>
      <c r="E21" s="182"/>
      <c r="F21" s="182"/>
      <c r="G21" s="141"/>
      <c r="H21" s="141">
        <v>340</v>
      </c>
      <c r="I21" s="225">
        <v>0.05</v>
      </c>
      <c r="J21" s="238"/>
      <c r="K21" s="230" t="e">
        <f>P21*N21-J21</f>
        <v>#DIV/0!</v>
      </c>
      <c r="L21" s="231" t="e">
        <f>K21/G21</f>
        <v>#DIV/0!</v>
      </c>
      <c r="M21" s="184"/>
      <c r="N21" s="191">
        <f>(((X21-((1-X21/W21)*Y21))/W21*Y21*S21)+X21) * B21/(1+S21)</f>
        <v>0</v>
      </c>
      <c r="O21" s="192" t="e">
        <f>D21/E21 * 21600 * (1-#REF!)</f>
        <v>#DIV/0!</v>
      </c>
      <c r="P21" s="193" t="e">
        <f>IF(OR(A21=212, A21=211),1,G21/O21)</f>
        <v>#DIV/0!</v>
      </c>
      <c r="Q21" s="6"/>
      <c r="R21" s="141">
        <v>150</v>
      </c>
      <c r="S21" s="141">
        <v>0.3</v>
      </c>
      <c r="T21" s="203">
        <v>0.5</v>
      </c>
      <c r="U21" s="204">
        <f>F21/C21</f>
        <v>0</v>
      </c>
      <c r="V21" s="204">
        <f>D21/C21</f>
        <v>0</v>
      </c>
      <c r="W21" s="205">
        <f t="shared" si="0"/>
        <v>6.6666666666666671E-3</v>
      </c>
      <c r="X21" s="206">
        <f t="shared" ref="X21" si="7">MIN(V21,W21)</f>
        <v>0</v>
      </c>
      <c r="Y21" s="207">
        <f t="shared" ref="Y21" si="8">MIN(U21,W21)</f>
        <v>0</v>
      </c>
    </row>
    <row r="22" spans="1:25" x14ac:dyDescent="0.3">
      <c r="A22" s="6"/>
      <c r="B22" s="121"/>
      <c r="Q22" s="6"/>
      <c r="R22" s="6"/>
    </row>
    <row r="23" spans="1:25" ht="15" thickBot="1" x14ac:dyDescent="0.35">
      <c r="A23" s="19" t="s">
        <v>120</v>
      </c>
      <c r="B23" s="146"/>
      <c r="Q23" s="6"/>
      <c r="R23" s="6"/>
    </row>
    <row r="24" spans="1:25" x14ac:dyDescent="0.3">
      <c r="A24" s="6" t="s">
        <v>110</v>
      </c>
      <c r="B24" s="209">
        <v>12100000000</v>
      </c>
    </row>
    <row r="25" spans="1:25" x14ac:dyDescent="0.3">
      <c r="A25" s="6" t="s">
        <v>102</v>
      </c>
      <c r="B25" s="210">
        <v>77590000</v>
      </c>
    </row>
    <row r="26" spans="1:25" ht="15" thickBot="1" x14ac:dyDescent="0.35">
      <c r="A26" s="6" t="s">
        <v>119</v>
      </c>
      <c r="B26" s="211">
        <v>0.8</v>
      </c>
    </row>
    <row r="27" spans="1:25" x14ac:dyDescent="0.3">
      <c r="A27" s="6"/>
      <c r="B27" s="31"/>
    </row>
    <row r="28" spans="1:25" x14ac:dyDescent="0.3">
      <c r="A28" s="6" t="s">
        <v>104</v>
      </c>
      <c r="B28" s="183">
        <v>21600</v>
      </c>
    </row>
    <row r="29" spans="1:25" x14ac:dyDescent="0.3">
      <c r="A29" s="6" t="s">
        <v>99</v>
      </c>
      <c r="B29" s="30">
        <f>B28 *(1- B26)</f>
        <v>4319.9999999999991</v>
      </c>
      <c r="C29" s="133"/>
      <c r="D29" s="133"/>
      <c r="E29" s="133"/>
      <c r="F29" s="134"/>
      <c r="G29" s="134"/>
      <c r="H29" s="134"/>
      <c r="I29" s="134"/>
      <c r="J29" s="134"/>
      <c r="N29" s="134"/>
    </row>
    <row r="30" spans="1:25" x14ac:dyDescent="0.3">
      <c r="A30" s="6" t="s">
        <v>103</v>
      </c>
      <c r="B30" s="123">
        <f>(B25/B24)</f>
        <v>6.4123966942148765E-3</v>
      </c>
      <c r="C30" s="134"/>
      <c r="D30" s="106"/>
      <c r="E30" s="134"/>
      <c r="F30" s="134"/>
      <c r="G30" s="134"/>
      <c r="H30" s="134"/>
      <c r="I30" s="134"/>
      <c r="J30" s="134"/>
      <c r="N30" s="134"/>
    </row>
    <row r="31" spans="1:25" x14ac:dyDescent="0.3">
      <c r="A31" s="6" t="s">
        <v>96</v>
      </c>
      <c r="B31" s="33">
        <f>B29*B30*(1-B30)</f>
        <v>27.523920367515874</v>
      </c>
      <c r="C31" s="134"/>
      <c r="D31" s="107"/>
      <c r="E31" s="142"/>
      <c r="F31" s="134"/>
      <c r="G31" s="134"/>
      <c r="H31" s="134"/>
      <c r="I31" s="134"/>
      <c r="J31" s="134"/>
      <c r="N31" s="134"/>
    </row>
    <row r="32" spans="1:25" x14ac:dyDescent="0.3">
      <c r="A32" s="6" t="s">
        <v>100</v>
      </c>
      <c r="B32" s="33">
        <f>SQRT(B31)</f>
        <v>5.246324462661061</v>
      </c>
      <c r="C32" s="134"/>
      <c r="D32" s="140"/>
      <c r="E32" s="134"/>
      <c r="F32" s="134"/>
      <c r="G32" s="134"/>
      <c r="H32" s="134"/>
      <c r="I32" s="134"/>
      <c r="J32" s="134"/>
      <c r="N32" s="134"/>
    </row>
    <row r="33" spans="1:14" x14ac:dyDescent="0.3">
      <c r="A33" s="6" t="s">
        <v>101</v>
      </c>
      <c r="B33" s="33">
        <f>B32*3</f>
        <v>15.738973387983183</v>
      </c>
      <c r="C33" s="135"/>
      <c r="D33" s="134"/>
      <c r="E33" s="134"/>
      <c r="F33" s="134"/>
      <c r="G33" s="134"/>
      <c r="H33" s="134"/>
      <c r="I33" s="134"/>
      <c r="J33" s="134"/>
      <c r="N33" s="134"/>
    </row>
    <row r="34" spans="1:14" x14ac:dyDescent="0.3">
      <c r="A34" s="6"/>
      <c r="B34" s="31"/>
      <c r="C34" s="134"/>
      <c r="D34" s="134"/>
      <c r="E34" s="134"/>
      <c r="F34" s="134"/>
      <c r="G34" s="134"/>
      <c r="H34" s="134"/>
      <c r="I34" s="134"/>
      <c r="J34" s="134"/>
      <c r="N34" s="134"/>
    </row>
    <row r="35" spans="1:14" x14ac:dyDescent="0.3">
      <c r="A35" s="3" t="s">
        <v>97</v>
      </c>
      <c r="B35" s="3" t="s">
        <v>98</v>
      </c>
      <c r="C35" s="135"/>
      <c r="D35" s="134"/>
      <c r="E35" s="134"/>
      <c r="F35" s="134"/>
      <c r="G35" s="134"/>
      <c r="H35" s="134"/>
      <c r="I35" s="134"/>
      <c r="J35" s="134"/>
      <c r="N35" s="134"/>
    </row>
    <row r="36" spans="1:14" x14ac:dyDescent="0.3">
      <c r="A36" s="31">
        <v>0</v>
      </c>
      <c r="B36" s="4">
        <f t="shared" ref="B36:B46" si="9">_xlfn.BINOM.DIST(A36,$B$29,$B$30,FALSE)</f>
        <v>8.5787424742408191E-13</v>
      </c>
      <c r="C36" s="134"/>
      <c r="D36" s="134"/>
      <c r="E36" s="134"/>
      <c r="F36" s="134"/>
      <c r="G36" s="134"/>
      <c r="H36" s="134"/>
      <c r="I36" s="134"/>
      <c r="J36" s="134"/>
      <c r="N36" s="134"/>
    </row>
    <row r="37" spans="1:14" x14ac:dyDescent="0.3">
      <c r="A37" s="31">
        <v>1</v>
      </c>
      <c r="B37" s="4">
        <f t="shared" si="9"/>
        <v>2.3912283567281832E-11</v>
      </c>
      <c r="C37" s="22"/>
      <c r="D37" s="134"/>
      <c r="E37" s="134"/>
      <c r="F37" s="134"/>
      <c r="G37" s="134"/>
      <c r="H37" s="134"/>
      <c r="I37" s="134"/>
      <c r="J37" s="134"/>
      <c r="N37" s="134"/>
    </row>
    <row r="38" spans="1:14" x14ac:dyDescent="0.3">
      <c r="A38" s="31">
        <v>2</v>
      </c>
      <c r="B38" s="4">
        <f t="shared" si="9"/>
        <v>3.3318689539006466E-10</v>
      </c>
      <c r="C38" s="134"/>
      <c r="D38" s="136"/>
      <c r="E38" s="134"/>
      <c r="F38" s="134"/>
      <c r="G38" s="134"/>
      <c r="H38" s="134"/>
      <c r="I38" s="134"/>
      <c r="J38" s="134"/>
      <c r="N38" s="134"/>
    </row>
    <row r="39" spans="1:14" x14ac:dyDescent="0.3">
      <c r="A39" s="31">
        <v>3</v>
      </c>
      <c r="B39" s="4">
        <f t="shared" si="9"/>
        <v>3.0943036026853557E-9</v>
      </c>
      <c r="C39" s="134"/>
      <c r="D39" s="137"/>
      <c r="E39" s="134"/>
      <c r="F39" s="134"/>
      <c r="G39" s="134"/>
      <c r="H39" s="134"/>
      <c r="I39" s="134"/>
      <c r="J39" s="134"/>
      <c r="N39" s="134"/>
    </row>
    <row r="40" spans="1:14" x14ac:dyDescent="0.3">
      <c r="A40" s="31">
        <v>4</v>
      </c>
      <c r="B40" s="4">
        <f t="shared" si="9"/>
        <v>2.1547584123184318E-8</v>
      </c>
      <c r="C40" s="134"/>
      <c r="D40" s="137"/>
      <c r="E40" s="134"/>
      <c r="F40" s="134"/>
      <c r="G40" s="134"/>
      <c r="H40" s="134"/>
      <c r="I40" s="134"/>
      <c r="J40" s="134"/>
      <c r="N40" s="134"/>
    </row>
    <row r="41" spans="1:14" x14ac:dyDescent="0.3">
      <c r="A41" s="31">
        <v>5</v>
      </c>
      <c r="B41" s="4">
        <f t="shared" si="9"/>
        <v>1.2001170280981276E-7</v>
      </c>
      <c r="C41" s="134"/>
      <c r="D41" s="137"/>
      <c r="E41" s="134"/>
      <c r="F41" s="134"/>
      <c r="G41" s="134"/>
      <c r="H41" s="134"/>
      <c r="I41" s="134"/>
      <c r="J41" s="134"/>
      <c r="N41" s="134"/>
    </row>
    <row r="42" spans="1:14" x14ac:dyDescent="0.3">
      <c r="A42" s="31">
        <v>6</v>
      </c>
      <c r="B42" s="4">
        <f t="shared" si="9"/>
        <v>5.5688652001625354E-7</v>
      </c>
      <c r="C42" s="134"/>
      <c r="D42" s="137"/>
      <c r="E42" s="134"/>
      <c r="F42" s="134"/>
      <c r="G42" s="134"/>
      <c r="H42" s="134"/>
      <c r="I42" s="134"/>
      <c r="J42" s="134"/>
      <c r="N42" s="134"/>
    </row>
    <row r="43" spans="1:14" x14ac:dyDescent="0.3">
      <c r="A43" s="31">
        <v>7</v>
      </c>
      <c r="B43" s="4">
        <f t="shared" si="9"/>
        <v>2.2144319602761825E-6</v>
      </c>
      <c r="C43" s="134"/>
      <c r="D43" s="138"/>
      <c r="E43" s="134"/>
      <c r="F43" s="134"/>
      <c r="G43" s="134"/>
      <c r="H43" s="134"/>
      <c r="I43" s="134"/>
      <c r="J43" s="134"/>
      <c r="N43" s="134"/>
    </row>
    <row r="44" spans="1:14" x14ac:dyDescent="0.3">
      <c r="A44" s="31">
        <v>8</v>
      </c>
      <c r="B44" s="4">
        <f t="shared" si="9"/>
        <v>7.7030962307082967E-6</v>
      </c>
      <c r="C44" s="134"/>
      <c r="D44" s="137"/>
      <c r="E44" s="134"/>
      <c r="F44" s="134"/>
      <c r="G44" s="134"/>
      <c r="H44" s="134"/>
      <c r="I44" s="134"/>
      <c r="J44" s="134"/>
      <c r="N44" s="134"/>
    </row>
    <row r="45" spans="1:14" x14ac:dyDescent="0.3">
      <c r="A45" s="31">
        <v>9</v>
      </c>
      <c r="B45" s="4">
        <f t="shared" si="9"/>
        <v>2.3813051651289058E-5</v>
      </c>
      <c r="C45" s="133"/>
      <c r="D45" s="139"/>
      <c r="E45" s="134"/>
      <c r="F45" s="134"/>
      <c r="G45" s="134"/>
      <c r="H45" s="134"/>
      <c r="I45" s="134"/>
      <c r="J45" s="134"/>
      <c r="N45" s="134"/>
    </row>
    <row r="46" spans="1:14" x14ac:dyDescent="0.3">
      <c r="A46" s="31">
        <v>10</v>
      </c>
      <c r="B46" s="4">
        <f t="shared" si="9"/>
        <v>6.6237897896988962E-5</v>
      </c>
      <c r="C46" s="22"/>
      <c r="D46" s="134"/>
      <c r="E46" s="134"/>
      <c r="F46" s="134"/>
      <c r="G46" s="134"/>
      <c r="H46" s="134"/>
      <c r="I46" s="134"/>
      <c r="J46" s="134"/>
      <c r="N46" s="134"/>
    </row>
    <row r="47" spans="1:14" x14ac:dyDescent="0.3">
      <c r="A47" s="31">
        <v>11</v>
      </c>
      <c r="B47" s="4">
        <f t="shared" ref="B47:B71" si="10">_xlfn.BINOM.DIST(A47,$B$29,$B$30,FALSE)</f>
        <v>1.674574862288478E-4</v>
      </c>
    </row>
    <row r="48" spans="1:14" x14ac:dyDescent="0.3">
      <c r="A48" s="31">
        <v>12</v>
      </c>
      <c r="B48" s="4">
        <f t="shared" si="10"/>
        <v>3.8798347935082645E-4</v>
      </c>
    </row>
    <row r="49" spans="1:2" x14ac:dyDescent="0.3">
      <c r="A49" s="31">
        <v>13</v>
      </c>
      <c r="B49" s="4">
        <f t="shared" si="10"/>
        <v>8.2958133101376514E-4</v>
      </c>
    </row>
    <row r="50" spans="1:2" x14ac:dyDescent="0.3">
      <c r="A50" s="31">
        <v>14</v>
      </c>
      <c r="B50" s="4">
        <f t="shared" si="10"/>
        <v>1.6467177892207671E-3</v>
      </c>
    </row>
    <row r="51" spans="1:2" x14ac:dyDescent="0.3">
      <c r="A51" s="31">
        <v>15</v>
      </c>
      <c r="B51" s="4">
        <f t="shared" si="10"/>
        <v>3.0501085179459515E-3</v>
      </c>
    </row>
    <row r="52" spans="1:2" x14ac:dyDescent="0.3">
      <c r="A52" s="31">
        <v>16</v>
      </c>
      <c r="B52" s="4">
        <f t="shared" si="10"/>
        <v>5.2951929317913539E-3</v>
      </c>
    </row>
    <row r="53" spans="1:2" x14ac:dyDescent="0.3">
      <c r="A53" s="31">
        <v>17</v>
      </c>
      <c r="B53" s="4">
        <f t="shared" si="10"/>
        <v>8.6500462652800043E-3</v>
      </c>
    </row>
    <row r="54" spans="1:2" x14ac:dyDescent="0.3">
      <c r="A54" s="31">
        <v>18</v>
      </c>
      <c r="B54" s="4">
        <f t="shared" si="10"/>
        <v>1.334229530051086E-2</v>
      </c>
    </row>
    <row r="55" spans="1:2" x14ac:dyDescent="0.3">
      <c r="A55" s="31">
        <v>19</v>
      </c>
      <c r="B55" s="4">
        <f t="shared" si="10"/>
        <v>1.949218871419426E-2</v>
      </c>
    </row>
    <row r="56" spans="1:2" x14ac:dyDescent="0.3">
      <c r="A56" s="31">
        <v>20</v>
      </c>
      <c r="B56" s="4">
        <f t="shared" si="10"/>
        <v>2.7046637762468788E-2</v>
      </c>
    </row>
    <row r="57" spans="1:2" x14ac:dyDescent="0.3">
      <c r="A57" s="31">
        <v>21</v>
      </c>
      <c r="B57" s="4">
        <f t="shared" si="10"/>
        <v>3.573350789041467E-2</v>
      </c>
    </row>
    <row r="58" spans="1:2" x14ac:dyDescent="0.3">
      <c r="A58" s="31">
        <v>22</v>
      </c>
      <c r="B58" s="4">
        <f t="shared" si="10"/>
        <v>4.5054025419195766E-2</v>
      </c>
    </row>
    <row r="59" spans="1:2" x14ac:dyDescent="0.3">
      <c r="A59" s="31">
        <v>23</v>
      </c>
      <c r="B59" s="4">
        <f t="shared" si="10"/>
        <v>5.4323198720908183E-2</v>
      </c>
    </row>
    <row r="60" spans="1:2" x14ac:dyDescent="0.3">
      <c r="A60" s="31">
        <v>24</v>
      </c>
      <c r="B60" s="4">
        <f t="shared" si="10"/>
        <v>6.2755613973171212E-2</v>
      </c>
    </row>
    <row r="61" spans="1:2" x14ac:dyDescent="0.3">
      <c r="A61" s="31">
        <v>25</v>
      </c>
      <c r="B61" s="4">
        <f t="shared" si="10"/>
        <v>6.9580886822944887E-2</v>
      </c>
    </row>
    <row r="62" spans="1:2" x14ac:dyDescent="0.3">
      <c r="A62" s="31">
        <v>26</v>
      </c>
      <c r="B62" s="4">
        <f t="shared" si="10"/>
        <v>7.4163952827374716E-2</v>
      </c>
    </row>
    <row r="63" spans="1:2" x14ac:dyDescent="0.3">
      <c r="A63" s="31">
        <v>27</v>
      </c>
      <c r="B63" s="4">
        <f t="shared" si="10"/>
        <v>7.6103426424509277E-2</v>
      </c>
    </row>
    <row r="64" spans="1:2" x14ac:dyDescent="0.3">
      <c r="A64" s="31">
        <v>28</v>
      </c>
      <c r="B64" s="4">
        <f t="shared" si="10"/>
        <v>7.5287020427280027E-2</v>
      </c>
    </row>
    <row r="65" spans="1:2" x14ac:dyDescent="0.3">
      <c r="A65" s="31">
        <v>29</v>
      </c>
      <c r="B65" s="4">
        <f t="shared" si="10"/>
        <v>7.1894363583656473E-2</v>
      </c>
    </row>
    <row r="66" spans="1:2" x14ac:dyDescent="0.3">
      <c r="A66" s="31">
        <v>30</v>
      </c>
      <c r="B66" s="4">
        <f t="shared" si="10"/>
        <v>6.6350637257853881E-2</v>
      </c>
    </row>
    <row r="67" spans="1:2" x14ac:dyDescent="0.3">
      <c r="A67" s="31">
        <v>31</v>
      </c>
      <c r="B67" s="4">
        <f t="shared" si="10"/>
        <v>5.9245267949752711E-2</v>
      </c>
    </row>
    <row r="68" spans="1:2" x14ac:dyDescent="0.3">
      <c r="A68" s="31">
        <v>32</v>
      </c>
      <c r="B68" s="4">
        <f t="shared" si="10"/>
        <v>5.1235701127282783E-2</v>
      </c>
    </row>
    <row r="69" spans="1:2" x14ac:dyDescent="0.3">
      <c r="A69" s="31">
        <v>33</v>
      </c>
      <c r="B69" s="4">
        <f t="shared" si="10"/>
        <v>4.2956258234079163E-2</v>
      </c>
    </row>
    <row r="70" spans="1:2" x14ac:dyDescent="0.3">
      <c r="A70" s="31">
        <v>34</v>
      </c>
      <c r="B70" s="4">
        <f t="shared" si="10"/>
        <v>3.494732279471547E-2</v>
      </c>
    </row>
    <row r="71" spans="1:2" x14ac:dyDescent="0.3">
      <c r="A71" s="31">
        <v>35</v>
      </c>
      <c r="B71" s="4">
        <f t="shared" si="10"/>
        <v>2.7612829454388844E-2</v>
      </c>
    </row>
    <row r="72" spans="1:2" x14ac:dyDescent="0.3">
      <c r="A72" s="31">
        <v>36</v>
      </c>
      <c r="B72" s="4">
        <f t="shared" ref="B72:B85" si="11">_xlfn.BINOM.DIST(A72,$B$29,$B$30,FALSE)</f>
        <v>2.1206650999804288E-2</v>
      </c>
    </row>
    <row r="73" spans="1:2" x14ac:dyDescent="0.3">
      <c r="A73" s="31">
        <v>37</v>
      </c>
      <c r="B73" s="4">
        <f t="shared" si="11"/>
        <v>1.5842826158980177E-2</v>
      </c>
    </row>
    <row r="74" spans="1:2" x14ac:dyDescent="0.3">
      <c r="A74" s="31">
        <v>38</v>
      </c>
      <c r="B74" s="4">
        <f t="shared" si="11"/>
        <v>1.1521524306282416E-2</v>
      </c>
    </row>
    <row r="75" spans="1:2" x14ac:dyDescent="0.3">
      <c r="A75" s="31">
        <v>39</v>
      </c>
      <c r="B75" s="4">
        <f t="shared" si="11"/>
        <v>8.1621538840906289E-3</v>
      </c>
    </row>
    <row r="76" spans="1:2" x14ac:dyDescent="0.3">
      <c r="A76" s="31">
        <v>40</v>
      </c>
      <c r="B76" s="4">
        <f t="shared" si="11"/>
        <v>5.6364125517034749E-3</v>
      </c>
    </row>
    <row r="77" spans="1:2" x14ac:dyDescent="0.3">
      <c r="A77" s="31">
        <v>41</v>
      </c>
      <c r="B77" s="4">
        <f t="shared" si="11"/>
        <v>3.79643020777615E-3</v>
      </c>
    </row>
    <row r="78" spans="1:2" x14ac:dyDescent="0.3">
      <c r="A78" s="31">
        <v>42</v>
      </c>
      <c r="B78" s="4">
        <f t="shared" si="11"/>
        <v>2.4956353430518972E-3</v>
      </c>
    </row>
    <row r="79" spans="1:2" x14ac:dyDescent="0.3">
      <c r="A79" s="31">
        <v>43</v>
      </c>
      <c r="B79" s="4">
        <f t="shared" si="11"/>
        <v>1.6020133814552014E-3</v>
      </c>
    </row>
    <row r="80" spans="1:2" x14ac:dyDescent="0.3">
      <c r="A80" s="31">
        <v>44</v>
      </c>
      <c r="B80" s="4">
        <f t="shared" si="11"/>
        <v>1.0047670318675311E-3</v>
      </c>
    </row>
    <row r="81" spans="1:2" x14ac:dyDescent="0.3">
      <c r="A81" s="31">
        <v>45</v>
      </c>
      <c r="B81" s="4">
        <f t="shared" si="11"/>
        <v>6.1603189628761028E-4</v>
      </c>
    </row>
    <row r="82" spans="1:2" x14ac:dyDescent="0.3">
      <c r="A82" s="31">
        <v>46</v>
      </c>
      <c r="B82" s="4">
        <f t="shared" si="11"/>
        <v>3.6939762818308795E-4</v>
      </c>
    </row>
    <row r="83" spans="1:2" x14ac:dyDescent="0.3">
      <c r="A83" s="31">
        <v>47</v>
      </c>
      <c r="B83" s="4">
        <f t="shared" si="11"/>
        <v>2.1674213884455729E-4</v>
      </c>
    </row>
    <row r="84" spans="1:2" x14ac:dyDescent="0.3">
      <c r="A84" s="31">
        <v>48</v>
      </c>
      <c r="B84" s="4">
        <f t="shared" si="11"/>
        <v>1.2449375850702871E-4</v>
      </c>
    </row>
    <row r="85" spans="1:2" x14ac:dyDescent="0.3">
      <c r="A85" s="31">
        <v>49</v>
      </c>
      <c r="B85" s="4">
        <f t="shared" si="11"/>
        <v>7.0031799722954235E-5</v>
      </c>
    </row>
    <row r="86" spans="1:2" x14ac:dyDescent="0.3">
      <c r="A86" s="31">
        <v>50</v>
      </c>
      <c r="B86" s="4">
        <f t="shared" ref="B86:B96" si="12">_xlfn.BINOM.DIST(A86,$B$29,$B$30,FALSE)</f>
        <v>3.859822871446303E-5</v>
      </c>
    </row>
    <row r="87" spans="1:2" x14ac:dyDescent="0.3">
      <c r="A87" s="31">
        <v>51</v>
      </c>
      <c r="B87" s="4">
        <f t="shared" si="12"/>
        <v>2.0851512904328676E-5</v>
      </c>
    </row>
    <row r="88" spans="1:2" x14ac:dyDescent="0.3">
      <c r="A88" s="31">
        <v>52</v>
      </c>
      <c r="B88" s="4">
        <f t="shared" si="12"/>
        <v>1.1045181467362338E-5</v>
      </c>
    </row>
    <row r="89" spans="1:2" x14ac:dyDescent="0.3">
      <c r="A89" s="31">
        <v>53</v>
      </c>
      <c r="B89" s="4">
        <f t="shared" si="12"/>
        <v>5.7389685665080539E-6</v>
      </c>
    </row>
    <row r="90" spans="1:2" x14ac:dyDescent="0.3">
      <c r="A90" s="31">
        <v>54</v>
      </c>
      <c r="B90" s="4">
        <f t="shared" si="12"/>
        <v>2.926005610768005E-6</v>
      </c>
    </row>
    <row r="91" spans="1:2" x14ac:dyDescent="0.3">
      <c r="A91" s="31">
        <v>55</v>
      </c>
      <c r="B91" s="4">
        <f t="shared" si="12"/>
        <v>1.4643527860552566E-6</v>
      </c>
    </row>
    <row r="92" spans="1:2" x14ac:dyDescent="0.3">
      <c r="A92" s="31">
        <v>56</v>
      </c>
      <c r="B92" s="4">
        <f t="shared" si="12"/>
        <v>7.1959660231094889E-7</v>
      </c>
    </row>
    <row r="93" spans="1:2" x14ac:dyDescent="0.3">
      <c r="A93" s="31">
        <v>57</v>
      </c>
      <c r="B93" s="4">
        <f t="shared" si="12"/>
        <v>3.4733120122062147E-7</v>
      </c>
    </row>
    <row r="94" spans="1:2" x14ac:dyDescent="0.3">
      <c r="A94" s="31">
        <v>58</v>
      </c>
      <c r="B94" s="4">
        <f t="shared" si="12"/>
        <v>1.6471891289187305E-7</v>
      </c>
    </row>
    <row r="95" spans="1:2" x14ac:dyDescent="0.3">
      <c r="A95" s="31">
        <v>59</v>
      </c>
      <c r="B95" s="4">
        <f t="shared" si="12"/>
        <v>7.6774537199950821E-8</v>
      </c>
    </row>
    <row r="96" spans="1:2" x14ac:dyDescent="0.3">
      <c r="A96" s="31">
        <v>60</v>
      </c>
      <c r="B96" s="4">
        <f t="shared" si="12"/>
        <v>3.5179508953316216E-8</v>
      </c>
    </row>
  </sheetData>
  <phoneticPr fontId="9" type="noConversion"/>
  <pageMargins left="0.7" right="0.7" top="0.75" bottom="0.75" header="0.3" footer="0.3"/>
  <ignoredErrors>
    <ignoredError sqref="K4:L21" evalError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0D5C-5921-48B6-BAF0-B53CE33B013A}">
  <dimension ref="A1:O94"/>
  <sheetViews>
    <sheetView workbookViewId="0">
      <selection activeCell="D5" sqref="D5"/>
    </sheetView>
  </sheetViews>
  <sheetFormatPr defaultColWidth="9.109375" defaultRowHeight="14.4" x14ac:dyDescent="0.3"/>
  <cols>
    <col min="1" max="1" width="12" style="31" bestFit="1" customWidth="1"/>
    <col min="2" max="2" width="10.109375" style="6" bestFit="1" customWidth="1"/>
    <col min="3" max="3" width="9.109375" style="31"/>
    <col min="4" max="4" width="17.5546875" style="31" bestFit="1" customWidth="1"/>
    <col min="5" max="5" width="32.109375" style="31" bestFit="1" customWidth="1"/>
    <col min="6" max="6" width="18.33203125" style="31" customWidth="1"/>
    <col min="7" max="7" width="30" style="31" bestFit="1" customWidth="1"/>
    <col min="8" max="8" width="25.6640625" style="30" bestFit="1" customWidth="1"/>
    <col min="9" max="9" width="47.44140625" style="6" bestFit="1" customWidth="1"/>
    <col min="10" max="10" width="13.5546875" style="6" customWidth="1"/>
    <col min="11" max="11" width="12.6640625" style="6" bestFit="1" customWidth="1"/>
    <col min="12" max="16384" width="9.109375" style="6"/>
  </cols>
  <sheetData>
    <row r="1" spans="1:7" x14ac:dyDescent="0.3">
      <c r="A1" s="83" t="s">
        <v>58</v>
      </c>
      <c r="B1" s="84">
        <f>Rewards!C29</f>
        <v>3.0000000000000001E-3</v>
      </c>
    </row>
    <row r="2" spans="1:7" x14ac:dyDescent="0.3">
      <c r="B2" s="87"/>
    </row>
    <row r="3" spans="1:7" x14ac:dyDescent="0.3">
      <c r="B3" s="85"/>
    </row>
    <row r="4" spans="1:7" x14ac:dyDescent="0.3">
      <c r="A4" s="31" t="s">
        <v>57</v>
      </c>
      <c r="B4" s="6" t="s">
        <v>56</v>
      </c>
      <c r="C4" s="31" t="s">
        <v>55</v>
      </c>
      <c r="D4" s="31" t="s">
        <v>54</v>
      </c>
      <c r="E4" s="31" t="s">
        <v>63</v>
      </c>
      <c r="F4" s="31" t="s">
        <v>107</v>
      </c>
      <c r="G4" s="31" t="s">
        <v>60</v>
      </c>
    </row>
    <row r="5" spans="1:7" x14ac:dyDescent="0.3">
      <c r="A5" s="86">
        <v>44051</v>
      </c>
      <c r="B5" s="6">
        <v>0</v>
      </c>
      <c r="C5" s="31">
        <v>210</v>
      </c>
      <c r="D5" s="30">
        <f>45000000000-Rewards!C51</f>
        <v>12000000000</v>
      </c>
      <c r="E5" s="31">
        <v>0</v>
      </c>
      <c r="G5" s="31">
        <f>E5</f>
        <v>0</v>
      </c>
    </row>
    <row r="6" spans="1:7" x14ac:dyDescent="0.3">
      <c r="A6" s="86">
        <f>A5+B6-B5</f>
        <v>44056</v>
      </c>
      <c r="B6" s="6">
        <v>5</v>
      </c>
      <c r="C6" s="31">
        <f>C5+1</f>
        <v>211</v>
      </c>
      <c r="D6" s="30">
        <f>D5-E6</f>
        <v>11964000000</v>
      </c>
      <c r="E6" s="30">
        <f>$B$1*D5</f>
        <v>36000000</v>
      </c>
      <c r="G6" s="30">
        <f>E6+SUM(E$5:E5)</f>
        <v>36000000</v>
      </c>
    </row>
    <row r="7" spans="1:7" x14ac:dyDescent="0.3">
      <c r="A7" s="86">
        <f t="shared" ref="A7:A70" si="0">A6+B7-B6</f>
        <v>44061</v>
      </c>
      <c r="B7" s="6">
        <f>B6+5</f>
        <v>10</v>
      </c>
      <c r="C7" s="31">
        <f t="shared" ref="C7:C70" si="1">C6+1</f>
        <v>212</v>
      </c>
      <c r="D7" s="30">
        <f>D6-E7</f>
        <v>11928108000</v>
      </c>
      <c r="E7" s="30">
        <f t="shared" ref="E7:E70" si="2">$B$1*D6</f>
        <v>35892000</v>
      </c>
      <c r="G7" s="30">
        <f>E7+SUM(E$5:E6)</f>
        <v>71892000</v>
      </c>
    </row>
    <row r="8" spans="1:7" x14ac:dyDescent="0.3">
      <c r="A8" s="86">
        <f t="shared" si="0"/>
        <v>44066</v>
      </c>
      <c r="B8" s="6">
        <f t="shared" ref="B8:B41" si="3">B7+5</f>
        <v>15</v>
      </c>
      <c r="C8" s="31">
        <f t="shared" si="1"/>
        <v>213</v>
      </c>
      <c r="D8" s="30">
        <f t="shared" ref="D8:D71" si="4">D7-E8</f>
        <v>11892323676</v>
      </c>
      <c r="E8" s="30">
        <f t="shared" si="2"/>
        <v>35784324</v>
      </c>
      <c r="F8" s="30">
        <f>E6</f>
        <v>36000000</v>
      </c>
      <c r="G8" s="30">
        <f>E8+SUM(E$5:E7)</f>
        <v>107676324</v>
      </c>
    </row>
    <row r="9" spans="1:7" x14ac:dyDescent="0.3">
      <c r="A9" s="86">
        <f t="shared" si="0"/>
        <v>44071</v>
      </c>
      <c r="B9" s="6">
        <f t="shared" si="3"/>
        <v>20</v>
      </c>
      <c r="C9" s="31">
        <f t="shared" si="1"/>
        <v>214</v>
      </c>
      <c r="D9" s="30">
        <f t="shared" si="4"/>
        <v>11856646704.972</v>
      </c>
      <c r="E9" s="30">
        <f t="shared" si="2"/>
        <v>35676971.027999997</v>
      </c>
      <c r="F9" s="30">
        <f t="shared" ref="F9:F72" si="5">E7</f>
        <v>35892000</v>
      </c>
      <c r="G9" s="30">
        <f>E9+SUM(E$5:E8)</f>
        <v>143353295.028</v>
      </c>
    </row>
    <row r="10" spans="1:7" x14ac:dyDescent="0.3">
      <c r="A10" s="86">
        <f t="shared" si="0"/>
        <v>44076</v>
      </c>
      <c r="B10" s="6">
        <f t="shared" si="3"/>
        <v>25</v>
      </c>
      <c r="C10" s="31">
        <f t="shared" si="1"/>
        <v>215</v>
      </c>
      <c r="D10" s="30">
        <f t="shared" si="4"/>
        <v>11821076764.857084</v>
      </c>
      <c r="E10" s="30">
        <f t="shared" si="2"/>
        <v>35569940.114916004</v>
      </c>
      <c r="F10" s="30">
        <f t="shared" si="5"/>
        <v>35784324</v>
      </c>
      <c r="G10" s="30">
        <f>E10+SUM(E$5:E9)</f>
        <v>178923235.14291599</v>
      </c>
    </row>
    <row r="11" spans="1:7" x14ac:dyDescent="0.3">
      <c r="A11" s="86">
        <f t="shared" si="0"/>
        <v>44081</v>
      </c>
      <c r="B11" s="6">
        <f t="shared" si="3"/>
        <v>30</v>
      </c>
      <c r="C11" s="31">
        <f t="shared" si="1"/>
        <v>216</v>
      </c>
      <c r="D11" s="30">
        <f t="shared" si="4"/>
        <v>11785613534.562513</v>
      </c>
      <c r="E11" s="30">
        <f t="shared" si="2"/>
        <v>35463230.294571251</v>
      </c>
      <c r="F11" s="30">
        <f t="shared" si="5"/>
        <v>35676971.027999997</v>
      </c>
      <c r="G11" s="30">
        <f>E11+SUM(E$5:E10)</f>
        <v>214386465.43748724</v>
      </c>
    </row>
    <row r="12" spans="1:7" x14ac:dyDescent="0.3">
      <c r="A12" s="86">
        <f t="shared" si="0"/>
        <v>44086</v>
      </c>
      <c r="B12" s="6">
        <f t="shared" si="3"/>
        <v>35</v>
      </c>
      <c r="C12" s="31">
        <f t="shared" si="1"/>
        <v>217</v>
      </c>
      <c r="D12" s="30">
        <f t="shared" si="4"/>
        <v>11750256693.958826</v>
      </c>
      <c r="E12" s="30">
        <f t="shared" si="2"/>
        <v>35356840.60368754</v>
      </c>
      <c r="F12" s="30">
        <f t="shared" si="5"/>
        <v>35569940.114916004</v>
      </c>
      <c r="G12" s="30">
        <f>E12+SUM(E$5:E11)</f>
        <v>249743306.04117477</v>
      </c>
    </row>
    <row r="13" spans="1:7" x14ac:dyDescent="0.3">
      <c r="A13" s="86">
        <f t="shared" si="0"/>
        <v>44091</v>
      </c>
      <c r="B13" s="6">
        <f t="shared" si="3"/>
        <v>40</v>
      </c>
      <c r="C13" s="31">
        <f t="shared" si="1"/>
        <v>218</v>
      </c>
      <c r="D13" s="30">
        <f t="shared" si="4"/>
        <v>11715005923.876949</v>
      </c>
      <c r="E13" s="30">
        <f t="shared" si="2"/>
        <v>35250770.081876479</v>
      </c>
      <c r="F13" s="30">
        <f t="shared" si="5"/>
        <v>35463230.294571251</v>
      </c>
      <c r="G13" s="30">
        <f>E13+SUM(E$5:E12)</f>
        <v>284994076.12305123</v>
      </c>
    </row>
    <row r="14" spans="1:7" x14ac:dyDescent="0.3">
      <c r="A14" s="86">
        <f t="shared" si="0"/>
        <v>44096</v>
      </c>
      <c r="B14" s="6">
        <f t="shared" si="3"/>
        <v>45</v>
      </c>
      <c r="C14" s="31">
        <f t="shared" si="1"/>
        <v>219</v>
      </c>
      <c r="D14" s="30">
        <f t="shared" si="4"/>
        <v>11679860906.105318</v>
      </c>
      <c r="E14" s="30">
        <f t="shared" si="2"/>
        <v>35145017.771630846</v>
      </c>
      <c r="F14" s="30">
        <f t="shared" si="5"/>
        <v>35356840.60368754</v>
      </c>
      <c r="G14" s="30">
        <f>E14+SUM(E$5:E13)</f>
        <v>320139093.89468205</v>
      </c>
    </row>
    <row r="15" spans="1:7" x14ac:dyDescent="0.3">
      <c r="A15" s="86">
        <f t="shared" si="0"/>
        <v>44101</v>
      </c>
      <c r="B15" s="6">
        <f t="shared" si="3"/>
        <v>50</v>
      </c>
      <c r="C15" s="31">
        <f t="shared" si="1"/>
        <v>220</v>
      </c>
      <c r="D15" s="30">
        <f t="shared" si="4"/>
        <v>11644821323.387003</v>
      </c>
      <c r="E15" s="30">
        <f t="shared" si="2"/>
        <v>35039582.718315952</v>
      </c>
      <c r="F15" s="30">
        <f t="shared" si="5"/>
        <v>35250770.081876479</v>
      </c>
      <c r="G15" s="30">
        <f>E15+SUM(E$5:E14)</f>
        <v>355178676.61299801</v>
      </c>
    </row>
    <row r="16" spans="1:7" x14ac:dyDescent="0.3">
      <c r="A16" s="86">
        <f t="shared" si="0"/>
        <v>44106</v>
      </c>
      <c r="B16" s="6">
        <f t="shared" si="3"/>
        <v>55</v>
      </c>
      <c r="C16" s="31">
        <f t="shared" si="1"/>
        <v>221</v>
      </c>
      <c r="D16" s="30">
        <f t="shared" si="4"/>
        <v>11609886859.416842</v>
      </c>
      <c r="E16" s="30">
        <f t="shared" si="2"/>
        <v>34934463.970161006</v>
      </c>
      <c r="F16" s="30">
        <f t="shared" si="5"/>
        <v>35145017.771630846</v>
      </c>
      <c r="G16" s="30">
        <f>E16+SUM(E$5:E15)</f>
        <v>390113140.58315903</v>
      </c>
    </row>
    <row r="17" spans="1:7" x14ac:dyDescent="0.3">
      <c r="A17" s="86">
        <f t="shared" si="0"/>
        <v>44111</v>
      </c>
      <c r="B17" s="6">
        <f t="shared" si="3"/>
        <v>60</v>
      </c>
      <c r="C17" s="31">
        <f t="shared" si="1"/>
        <v>222</v>
      </c>
      <c r="D17" s="30">
        <f t="shared" si="4"/>
        <v>11575057198.838591</v>
      </c>
      <c r="E17" s="30">
        <f t="shared" si="2"/>
        <v>34829660.578250527</v>
      </c>
      <c r="F17" s="30">
        <f t="shared" si="5"/>
        <v>35039582.718315952</v>
      </c>
      <c r="G17" s="30">
        <f>E17+SUM(E$5:E16)</f>
        <v>424942801.16140956</v>
      </c>
    </row>
    <row r="18" spans="1:7" x14ac:dyDescent="0.3">
      <c r="A18" s="86">
        <f t="shared" si="0"/>
        <v>44116</v>
      </c>
      <c r="B18" s="6">
        <f t="shared" si="3"/>
        <v>65</v>
      </c>
      <c r="C18" s="31">
        <f t="shared" si="1"/>
        <v>223</v>
      </c>
      <c r="D18" s="30">
        <f t="shared" si="4"/>
        <v>11540332027.242075</v>
      </c>
      <c r="E18" s="30">
        <f t="shared" si="2"/>
        <v>34725171.596515775</v>
      </c>
      <c r="F18" s="30">
        <f t="shared" si="5"/>
        <v>34934463.970161006</v>
      </c>
      <c r="G18" s="30">
        <f>E18+SUM(E$5:E17)</f>
        <v>459667972.75792533</v>
      </c>
    </row>
    <row r="19" spans="1:7" x14ac:dyDescent="0.3">
      <c r="A19" s="86">
        <f t="shared" si="0"/>
        <v>44121</v>
      </c>
      <c r="B19" s="6">
        <f t="shared" si="3"/>
        <v>70</v>
      </c>
      <c r="C19" s="31">
        <f t="shared" si="1"/>
        <v>224</v>
      </c>
      <c r="D19" s="30">
        <f t="shared" si="4"/>
        <v>11505711031.160349</v>
      </c>
      <c r="E19" s="30">
        <f t="shared" si="2"/>
        <v>34620996.081726223</v>
      </c>
      <c r="F19" s="30">
        <f t="shared" si="5"/>
        <v>34829660.578250527</v>
      </c>
      <c r="G19" s="30">
        <f>E19+SUM(E$5:E18)</f>
        <v>494288968.83965158</v>
      </c>
    </row>
    <row r="20" spans="1:7" x14ac:dyDescent="0.3">
      <c r="A20" s="86">
        <f t="shared" si="0"/>
        <v>44126</v>
      </c>
      <c r="B20" s="6">
        <f t="shared" si="3"/>
        <v>75</v>
      </c>
      <c r="C20" s="31">
        <f t="shared" si="1"/>
        <v>225</v>
      </c>
      <c r="D20" s="30">
        <f t="shared" si="4"/>
        <v>11471193898.066868</v>
      </c>
      <c r="E20" s="30">
        <f t="shared" si="2"/>
        <v>34517133.093481049</v>
      </c>
      <c r="F20" s="30">
        <f t="shared" si="5"/>
        <v>34725171.596515775</v>
      </c>
      <c r="G20" s="30">
        <f>E20+SUM(E$5:E19)</f>
        <v>528806101.93313265</v>
      </c>
    </row>
    <row r="21" spans="1:7" x14ac:dyDescent="0.3">
      <c r="A21" s="86">
        <f t="shared" si="0"/>
        <v>44131</v>
      </c>
      <c r="B21" s="6">
        <f t="shared" si="3"/>
        <v>80</v>
      </c>
      <c r="C21" s="31">
        <f t="shared" si="1"/>
        <v>226</v>
      </c>
      <c r="D21" s="30">
        <f t="shared" si="4"/>
        <v>11436780316.372667</v>
      </c>
      <c r="E21" s="30">
        <f t="shared" si="2"/>
        <v>34413581.694200605</v>
      </c>
      <c r="F21" s="30">
        <f t="shared" si="5"/>
        <v>34620996.081726223</v>
      </c>
      <c r="G21" s="30">
        <f>E21+SUM(E$5:E20)</f>
        <v>563219683.62733328</v>
      </c>
    </row>
    <row r="22" spans="1:7" x14ac:dyDescent="0.3">
      <c r="A22" s="86">
        <f t="shared" si="0"/>
        <v>44136</v>
      </c>
      <c r="B22" s="6">
        <f t="shared" si="3"/>
        <v>85</v>
      </c>
      <c r="C22" s="31">
        <f t="shared" si="1"/>
        <v>227</v>
      </c>
      <c r="D22" s="30">
        <f t="shared" si="4"/>
        <v>11402469975.42355</v>
      </c>
      <c r="E22" s="30">
        <f t="shared" si="2"/>
        <v>34310340.949118003</v>
      </c>
      <c r="F22" s="30">
        <f t="shared" si="5"/>
        <v>34517133.093481049</v>
      </c>
      <c r="G22" s="30">
        <f>E22+SUM(E$5:E21)</f>
        <v>597530024.5764513</v>
      </c>
    </row>
    <row r="23" spans="1:7" x14ac:dyDescent="0.3">
      <c r="A23" s="86">
        <f t="shared" si="0"/>
        <v>44141</v>
      </c>
      <c r="B23" s="6">
        <f t="shared" si="3"/>
        <v>90</v>
      </c>
      <c r="C23" s="31">
        <f t="shared" si="1"/>
        <v>228</v>
      </c>
      <c r="D23" s="30">
        <f t="shared" si="4"/>
        <v>11368262565.497278</v>
      </c>
      <c r="E23" s="30">
        <f t="shared" si="2"/>
        <v>34207409.926270649</v>
      </c>
      <c r="F23" s="30">
        <f t="shared" si="5"/>
        <v>34413581.694200605</v>
      </c>
      <c r="G23" s="30">
        <f>E23+SUM(E$5:E22)</f>
        <v>631737434.50272191</v>
      </c>
    </row>
    <row r="24" spans="1:7" x14ac:dyDescent="0.3">
      <c r="A24" s="86">
        <f t="shared" si="0"/>
        <v>44146</v>
      </c>
      <c r="B24" s="6">
        <f t="shared" si="3"/>
        <v>95</v>
      </c>
      <c r="C24" s="31">
        <f t="shared" si="1"/>
        <v>229</v>
      </c>
      <c r="D24" s="30">
        <f t="shared" si="4"/>
        <v>11334157777.800787</v>
      </c>
      <c r="E24" s="30">
        <f t="shared" si="2"/>
        <v>34104787.696491838</v>
      </c>
      <c r="F24" s="30">
        <f t="shared" si="5"/>
        <v>34310340.949118003</v>
      </c>
      <c r="G24" s="30">
        <f>E24+SUM(E$5:E23)</f>
        <v>665842222.19921374</v>
      </c>
    </row>
    <row r="25" spans="1:7" x14ac:dyDescent="0.3">
      <c r="A25" s="86">
        <f t="shared" si="0"/>
        <v>44151</v>
      </c>
      <c r="B25" s="6">
        <f t="shared" si="3"/>
        <v>100</v>
      </c>
      <c r="C25" s="31">
        <f t="shared" si="1"/>
        <v>230</v>
      </c>
      <c r="D25" s="30">
        <f t="shared" si="4"/>
        <v>11300155304.467384</v>
      </c>
      <c r="E25" s="30">
        <f t="shared" si="2"/>
        <v>34002473.333402358</v>
      </c>
      <c r="F25" s="30">
        <f t="shared" si="5"/>
        <v>34207409.926270649</v>
      </c>
      <c r="G25" s="30">
        <f>E25+SUM(E$5:E24)</f>
        <v>699844695.53261614</v>
      </c>
    </row>
    <row r="26" spans="1:7" x14ac:dyDescent="0.3">
      <c r="A26" s="86">
        <f t="shared" si="0"/>
        <v>44156</v>
      </c>
      <c r="B26" s="6">
        <f t="shared" si="3"/>
        <v>105</v>
      </c>
      <c r="C26" s="31">
        <f t="shared" si="1"/>
        <v>231</v>
      </c>
      <c r="D26" s="30">
        <f t="shared" si="4"/>
        <v>11266254838.553982</v>
      </c>
      <c r="E26" s="30">
        <f t="shared" si="2"/>
        <v>33900465.913402155</v>
      </c>
      <c r="F26" s="30">
        <f t="shared" si="5"/>
        <v>34104787.696491838</v>
      </c>
      <c r="G26" s="30">
        <f>E26+SUM(E$5:E25)</f>
        <v>733745161.44601834</v>
      </c>
    </row>
    <row r="27" spans="1:7" x14ac:dyDescent="0.3">
      <c r="A27" s="86">
        <f t="shared" si="0"/>
        <v>44161</v>
      </c>
      <c r="B27" s="6">
        <f t="shared" si="3"/>
        <v>110</v>
      </c>
      <c r="C27" s="31">
        <f t="shared" si="1"/>
        <v>232</v>
      </c>
      <c r="D27" s="30">
        <f t="shared" si="4"/>
        <v>11232456074.038321</v>
      </c>
      <c r="E27" s="30">
        <f t="shared" si="2"/>
        <v>33798764.515661947</v>
      </c>
      <c r="F27" s="30">
        <f t="shared" si="5"/>
        <v>34002473.333402358</v>
      </c>
      <c r="G27" s="30">
        <f>E27+SUM(E$5:E26)</f>
        <v>767543925.96168029</v>
      </c>
    </row>
    <row r="28" spans="1:7" x14ac:dyDescent="0.3">
      <c r="A28" s="86">
        <f t="shared" si="0"/>
        <v>44166</v>
      </c>
      <c r="B28" s="6">
        <f t="shared" si="3"/>
        <v>115</v>
      </c>
      <c r="C28" s="31">
        <f t="shared" si="1"/>
        <v>233</v>
      </c>
      <c r="D28" s="30">
        <f t="shared" si="4"/>
        <v>11198758705.816206</v>
      </c>
      <c r="E28" s="30">
        <f t="shared" si="2"/>
        <v>33697368.222114965</v>
      </c>
      <c r="F28" s="30">
        <f t="shared" si="5"/>
        <v>33900465.913402155</v>
      </c>
      <c r="G28" s="30">
        <f>E28+SUM(E$5:E27)</f>
        <v>801241294.18379521</v>
      </c>
    </row>
    <row r="29" spans="1:7" x14ac:dyDescent="0.3">
      <c r="A29" s="86">
        <f t="shared" si="0"/>
        <v>44171</v>
      </c>
      <c r="B29" s="6">
        <f t="shared" si="3"/>
        <v>120</v>
      </c>
      <c r="C29" s="31">
        <f t="shared" si="1"/>
        <v>234</v>
      </c>
      <c r="D29" s="30">
        <f t="shared" si="4"/>
        <v>11165162429.698757</v>
      </c>
      <c r="E29" s="30">
        <f t="shared" si="2"/>
        <v>33596276.11744862</v>
      </c>
      <c r="F29" s="30">
        <f t="shared" si="5"/>
        <v>33798764.515661947</v>
      </c>
      <c r="G29" s="30">
        <f>E29+SUM(E$5:E28)</f>
        <v>834837570.30124378</v>
      </c>
    </row>
    <row r="30" spans="1:7" x14ac:dyDescent="0.3">
      <c r="A30" s="86">
        <f t="shared" si="0"/>
        <v>44176</v>
      </c>
      <c r="B30" s="6">
        <f t="shared" si="3"/>
        <v>125</v>
      </c>
      <c r="C30" s="31">
        <f t="shared" si="1"/>
        <v>235</v>
      </c>
      <c r="D30" s="30">
        <f t="shared" si="4"/>
        <v>11131666942.40966</v>
      </c>
      <c r="E30" s="30">
        <f t="shared" si="2"/>
        <v>33495487.289096273</v>
      </c>
      <c r="F30" s="30">
        <f t="shared" si="5"/>
        <v>33697368.222114965</v>
      </c>
      <c r="G30" s="30">
        <f>E30+SUM(E$5:E29)</f>
        <v>868333057.59034002</v>
      </c>
    </row>
    <row r="31" spans="1:7" x14ac:dyDescent="0.3">
      <c r="A31" s="86">
        <f t="shared" si="0"/>
        <v>44181</v>
      </c>
      <c r="B31" s="6">
        <f t="shared" si="3"/>
        <v>130</v>
      </c>
      <c r="C31" s="31">
        <f t="shared" si="1"/>
        <v>236</v>
      </c>
      <c r="D31" s="30">
        <f t="shared" si="4"/>
        <v>11098271941.582432</v>
      </c>
      <c r="E31" s="30">
        <f t="shared" si="2"/>
        <v>33395000.827228982</v>
      </c>
      <c r="F31" s="30">
        <f t="shared" si="5"/>
        <v>33596276.11744862</v>
      </c>
      <c r="G31" s="30">
        <f>E31+SUM(E$5:E30)</f>
        <v>901728058.41756904</v>
      </c>
    </row>
    <row r="32" spans="1:7" x14ac:dyDescent="0.3">
      <c r="A32" s="86">
        <f t="shared" si="0"/>
        <v>44186</v>
      </c>
      <c r="B32" s="6">
        <f t="shared" si="3"/>
        <v>135</v>
      </c>
      <c r="C32" s="31">
        <f t="shared" si="1"/>
        <v>237</v>
      </c>
      <c r="D32" s="30">
        <f t="shared" si="4"/>
        <v>11064977125.757685</v>
      </c>
      <c r="E32" s="30">
        <f t="shared" si="2"/>
        <v>33294815.824747298</v>
      </c>
      <c r="F32" s="30">
        <f t="shared" si="5"/>
        <v>33495487.289096273</v>
      </c>
      <c r="G32" s="30">
        <f>E32+SUM(E$5:E31)</f>
        <v>935022874.24231637</v>
      </c>
    </row>
    <row r="33" spans="1:7" x14ac:dyDescent="0.3">
      <c r="A33" s="86">
        <f t="shared" si="0"/>
        <v>44191</v>
      </c>
      <c r="B33" s="6">
        <f t="shared" si="3"/>
        <v>140</v>
      </c>
      <c r="C33" s="31">
        <f t="shared" si="1"/>
        <v>238</v>
      </c>
      <c r="D33" s="30">
        <f t="shared" si="4"/>
        <v>11031782194.380411</v>
      </c>
      <c r="E33" s="30">
        <f t="shared" si="2"/>
        <v>33194931.377273057</v>
      </c>
      <c r="F33" s="30">
        <f t="shared" si="5"/>
        <v>33395000.827228982</v>
      </c>
      <c r="G33" s="30">
        <f>E33+SUM(E$5:E32)</f>
        <v>968217805.61958945</v>
      </c>
    </row>
    <row r="34" spans="1:7" x14ac:dyDescent="0.3">
      <c r="A34" s="86">
        <f t="shared" si="0"/>
        <v>44196</v>
      </c>
      <c r="B34" s="6">
        <f t="shared" si="3"/>
        <v>145</v>
      </c>
      <c r="C34" s="31">
        <f t="shared" si="1"/>
        <v>239</v>
      </c>
      <c r="D34" s="30">
        <f t="shared" si="4"/>
        <v>10998686847.79727</v>
      </c>
      <c r="E34" s="30">
        <f t="shared" si="2"/>
        <v>33095346.583141234</v>
      </c>
      <c r="F34" s="30">
        <f t="shared" si="5"/>
        <v>33294815.824747298</v>
      </c>
      <c r="G34" s="30">
        <f>E34+SUM(E$5:E33)</f>
        <v>1001313152.2027307</v>
      </c>
    </row>
    <row r="35" spans="1:7" x14ac:dyDescent="0.3">
      <c r="A35" s="86">
        <f t="shared" si="0"/>
        <v>44201</v>
      </c>
      <c r="B35" s="6">
        <f t="shared" si="3"/>
        <v>150</v>
      </c>
      <c r="C35" s="31">
        <f t="shared" si="1"/>
        <v>240</v>
      </c>
      <c r="D35" s="30">
        <f t="shared" si="4"/>
        <v>10965690787.253878</v>
      </c>
      <c r="E35" s="30">
        <f t="shared" si="2"/>
        <v>32996060.543391809</v>
      </c>
      <c r="F35" s="30">
        <f t="shared" si="5"/>
        <v>33194931.377273057</v>
      </c>
      <c r="G35" s="30">
        <f>E35+SUM(E$5:E34)</f>
        <v>1034309212.7461225</v>
      </c>
    </row>
    <row r="36" spans="1:7" x14ac:dyDescent="0.3">
      <c r="A36" s="86">
        <f t="shared" si="0"/>
        <v>44206</v>
      </c>
      <c r="B36" s="6">
        <f t="shared" si="3"/>
        <v>155</v>
      </c>
      <c r="C36" s="31">
        <f t="shared" si="1"/>
        <v>241</v>
      </c>
      <c r="D36" s="30">
        <f t="shared" si="4"/>
        <v>10932793714.892117</v>
      </c>
      <c r="E36" s="30">
        <f t="shared" si="2"/>
        <v>32897072.361761633</v>
      </c>
      <c r="F36" s="30">
        <f t="shared" si="5"/>
        <v>33095346.583141234</v>
      </c>
      <c r="G36" s="30">
        <f>E36+SUM(E$5:E35)</f>
        <v>1067206285.1078842</v>
      </c>
    </row>
    <row r="37" spans="1:7" x14ac:dyDescent="0.3">
      <c r="A37" s="86">
        <f t="shared" si="0"/>
        <v>44211</v>
      </c>
      <c r="B37" s="6">
        <f t="shared" si="3"/>
        <v>160</v>
      </c>
      <c r="C37" s="31">
        <f t="shared" si="1"/>
        <v>242</v>
      </c>
      <c r="D37" s="30">
        <f t="shared" si="4"/>
        <v>10899995333.74744</v>
      </c>
      <c r="E37" s="30">
        <f t="shared" si="2"/>
        <v>32798381.14467635</v>
      </c>
      <c r="F37" s="30">
        <f t="shared" si="5"/>
        <v>32996060.543391809</v>
      </c>
      <c r="G37" s="30">
        <f>E37+SUM(E$5:E36)</f>
        <v>1100004666.2525606</v>
      </c>
    </row>
    <row r="38" spans="1:7" x14ac:dyDescent="0.3">
      <c r="A38" s="86">
        <f t="shared" si="0"/>
        <v>44216</v>
      </c>
      <c r="B38" s="6">
        <f t="shared" si="3"/>
        <v>165</v>
      </c>
      <c r="C38" s="31">
        <f t="shared" si="1"/>
        <v>243</v>
      </c>
      <c r="D38" s="30">
        <f t="shared" si="4"/>
        <v>10867295347.746199</v>
      </c>
      <c r="E38" s="30">
        <f t="shared" si="2"/>
        <v>32699986.001242321</v>
      </c>
      <c r="F38" s="30">
        <f t="shared" si="5"/>
        <v>32897072.361761633</v>
      </c>
      <c r="G38" s="30">
        <f>E38+SUM(E$5:E37)</f>
        <v>1132704652.253803</v>
      </c>
    </row>
    <row r="39" spans="1:7" x14ac:dyDescent="0.3">
      <c r="A39" s="86">
        <f t="shared" si="0"/>
        <v>44221</v>
      </c>
      <c r="B39" s="6">
        <f t="shared" si="3"/>
        <v>170</v>
      </c>
      <c r="C39" s="31">
        <f t="shared" si="1"/>
        <v>244</v>
      </c>
      <c r="D39" s="30">
        <f t="shared" si="4"/>
        <v>10834693461.702961</v>
      </c>
      <c r="E39" s="30">
        <f t="shared" si="2"/>
        <v>32601886.043238595</v>
      </c>
      <c r="F39" s="30">
        <f t="shared" si="5"/>
        <v>32798381.14467635</v>
      </c>
      <c r="G39" s="30">
        <f>E39+SUM(E$5:E38)</f>
        <v>1165306538.2970417</v>
      </c>
    </row>
    <row r="40" spans="1:7" x14ac:dyDescent="0.3">
      <c r="A40" s="86">
        <f t="shared" si="0"/>
        <v>44226</v>
      </c>
      <c r="B40" s="6">
        <f t="shared" si="3"/>
        <v>175</v>
      </c>
      <c r="C40" s="31">
        <f t="shared" si="1"/>
        <v>245</v>
      </c>
      <c r="D40" s="30">
        <f t="shared" si="4"/>
        <v>10802189381.317852</v>
      </c>
      <c r="E40" s="30">
        <f t="shared" si="2"/>
        <v>32504080.385108884</v>
      </c>
      <c r="F40" s="30">
        <f t="shared" si="5"/>
        <v>32699986.001242321</v>
      </c>
      <c r="G40" s="30">
        <f>E40+SUM(E$5:E39)</f>
        <v>1197810618.6821506</v>
      </c>
    </row>
    <row r="41" spans="1:7" x14ac:dyDescent="0.3">
      <c r="A41" s="86">
        <f t="shared" si="0"/>
        <v>44231</v>
      </c>
      <c r="B41" s="6">
        <f t="shared" si="3"/>
        <v>180</v>
      </c>
      <c r="C41" s="31">
        <f t="shared" si="1"/>
        <v>246</v>
      </c>
      <c r="D41" s="30">
        <f t="shared" si="4"/>
        <v>10769782813.173899</v>
      </c>
      <c r="E41" s="30">
        <f t="shared" si="2"/>
        <v>32406568.143953558</v>
      </c>
      <c r="F41" s="30">
        <f t="shared" si="5"/>
        <v>32601886.043238595</v>
      </c>
      <c r="G41" s="30">
        <f>E41+SUM(E$5:E40)</f>
        <v>1230217186.8261042</v>
      </c>
    </row>
    <row r="42" spans="1:7" x14ac:dyDescent="0.3">
      <c r="A42" s="86">
        <f t="shared" si="0"/>
        <v>44236</v>
      </c>
      <c r="B42" s="6">
        <f t="shared" ref="B42:B63" si="6">B41+5</f>
        <v>185</v>
      </c>
      <c r="C42" s="31">
        <f t="shared" si="1"/>
        <v>247</v>
      </c>
      <c r="D42" s="30">
        <f t="shared" si="4"/>
        <v>10737473464.734377</v>
      </c>
      <c r="E42" s="30">
        <f t="shared" si="2"/>
        <v>32309348.439521696</v>
      </c>
      <c r="F42" s="30">
        <f t="shared" si="5"/>
        <v>32504080.385108884</v>
      </c>
      <c r="G42" s="30">
        <f>E42+SUM(E$5:E41)</f>
        <v>1262526535.265626</v>
      </c>
    </row>
    <row r="43" spans="1:7" x14ac:dyDescent="0.3">
      <c r="A43" s="86">
        <f t="shared" si="0"/>
        <v>44241</v>
      </c>
      <c r="B43" s="6">
        <f t="shared" si="6"/>
        <v>190</v>
      </c>
      <c r="C43" s="31">
        <f t="shared" si="1"/>
        <v>248</v>
      </c>
      <c r="D43" s="30">
        <f t="shared" si="4"/>
        <v>10705261044.340174</v>
      </c>
      <c r="E43" s="30">
        <f t="shared" si="2"/>
        <v>32212420.39420313</v>
      </c>
      <c r="F43" s="30">
        <f t="shared" si="5"/>
        <v>32406568.143953558</v>
      </c>
      <c r="G43" s="30">
        <f>E43+SUM(E$5:E42)</f>
        <v>1294738955.6598291</v>
      </c>
    </row>
    <row r="44" spans="1:7" x14ac:dyDescent="0.3">
      <c r="A44" s="86">
        <f t="shared" si="0"/>
        <v>44246</v>
      </c>
      <c r="B44" s="6">
        <f t="shared" si="6"/>
        <v>195</v>
      </c>
      <c r="C44" s="31">
        <f t="shared" si="1"/>
        <v>249</v>
      </c>
      <c r="D44" s="30">
        <f t="shared" si="4"/>
        <v>10673145261.207153</v>
      </c>
      <c r="E44" s="30">
        <f t="shared" si="2"/>
        <v>32115783.13302052</v>
      </c>
      <c r="F44" s="30">
        <f t="shared" si="5"/>
        <v>32309348.439521696</v>
      </c>
      <c r="G44" s="30">
        <f>E44+SUM(E$5:E43)</f>
        <v>1326854738.7928495</v>
      </c>
    </row>
    <row r="45" spans="1:7" x14ac:dyDescent="0.3">
      <c r="A45" s="86">
        <f t="shared" si="0"/>
        <v>44251</v>
      </c>
      <c r="B45" s="6">
        <f t="shared" si="6"/>
        <v>200</v>
      </c>
      <c r="C45" s="31">
        <f t="shared" si="1"/>
        <v>250</v>
      </c>
      <c r="D45" s="30">
        <f t="shared" si="4"/>
        <v>10641125825.423532</v>
      </c>
      <c r="E45" s="30">
        <f t="shared" si="2"/>
        <v>32019435.78362146</v>
      </c>
      <c r="F45" s="30">
        <f t="shared" si="5"/>
        <v>32212420.39420313</v>
      </c>
      <c r="G45" s="30">
        <f>E45+SUM(E$5:E44)</f>
        <v>1358874174.5764711</v>
      </c>
    </row>
    <row r="46" spans="1:7" x14ac:dyDescent="0.3">
      <c r="A46" s="86">
        <f t="shared" si="0"/>
        <v>44256</v>
      </c>
      <c r="B46" s="6">
        <f t="shared" si="6"/>
        <v>205</v>
      </c>
      <c r="C46" s="31">
        <f t="shared" si="1"/>
        <v>251</v>
      </c>
      <c r="D46" s="30">
        <f t="shared" si="4"/>
        <v>10609202447.947262</v>
      </c>
      <c r="E46" s="30">
        <f t="shared" si="2"/>
        <v>31923377.476270597</v>
      </c>
      <c r="F46" s="30">
        <f t="shared" si="5"/>
        <v>32115783.13302052</v>
      </c>
      <c r="G46" s="30">
        <f>E46+SUM(E$5:E45)</f>
        <v>1390797552.0527418</v>
      </c>
    </row>
    <row r="47" spans="1:7" x14ac:dyDescent="0.3">
      <c r="A47" s="86">
        <f t="shared" si="0"/>
        <v>44261</v>
      </c>
      <c r="B47" s="6">
        <f t="shared" si="6"/>
        <v>210</v>
      </c>
      <c r="C47" s="31">
        <f t="shared" si="1"/>
        <v>252</v>
      </c>
      <c r="D47" s="30">
        <f t="shared" si="4"/>
        <v>10577374840.60342</v>
      </c>
      <c r="E47" s="30">
        <f t="shared" si="2"/>
        <v>31827607.343841787</v>
      </c>
      <c r="F47" s="30">
        <f t="shared" si="5"/>
        <v>32019435.78362146</v>
      </c>
      <c r="G47" s="30">
        <f>E47+SUM(E$5:E46)</f>
        <v>1422625159.3965836</v>
      </c>
    </row>
    <row r="48" spans="1:7" x14ac:dyDescent="0.3">
      <c r="A48" s="86">
        <f t="shared" si="0"/>
        <v>44266</v>
      </c>
      <c r="B48" s="6">
        <f t="shared" si="6"/>
        <v>215</v>
      </c>
      <c r="C48" s="31">
        <f t="shared" si="1"/>
        <v>253</v>
      </c>
      <c r="D48" s="30">
        <f t="shared" si="4"/>
        <v>10545642716.08161</v>
      </c>
      <c r="E48" s="30">
        <f t="shared" si="2"/>
        <v>31732124.52181026</v>
      </c>
      <c r="F48" s="30">
        <f t="shared" si="5"/>
        <v>31923377.476270597</v>
      </c>
      <c r="G48" s="30">
        <f>E48+SUM(E$5:E47)</f>
        <v>1454357283.9183939</v>
      </c>
    </row>
    <row r="49" spans="1:7" x14ac:dyDescent="0.3">
      <c r="A49" s="86">
        <f t="shared" si="0"/>
        <v>44271</v>
      </c>
      <c r="B49" s="6">
        <f t="shared" si="6"/>
        <v>220</v>
      </c>
      <c r="C49" s="31">
        <f t="shared" si="1"/>
        <v>254</v>
      </c>
      <c r="D49" s="30">
        <f t="shared" si="4"/>
        <v>10514005787.933365</v>
      </c>
      <c r="E49" s="30">
        <f t="shared" si="2"/>
        <v>31636928.148244828</v>
      </c>
      <c r="F49" s="30">
        <f t="shared" si="5"/>
        <v>31827607.343841787</v>
      </c>
      <c r="G49" s="30">
        <f>E49+SUM(E$5:E48)</f>
        <v>1485994212.0666387</v>
      </c>
    </row>
    <row r="50" spans="1:7" x14ac:dyDescent="0.3">
      <c r="A50" s="86">
        <f t="shared" si="0"/>
        <v>44276</v>
      </c>
      <c r="B50" s="6">
        <f t="shared" si="6"/>
        <v>225</v>
      </c>
      <c r="C50" s="31">
        <f t="shared" si="1"/>
        <v>255</v>
      </c>
      <c r="D50" s="30">
        <f t="shared" si="4"/>
        <v>10482463770.569565</v>
      </c>
      <c r="E50" s="30">
        <f t="shared" si="2"/>
        <v>31542017.363800094</v>
      </c>
      <c r="F50" s="30">
        <f t="shared" si="5"/>
        <v>31732124.52181026</v>
      </c>
      <c r="G50" s="30">
        <f>E50+SUM(E$5:E49)</f>
        <v>1517536229.4304388</v>
      </c>
    </row>
    <row r="51" spans="1:7" x14ac:dyDescent="0.3">
      <c r="A51" s="86">
        <f t="shared" si="0"/>
        <v>44281</v>
      </c>
      <c r="B51" s="6">
        <f t="shared" si="6"/>
        <v>230</v>
      </c>
      <c r="C51" s="31">
        <f t="shared" si="1"/>
        <v>256</v>
      </c>
      <c r="D51" s="30">
        <f t="shared" si="4"/>
        <v>10451016379.257856</v>
      </c>
      <c r="E51" s="30">
        <f t="shared" si="2"/>
        <v>31447391.311708696</v>
      </c>
      <c r="F51" s="30">
        <f t="shared" si="5"/>
        <v>31636928.148244828</v>
      </c>
      <c r="G51" s="30">
        <f>E51+SUM(E$5:E50)</f>
        <v>1548983620.7421474</v>
      </c>
    </row>
    <row r="52" spans="1:7" x14ac:dyDescent="0.3">
      <c r="A52" s="86">
        <f t="shared" si="0"/>
        <v>44286</v>
      </c>
      <c r="B52" s="6">
        <f t="shared" si="6"/>
        <v>235</v>
      </c>
      <c r="C52" s="31">
        <f t="shared" si="1"/>
        <v>257</v>
      </c>
      <c r="D52" s="30">
        <f t="shared" si="4"/>
        <v>10419663330.120083</v>
      </c>
      <c r="E52" s="30">
        <f t="shared" si="2"/>
        <v>31353049.13777357</v>
      </c>
      <c r="F52" s="30">
        <f t="shared" si="5"/>
        <v>31542017.363800094</v>
      </c>
      <c r="G52" s="30">
        <f>E52+SUM(E$5:E51)</f>
        <v>1580336669.879921</v>
      </c>
    </row>
    <row r="53" spans="1:7" x14ac:dyDescent="0.3">
      <c r="A53" s="86">
        <f t="shared" si="0"/>
        <v>44291</v>
      </c>
      <c r="B53" s="6">
        <f t="shared" si="6"/>
        <v>240</v>
      </c>
      <c r="C53" s="31">
        <f t="shared" si="1"/>
        <v>258</v>
      </c>
      <c r="D53" s="30">
        <f t="shared" si="4"/>
        <v>10388404340.129723</v>
      </c>
      <c r="E53" s="30">
        <f t="shared" si="2"/>
        <v>31258989.990360249</v>
      </c>
      <c r="F53" s="30">
        <f t="shared" si="5"/>
        <v>31447391.311708696</v>
      </c>
      <c r="G53" s="30">
        <f>E53+SUM(E$5:E52)</f>
        <v>1611595659.8702812</v>
      </c>
    </row>
    <row r="54" spans="1:7" x14ac:dyDescent="0.3">
      <c r="A54" s="86">
        <f t="shared" si="0"/>
        <v>44296</v>
      </c>
      <c r="B54" s="6">
        <f t="shared" si="6"/>
        <v>245</v>
      </c>
      <c r="C54" s="31">
        <f t="shared" si="1"/>
        <v>259</v>
      </c>
      <c r="D54" s="30">
        <f t="shared" si="4"/>
        <v>10357239127.109333</v>
      </c>
      <c r="E54" s="30">
        <f t="shared" si="2"/>
        <v>31165213.020389169</v>
      </c>
      <c r="F54" s="30">
        <f t="shared" si="5"/>
        <v>31353049.13777357</v>
      </c>
      <c r="G54" s="30">
        <f>E54+SUM(E$5:E53)</f>
        <v>1642760872.8906703</v>
      </c>
    </row>
    <row r="55" spans="1:7" x14ac:dyDescent="0.3">
      <c r="A55" s="86">
        <f t="shared" si="0"/>
        <v>44301</v>
      </c>
      <c r="B55" s="6">
        <f t="shared" si="6"/>
        <v>250</v>
      </c>
      <c r="C55" s="31">
        <f t="shared" si="1"/>
        <v>260</v>
      </c>
      <c r="D55" s="30">
        <f t="shared" si="4"/>
        <v>10326167409.728004</v>
      </c>
      <c r="E55" s="30">
        <f t="shared" si="2"/>
        <v>31071717.381328002</v>
      </c>
      <c r="F55" s="30">
        <f t="shared" si="5"/>
        <v>31258989.990360249</v>
      </c>
      <c r="G55" s="30">
        <f>E55+SUM(E$5:E54)</f>
        <v>1673832590.2719984</v>
      </c>
    </row>
    <row r="56" spans="1:7" x14ac:dyDescent="0.3">
      <c r="A56" s="86">
        <f t="shared" si="0"/>
        <v>44306</v>
      </c>
      <c r="B56" s="6">
        <f t="shared" si="6"/>
        <v>255</v>
      </c>
      <c r="C56" s="31">
        <f t="shared" si="1"/>
        <v>261</v>
      </c>
      <c r="D56" s="30">
        <f t="shared" si="4"/>
        <v>10295188907.498821</v>
      </c>
      <c r="E56" s="30">
        <f t="shared" si="2"/>
        <v>30978502.229184013</v>
      </c>
      <c r="F56" s="30">
        <f t="shared" si="5"/>
        <v>31165213.020389169</v>
      </c>
      <c r="G56" s="30">
        <f>E56+SUM(E$5:E55)</f>
        <v>1704811092.5011823</v>
      </c>
    </row>
    <row r="57" spans="1:7" x14ac:dyDescent="0.3">
      <c r="A57" s="86">
        <f t="shared" si="0"/>
        <v>44311</v>
      </c>
      <c r="B57" s="6">
        <f t="shared" si="6"/>
        <v>260</v>
      </c>
      <c r="C57" s="31">
        <f t="shared" si="1"/>
        <v>262</v>
      </c>
      <c r="D57" s="30">
        <f t="shared" si="4"/>
        <v>10264303340.776325</v>
      </c>
      <c r="E57" s="30">
        <f t="shared" si="2"/>
        <v>30885566.722496465</v>
      </c>
      <c r="F57" s="30">
        <f t="shared" si="5"/>
        <v>31071717.381328002</v>
      </c>
      <c r="G57" s="30">
        <f>E57+SUM(E$5:E56)</f>
        <v>1735696659.2236788</v>
      </c>
    </row>
    <row r="58" spans="1:7" x14ac:dyDescent="0.3">
      <c r="A58" s="86">
        <f t="shared" si="0"/>
        <v>44316</v>
      </c>
      <c r="B58" s="6">
        <f t="shared" si="6"/>
        <v>265</v>
      </c>
      <c r="C58" s="31">
        <f t="shared" si="1"/>
        <v>263</v>
      </c>
      <c r="D58" s="30">
        <f t="shared" si="4"/>
        <v>10233510430.753996</v>
      </c>
      <c r="E58" s="30">
        <f t="shared" si="2"/>
        <v>30792910.022328977</v>
      </c>
      <c r="F58" s="30">
        <f t="shared" si="5"/>
        <v>30978502.229184013</v>
      </c>
      <c r="G58" s="30">
        <f>E58+SUM(E$5:E57)</f>
        <v>1766489569.2460079</v>
      </c>
    </row>
    <row r="59" spans="1:7" x14ac:dyDescent="0.3">
      <c r="A59" s="86">
        <f t="shared" si="0"/>
        <v>44321</v>
      </c>
      <c r="B59" s="6">
        <f t="shared" si="6"/>
        <v>270</v>
      </c>
      <c r="C59" s="31">
        <f t="shared" si="1"/>
        <v>264</v>
      </c>
      <c r="D59" s="30">
        <f t="shared" si="4"/>
        <v>10202809899.461735</v>
      </c>
      <c r="E59" s="30">
        <f t="shared" si="2"/>
        <v>30700531.292261988</v>
      </c>
      <c r="F59" s="30">
        <f t="shared" si="5"/>
        <v>30885566.722496465</v>
      </c>
      <c r="G59" s="30">
        <f>E59+SUM(E$5:E58)</f>
        <v>1797190100.53827</v>
      </c>
    </row>
    <row r="60" spans="1:7" x14ac:dyDescent="0.3">
      <c r="A60" s="86">
        <f t="shared" si="0"/>
        <v>44326</v>
      </c>
      <c r="B60" s="6">
        <f t="shared" si="6"/>
        <v>275</v>
      </c>
      <c r="C60" s="31">
        <f t="shared" si="1"/>
        <v>265</v>
      </c>
      <c r="D60" s="30">
        <f t="shared" si="4"/>
        <v>10172201469.76335</v>
      </c>
      <c r="E60" s="30">
        <f t="shared" si="2"/>
        <v>30608429.698385205</v>
      </c>
      <c r="F60" s="30">
        <f t="shared" si="5"/>
        <v>30792910.022328977</v>
      </c>
      <c r="G60" s="30">
        <f>E60+SUM(E$5:E59)</f>
        <v>1827798530.2366552</v>
      </c>
    </row>
    <row r="61" spans="1:7" x14ac:dyDescent="0.3">
      <c r="A61" s="86">
        <f t="shared" si="0"/>
        <v>44331</v>
      </c>
      <c r="B61" s="6">
        <f t="shared" si="6"/>
        <v>280</v>
      </c>
      <c r="C61" s="31">
        <f t="shared" si="1"/>
        <v>266</v>
      </c>
      <c r="D61" s="30">
        <f t="shared" si="4"/>
        <v>10141684865.354059</v>
      </c>
      <c r="E61" s="30">
        <f t="shared" si="2"/>
        <v>30516604.409290049</v>
      </c>
      <c r="F61" s="30">
        <f t="shared" si="5"/>
        <v>30700531.292261988</v>
      </c>
      <c r="G61" s="30">
        <f>E61+SUM(E$5:E60)</f>
        <v>1858315134.6459453</v>
      </c>
    </row>
    <row r="62" spans="1:7" x14ac:dyDescent="0.3">
      <c r="A62" s="86">
        <f t="shared" si="0"/>
        <v>44336</v>
      </c>
      <c r="B62" s="6">
        <f t="shared" si="6"/>
        <v>285</v>
      </c>
      <c r="C62" s="31">
        <f t="shared" si="1"/>
        <v>267</v>
      </c>
      <c r="D62" s="30">
        <f t="shared" si="4"/>
        <v>10111259810.757998</v>
      </c>
      <c r="E62" s="30">
        <f t="shared" si="2"/>
        <v>30425054.59606218</v>
      </c>
      <c r="F62" s="30">
        <f t="shared" si="5"/>
        <v>30608429.698385205</v>
      </c>
      <c r="G62" s="30">
        <f>E62+SUM(E$5:E61)</f>
        <v>1888740189.2420075</v>
      </c>
    </row>
    <row r="63" spans="1:7" x14ac:dyDescent="0.3">
      <c r="A63" s="86">
        <f t="shared" si="0"/>
        <v>44341</v>
      </c>
      <c r="B63" s="6">
        <f t="shared" si="6"/>
        <v>290</v>
      </c>
      <c r="C63" s="31">
        <f t="shared" si="1"/>
        <v>268</v>
      </c>
      <c r="D63" s="30">
        <f t="shared" si="4"/>
        <v>10080926031.325724</v>
      </c>
      <c r="E63" s="30">
        <f t="shared" si="2"/>
        <v>30333779.432273991</v>
      </c>
      <c r="F63" s="30">
        <f t="shared" si="5"/>
        <v>30516604.409290049</v>
      </c>
      <c r="G63" s="30">
        <f>E63+SUM(E$5:E62)</f>
        <v>1919073968.6742816</v>
      </c>
    </row>
    <row r="64" spans="1:7" x14ac:dyDescent="0.3">
      <c r="A64" s="86">
        <f t="shared" si="0"/>
        <v>44346</v>
      </c>
      <c r="B64" s="6">
        <f t="shared" ref="B64:B78" si="7">B63+5</f>
        <v>295</v>
      </c>
      <c r="C64" s="31">
        <f t="shared" si="1"/>
        <v>269</v>
      </c>
      <c r="D64" s="30">
        <f t="shared" si="4"/>
        <v>10050683253.231747</v>
      </c>
      <c r="E64" s="30">
        <f t="shared" si="2"/>
        <v>30242778.093977172</v>
      </c>
      <c r="F64" s="30">
        <f t="shared" si="5"/>
        <v>30425054.59606218</v>
      </c>
      <c r="G64" s="30">
        <f>E64+SUM(E$5:E63)</f>
        <v>1949316746.7682588</v>
      </c>
    </row>
    <row r="65" spans="1:8" x14ac:dyDescent="0.3">
      <c r="A65" s="86">
        <f t="shared" si="0"/>
        <v>44351</v>
      </c>
      <c r="B65" s="6">
        <f t="shared" si="7"/>
        <v>300</v>
      </c>
      <c r="C65" s="31">
        <f t="shared" si="1"/>
        <v>270</v>
      </c>
      <c r="D65" s="30">
        <f t="shared" si="4"/>
        <v>10020531203.472052</v>
      </c>
      <c r="E65" s="30">
        <f t="shared" si="2"/>
        <v>30152049.759695239</v>
      </c>
      <c r="F65" s="30">
        <f t="shared" si="5"/>
        <v>30333779.432273991</v>
      </c>
      <c r="G65" s="30">
        <f>E65+SUM(E$5:E64)</f>
        <v>1979468796.5279541</v>
      </c>
    </row>
    <row r="66" spans="1:8" x14ac:dyDescent="0.3">
      <c r="A66" s="86">
        <f t="shared" si="0"/>
        <v>44356</v>
      </c>
      <c r="B66" s="6">
        <f t="shared" si="7"/>
        <v>305</v>
      </c>
      <c r="C66" s="31">
        <f t="shared" si="1"/>
        <v>271</v>
      </c>
      <c r="D66" s="30">
        <f t="shared" si="4"/>
        <v>9990469609.8616352</v>
      </c>
      <c r="E66" s="30">
        <f t="shared" si="2"/>
        <v>30061593.610416155</v>
      </c>
      <c r="F66" s="30">
        <f t="shared" si="5"/>
        <v>30242778.093977172</v>
      </c>
      <c r="G66" s="30">
        <f>E66+SUM(E$5:E65)</f>
        <v>2009530390.1383703</v>
      </c>
    </row>
    <row r="67" spans="1:8" x14ac:dyDescent="0.3">
      <c r="A67" s="86">
        <f t="shared" si="0"/>
        <v>44361</v>
      </c>
      <c r="B67" s="6">
        <f t="shared" si="7"/>
        <v>310</v>
      </c>
      <c r="C67" s="31">
        <f t="shared" si="1"/>
        <v>272</v>
      </c>
      <c r="D67" s="30">
        <f t="shared" si="4"/>
        <v>9960498201.0320511</v>
      </c>
      <c r="E67" s="30">
        <f t="shared" si="2"/>
        <v>29971408.829584908</v>
      </c>
      <c r="F67" s="30">
        <f t="shared" si="5"/>
        <v>30152049.759695239</v>
      </c>
      <c r="G67" s="30">
        <f>E67+SUM(E$5:E66)</f>
        <v>2039501798.9679551</v>
      </c>
    </row>
    <row r="68" spans="1:8" x14ac:dyDescent="0.3">
      <c r="A68" s="86">
        <f t="shared" si="0"/>
        <v>44366</v>
      </c>
      <c r="B68" s="6">
        <f t="shared" si="7"/>
        <v>315</v>
      </c>
      <c r="C68" s="31">
        <f t="shared" si="1"/>
        <v>273</v>
      </c>
      <c r="D68" s="30">
        <f t="shared" si="4"/>
        <v>9930616706.4289551</v>
      </c>
      <c r="E68" s="30">
        <f t="shared" si="2"/>
        <v>29881494.603096154</v>
      </c>
      <c r="F68" s="30">
        <f t="shared" si="5"/>
        <v>30061593.610416155</v>
      </c>
      <c r="G68" s="30">
        <f>E68+SUM(E$5:E67)</f>
        <v>2069383293.5710514</v>
      </c>
    </row>
    <row r="69" spans="1:8" x14ac:dyDescent="0.3">
      <c r="A69" s="86">
        <f t="shared" si="0"/>
        <v>44371</v>
      </c>
      <c r="B69" s="6">
        <f t="shared" si="7"/>
        <v>320</v>
      </c>
      <c r="C69" s="31">
        <f t="shared" si="1"/>
        <v>274</v>
      </c>
      <c r="D69" s="30">
        <f t="shared" si="4"/>
        <v>9900824856.3096676</v>
      </c>
      <c r="E69" s="30">
        <f t="shared" si="2"/>
        <v>29791850.119286865</v>
      </c>
      <c r="F69" s="30">
        <f t="shared" si="5"/>
        <v>29971408.829584908</v>
      </c>
      <c r="G69" s="30">
        <f>E69+SUM(E$5:E68)</f>
        <v>2099175143.6903381</v>
      </c>
    </row>
    <row r="70" spans="1:8" x14ac:dyDescent="0.3">
      <c r="A70" s="86">
        <f t="shared" si="0"/>
        <v>44376</v>
      </c>
      <c r="B70" s="6">
        <f t="shared" si="7"/>
        <v>325</v>
      </c>
      <c r="C70" s="31">
        <f t="shared" si="1"/>
        <v>275</v>
      </c>
      <c r="D70" s="30">
        <f t="shared" si="4"/>
        <v>9871122381.7407379</v>
      </c>
      <c r="E70" s="30">
        <f t="shared" si="2"/>
        <v>29702474.568929002</v>
      </c>
      <c r="F70" s="30">
        <f t="shared" si="5"/>
        <v>29881494.603096154</v>
      </c>
      <c r="G70" s="30">
        <f>E70+SUM(E$5:E69)</f>
        <v>2128877618.2592671</v>
      </c>
    </row>
    <row r="71" spans="1:8" x14ac:dyDescent="0.3">
      <c r="A71" s="86">
        <f t="shared" ref="A71:A78" si="8">A70+B71-B70</f>
        <v>44381</v>
      </c>
      <c r="B71" s="6">
        <f t="shared" si="7"/>
        <v>330</v>
      </c>
      <c r="C71" s="31">
        <f t="shared" ref="C71:C78" si="9">C70+1</f>
        <v>276</v>
      </c>
      <c r="D71" s="30">
        <f t="shared" si="4"/>
        <v>9841509014.5955162</v>
      </c>
      <c r="E71" s="30">
        <f t="shared" ref="E71:E78" si="10">$B$1*D70</f>
        <v>29613367.145222213</v>
      </c>
      <c r="F71" s="30">
        <f t="shared" si="5"/>
        <v>29791850.119286865</v>
      </c>
      <c r="G71" s="30">
        <f>E71+SUM(E$5:E70)</f>
        <v>2158490985.4044895</v>
      </c>
    </row>
    <row r="72" spans="1:8" x14ac:dyDescent="0.3">
      <c r="A72" s="86">
        <f t="shared" si="8"/>
        <v>44386</v>
      </c>
      <c r="B72" s="6">
        <f t="shared" si="7"/>
        <v>335</v>
      </c>
      <c r="C72" s="31">
        <f t="shared" si="9"/>
        <v>277</v>
      </c>
      <c r="D72" s="30">
        <f t="shared" ref="D72:D78" si="11">D71-E72</f>
        <v>9811984487.5517292</v>
      </c>
      <c r="E72" s="30">
        <f t="shared" si="10"/>
        <v>29524527.043786548</v>
      </c>
      <c r="F72" s="30">
        <f t="shared" si="5"/>
        <v>29702474.568929002</v>
      </c>
      <c r="G72" s="30">
        <f>E72+SUM(E$5:E71)</f>
        <v>2188015512.448276</v>
      </c>
    </row>
    <row r="73" spans="1:8" x14ac:dyDescent="0.3">
      <c r="A73" s="86">
        <f t="shared" si="8"/>
        <v>44391</v>
      </c>
      <c r="B73" s="6">
        <f t="shared" si="7"/>
        <v>340</v>
      </c>
      <c r="C73" s="31">
        <f t="shared" si="9"/>
        <v>278</v>
      </c>
      <c r="D73" s="30">
        <f t="shared" si="11"/>
        <v>9782548534.0890732</v>
      </c>
      <c r="E73" s="30">
        <f t="shared" si="10"/>
        <v>29435953.462655187</v>
      </c>
      <c r="F73" s="30">
        <f t="shared" ref="F73:F78" si="12">E71</f>
        <v>29613367.145222213</v>
      </c>
      <c r="G73" s="30">
        <f>E73+SUM(E$5:E72)</f>
        <v>2217451465.9109311</v>
      </c>
    </row>
    <row r="74" spans="1:8" x14ac:dyDescent="0.3">
      <c r="A74" s="86">
        <f t="shared" si="8"/>
        <v>44396</v>
      </c>
      <c r="B74" s="6">
        <f t="shared" si="7"/>
        <v>345</v>
      </c>
      <c r="C74" s="31">
        <f t="shared" si="9"/>
        <v>279</v>
      </c>
      <c r="D74" s="30">
        <f t="shared" si="11"/>
        <v>9753200888.4868069</v>
      </c>
      <c r="E74" s="30">
        <f t="shared" si="10"/>
        <v>29347645.602267221</v>
      </c>
      <c r="F74" s="30">
        <f t="shared" si="12"/>
        <v>29524527.043786548</v>
      </c>
      <c r="G74" s="30">
        <f>E74+SUM(E$5:E73)</f>
        <v>2246799111.5131984</v>
      </c>
    </row>
    <row r="75" spans="1:8" x14ac:dyDescent="0.3">
      <c r="A75" s="86">
        <f t="shared" si="8"/>
        <v>44401</v>
      </c>
      <c r="B75" s="6">
        <f t="shared" si="7"/>
        <v>350</v>
      </c>
      <c r="C75" s="31">
        <f t="shared" si="9"/>
        <v>280</v>
      </c>
      <c r="D75" s="30">
        <f t="shared" si="11"/>
        <v>9723941285.8213463</v>
      </c>
      <c r="E75" s="30">
        <f t="shared" si="10"/>
        <v>29259602.665460423</v>
      </c>
      <c r="F75" s="30">
        <f t="shared" si="12"/>
        <v>29435953.462655187</v>
      </c>
      <c r="G75" s="30">
        <f>E75+SUM(E$5:E74)</f>
        <v>2276058714.178659</v>
      </c>
    </row>
    <row r="76" spans="1:8" x14ac:dyDescent="0.3">
      <c r="A76" s="86">
        <f t="shared" si="8"/>
        <v>44406</v>
      </c>
      <c r="B76" s="6">
        <f t="shared" si="7"/>
        <v>355</v>
      </c>
      <c r="C76" s="31">
        <f t="shared" si="9"/>
        <v>281</v>
      </c>
      <c r="D76" s="30">
        <f t="shared" si="11"/>
        <v>9694769461.9638824</v>
      </c>
      <c r="E76" s="30">
        <f t="shared" si="10"/>
        <v>29171823.857464038</v>
      </c>
      <c r="F76" s="30">
        <f t="shared" si="12"/>
        <v>29347645.602267221</v>
      </c>
      <c r="G76" s="30">
        <f>E76+SUM(E$5:E75)</f>
        <v>2305230538.0361228</v>
      </c>
    </row>
    <row r="77" spans="1:8" x14ac:dyDescent="0.3">
      <c r="A77" s="86">
        <f t="shared" si="8"/>
        <v>44411</v>
      </c>
      <c r="B77" s="6">
        <f t="shared" si="7"/>
        <v>360</v>
      </c>
      <c r="C77" s="31">
        <f t="shared" si="9"/>
        <v>282</v>
      </c>
      <c r="D77" s="30">
        <f t="shared" si="11"/>
        <v>9665685153.5779915</v>
      </c>
      <c r="E77" s="30">
        <f t="shared" si="10"/>
        <v>29084308.385891646</v>
      </c>
      <c r="F77" s="30">
        <f t="shared" si="12"/>
        <v>29259602.665460423</v>
      </c>
      <c r="G77" s="30">
        <f>E77+SUM(E$5:E76)</f>
        <v>2334314846.4220142</v>
      </c>
    </row>
    <row r="78" spans="1:8" x14ac:dyDescent="0.3">
      <c r="A78" s="86">
        <f t="shared" si="8"/>
        <v>44416</v>
      </c>
      <c r="B78" s="6">
        <f t="shared" si="7"/>
        <v>365</v>
      </c>
      <c r="C78" s="31">
        <f t="shared" si="9"/>
        <v>283</v>
      </c>
      <c r="D78" s="30">
        <f t="shared" si="11"/>
        <v>9636688098.1172581</v>
      </c>
      <c r="E78" s="30">
        <f t="shared" si="10"/>
        <v>28997055.460733976</v>
      </c>
      <c r="F78" s="30">
        <f t="shared" si="12"/>
        <v>29171823.857464038</v>
      </c>
      <c r="G78" s="30">
        <f>E78+SUM(E$5:E77)</f>
        <v>2363311901.8827481</v>
      </c>
    </row>
    <row r="79" spans="1:8" s="17" customFormat="1" x14ac:dyDescent="0.3">
      <c r="A79" s="3" t="s">
        <v>59</v>
      </c>
      <c r="C79" s="3"/>
      <c r="D79" s="2"/>
      <c r="E79" s="2">
        <f>SUM(E6:E78)</f>
        <v>2363311901.8827481</v>
      </c>
      <c r="F79" s="2">
        <f>SUM(F8:F78)</f>
        <v>2305230538.0361228</v>
      </c>
      <c r="G79" s="3"/>
      <c r="H79" s="2"/>
    </row>
    <row r="80" spans="1:8" x14ac:dyDescent="0.3">
      <c r="D80" s="30"/>
      <c r="E80" s="4"/>
    </row>
    <row r="81" spans="2:15" x14ac:dyDescent="0.3">
      <c r="D81" s="30"/>
    </row>
    <row r="83" spans="2:15" x14ac:dyDescent="0.3">
      <c r="B83" s="6" t="s">
        <v>80</v>
      </c>
      <c r="C83" s="31" t="s">
        <v>85</v>
      </c>
      <c r="D83" s="31" t="s">
        <v>54</v>
      </c>
      <c r="E83" s="31" t="s">
        <v>64</v>
      </c>
      <c r="F83" s="31" t="s">
        <v>62</v>
      </c>
      <c r="G83" s="31" t="s">
        <v>93</v>
      </c>
      <c r="I83" s="31" t="s">
        <v>92</v>
      </c>
      <c r="J83" s="31" t="s">
        <v>86</v>
      </c>
      <c r="K83" s="6" t="s">
        <v>89</v>
      </c>
      <c r="L83" s="6" t="s">
        <v>88</v>
      </c>
      <c r="M83" s="6" t="s">
        <v>87</v>
      </c>
      <c r="O83" s="6" t="s">
        <v>90</v>
      </c>
    </row>
    <row r="84" spans="2:15" x14ac:dyDescent="0.3">
      <c r="B84" s="6">
        <v>2021</v>
      </c>
      <c r="C84" s="31">
        <v>1</v>
      </c>
      <c r="D84" s="30">
        <f>D78</f>
        <v>9636688098.1172581</v>
      </c>
      <c r="E84" s="30">
        <f>E79</f>
        <v>2363311901.8827481</v>
      </c>
      <c r="F84" s="30">
        <f>Rewards!C51</f>
        <v>33000000000</v>
      </c>
      <c r="G84" s="4">
        <f>E84/F84</f>
        <v>7.1615512178265089E-2</v>
      </c>
      <c r="I84" s="4">
        <f>SUM(E84+J84)/F84 * (1-Rewards!$C$30)</f>
        <v>5.7354349136551477E-2</v>
      </c>
      <c r="J84" s="30">
        <f>1400*365*5</f>
        <v>2555000</v>
      </c>
      <c r="K84" s="6">
        <f>M84/L84</f>
        <v>4</v>
      </c>
      <c r="L84" s="6">
        <v>16384</v>
      </c>
      <c r="M84" s="6">
        <f>65536</f>
        <v>65536</v>
      </c>
    </row>
    <row r="85" spans="2:15" x14ac:dyDescent="0.3">
      <c r="B85" s="6">
        <v>2022</v>
      </c>
      <c r="C85" s="31">
        <v>2</v>
      </c>
      <c r="D85" s="30">
        <f>$D$5 * (1-$B$1)^(73*C85)</f>
        <v>7738813125.0329065</v>
      </c>
      <c r="E85" s="30">
        <f>(D84-D85) *(1- Rewards!$C$30)</f>
        <v>1518299978.4674814</v>
      </c>
      <c r="F85" s="30">
        <f>F84+E84</f>
        <v>35363311901.882751</v>
      </c>
      <c r="G85" s="4">
        <f t="shared" ref="G85:G88" si="13">E85/F85</f>
        <v>4.2934326475983907E-2</v>
      </c>
      <c r="I85" s="4">
        <f>SUM(E85+J85)/F85 * (1-Rewards!$C$30)</f>
        <v>3.723746198963554E-2</v>
      </c>
      <c r="J85" s="30">
        <f>J84*50</f>
        <v>127750000</v>
      </c>
    </row>
    <row r="86" spans="2:15" x14ac:dyDescent="0.3">
      <c r="B86" s="6">
        <v>2023</v>
      </c>
      <c r="C86" s="31">
        <v>3</v>
      </c>
      <c r="D86" s="30">
        <f>$D$5 * (1-$B$1)^(73*C86)</f>
        <v>6214710694.6298532</v>
      </c>
      <c r="E86" s="30">
        <f>(D85-D86) *(1- Rewards!$C$30)</f>
        <v>1219281944.3224428</v>
      </c>
      <c r="F86" s="30">
        <f t="shared" ref="F86:F88" si="14">F85+E85</f>
        <v>36881611880.350235</v>
      </c>
      <c r="G86" s="4">
        <f t="shared" si="13"/>
        <v>3.3059345352854576E-2</v>
      </c>
      <c r="I86" s="4">
        <f>SUM(E86+J86)/F86 * (1-Rewards!$C$30)</f>
        <v>4.7230190510898377E-2</v>
      </c>
      <c r="J86" s="30">
        <f>J85*7.5</f>
        <v>958125000</v>
      </c>
    </row>
    <row r="87" spans="2:15" x14ac:dyDescent="0.3">
      <c r="B87" s="6">
        <v>2024</v>
      </c>
      <c r="C87" s="31">
        <v>4</v>
      </c>
      <c r="D87" s="30">
        <f>$D$5 * (1-$B$1)^(73*C87)</f>
        <v>4990769048.681797</v>
      </c>
      <c r="E87" s="30">
        <f>(D86-D87) *(1- Rewards!$C$30)</f>
        <v>979153316.75844502</v>
      </c>
      <c r="F87" s="30">
        <f t="shared" si="14"/>
        <v>38100893824.672676</v>
      </c>
      <c r="G87" s="4">
        <f t="shared" si="13"/>
        <v>2.5698959222956154E-2</v>
      </c>
      <c r="I87" s="4">
        <f>SUM(E87+J87)/F87 * (1-Rewards!$C$30)</f>
        <v>5.0735624794055939E-2</v>
      </c>
      <c r="J87" s="30">
        <f>J86*1.5</f>
        <v>1437187500</v>
      </c>
    </row>
    <row r="88" spans="2:15" x14ac:dyDescent="0.3">
      <c r="B88" s="6">
        <v>2025</v>
      </c>
      <c r="C88" s="31">
        <v>5</v>
      </c>
      <c r="D88" s="30">
        <f>$D$5 * (1-$B$1)^(73*C88)</f>
        <v>4007873724.3236561</v>
      </c>
      <c r="E88" s="30">
        <f>(D87-D88) *(1- Rewards!$C$30)</f>
        <v>786316259.48651278</v>
      </c>
      <c r="F88" s="30">
        <f t="shared" si="14"/>
        <v>39080047141.431122</v>
      </c>
      <c r="G88" s="4">
        <f t="shared" si="13"/>
        <v>2.0120657906087615E-2</v>
      </c>
      <c r="I88" s="4">
        <f>SUM(E88+J88)/F88 * (1-Rewards!$C$30)</f>
        <v>5.1400987320192097E-2</v>
      </c>
      <c r="J88" s="30">
        <f>J87*1.2</f>
        <v>1724625000</v>
      </c>
    </row>
    <row r="89" spans="2:15" x14ac:dyDescent="0.3">
      <c r="K89" s="23">
        <f>J88/((K92+(L92 *K93))/1000000)</f>
        <v>9249439.5122562256</v>
      </c>
    </row>
    <row r="91" spans="2:15" x14ac:dyDescent="0.3">
      <c r="K91" s="31" t="s">
        <v>12</v>
      </c>
      <c r="L91" s="31" t="s">
        <v>13</v>
      </c>
    </row>
    <row r="92" spans="2:15" x14ac:dyDescent="0.3">
      <c r="J92" s="6" t="s">
        <v>91</v>
      </c>
      <c r="K92" s="31">
        <v>44</v>
      </c>
      <c r="L92" s="31">
        <v>155381</v>
      </c>
    </row>
    <row r="93" spans="2:15" x14ac:dyDescent="0.3">
      <c r="J93" s="6" t="s">
        <v>94</v>
      </c>
      <c r="K93" s="31">
        <v>1200</v>
      </c>
    </row>
    <row r="94" spans="2:15" x14ac:dyDescent="0.3">
      <c r="K94" s="6">
        <f>K89/(21600 *73)</f>
        <v>5.8659560580011574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5E65-8124-4D59-B83F-04A19C4FEFFF}">
  <dimension ref="B1:M42"/>
  <sheetViews>
    <sheetView topLeftCell="A24" zoomScale="70" zoomScaleNormal="70" workbookViewId="0">
      <selection activeCell="R56" sqref="R56"/>
    </sheetView>
  </sheetViews>
  <sheetFormatPr defaultColWidth="9.109375" defaultRowHeight="14.4" x14ac:dyDescent="0.3"/>
  <cols>
    <col min="1" max="9" width="9.109375" style="6"/>
    <col min="10" max="10" width="9.109375" style="6" customWidth="1"/>
    <col min="11" max="16384" width="9.109375" style="6"/>
  </cols>
  <sheetData>
    <row r="1" spans="2:13" ht="15" thickBot="1" x14ac:dyDescent="0.35"/>
    <row r="2" spans="2:13" ht="21.6" thickBot="1" x14ac:dyDescent="0.45">
      <c r="E2" s="212" t="s">
        <v>108</v>
      </c>
      <c r="F2" s="213"/>
      <c r="G2" s="214"/>
      <c r="K2" s="212" t="s">
        <v>97</v>
      </c>
      <c r="L2" s="213"/>
      <c r="M2" s="214"/>
    </row>
    <row r="10" spans="2:13" ht="18" x14ac:dyDescent="0.35">
      <c r="B10" s="129" t="s">
        <v>54</v>
      </c>
    </row>
    <row r="42" spans="5:5" x14ac:dyDescent="0.3">
      <c r="E42" s="17" t="s">
        <v>109</v>
      </c>
    </row>
  </sheetData>
  <mergeCells count="2">
    <mergeCell ref="K2:M2"/>
    <mergeCell ref="E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CE86-1F0E-4166-A6F8-93105C878FF5}">
  <dimension ref="A1:AT234"/>
  <sheetViews>
    <sheetView topLeftCell="A23" zoomScale="80" zoomScaleNormal="80" workbookViewId="0">
      <selection activeCell="C51" sqref="C51"/>
    </sheetView>
  </sheetViews>
  <sheetFormatPr defaultRowHeight="14.4" x14ac:dyDescent="0.3"/>
  <cols>
    <col min="1" max="1" width="2" style="6" customWidth="1"/>
    <col min="2" max="2" width="40.88671875" bestFit="1" customWidth="1"/>
    <col min="3" max="3" width="13.88671875" bestFit="1" customWidth="1"/>
    <col min="4" max="4" width="41" style="6" bestFit="1" customWidth="1"/>
    <col min="5" max="5" width="10.44140625" customWidth="1"/>
    <col min="6" max="6" width="12" customWidth="1"/>
    <col min="7" max="24" width="10.6640625" customWidth="1"/>
    <col min="25" max="25" width="8.109375" bestFit="1" customWidth="1"/>
    <col min="26" max="26" width="15.44140625" style="1" bestFit="1" customWidth="1"/>
    <col min="27" max="27" width="5.33203125" style="6" customWidth="1"/>
    <col min="28" max="28" width="21.109375" bestFit="1" customWidth="1"/>
    <col min="29" max="29" width="2.5546875" customWidth="1"/>
    <col min="30" max="30" width="21.6640625" bestFit="1" customWidth="1"/>
    <col min="31" max="31" width="2" style="6" customWidth="1"/>
    <col min="32" max="32" width="20.6640625" bestFit="1" customWidth="1"/>
    <col min="33" max="33" width="1.6640625" style="6" customWidth="1"/>
    <col min="34" max="34" width="20.6640625" bestFit="1" customWidth="1"/>
    <col min="35" max="35" width="6.6640625" customWidth="1"/>
    <col min="36" max="36" width="11.6640625" customWidth="1"/>
    <col min="37" max="37" width="22.33203125" customWidth="1"/>
    <col min="38" max="38" width="1.88671875" customWidth="1"/>
    <col min="39" max="39" width="20.88671875" customWidth="1"/>
    <col min="41" max="41" width="8.88671875" customWidth="1"/>
    <col min="42" max="42" width="24.88671875" customWidth="1"/>
    <col min="43" max="43" width="1.6640625" customWidth="1"/>
    <col min="44" max="44" width="20.44140625" customWidth="1"/>
    <col min="57" max="57" width="11.33203125" bestFit="1" customWidth="1"/>
  </cols>
  <sheetData>
    <row r="1" spans="1:46" x14ac:dyDescent="0.3">
      <c r="B1" s="6"/>
      <c r="C1" s="6"/>
      <c r="E1" s="17" t="s">
        <v>80</v>
      </c>
      <c r="F1" s="31">
        <f>$C$27</f>
        <v>1</v>
      </c>
      <c r="G1" s="6">
        <v>0</v>
      </c>
      <c r="H1" s="6">
        <v>1E-3</v>
      </c>
      <c r="I1" s="6">
        <v>0.01</v>
      </c>
      <c r="J1" s="6">
        <v>0.02</v>
      </c>
      <c r="K1" s="6">
        <v>0.03</v>
      </c>
      <c r="L1" s="6">
        <v>0.04</v>
      </c>
      <c r="M1" s="6">
        <v>0.06</v>
      </c>
      <c r="N1" s="6">
        <v>0.08</v>
      </c>
      <c r="O1" s="6">
        <v>0.1</v>
      </c>
      <c r="P1" s="6">
        <v>0.2</v>
      </c>
      <c r="Q1" s="6">
        <v>0.3</v>
      </c>
      <c r="R1" s="6">
        <v>0.4</v>
      </c>
      <c r="S1" s="6">
        <v>0.45</v>
      </c>
      <c r="T1" s="6">
        <v>0.5</v>
      </c>
      <c r="U1" s="6">
        <v>0.75</v>
      </c>
      <c r="V1" s="6">
        <v>0.8</v>
      </c>
      <c r="W1" s="6">
        <v>0.95</v>
      </c>
      <c r="X1" s="6">
        <v>1</v>
      </c>
      <c r="AC1" s="6"/>
    </row>
    <row r="2" spans="1:46" x14ac:dyDescent="0.3">
      <c r="B2" s="6"/>
      <c r="C2" s="6"/>
      <c r="E2" s="17" t="s">
        <v>79</v>
      </c>
      <c r="F2" s="71">
        <f>$C$39</f>
        <v>0.14000000000000001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Z2" s="109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</row>
    <row r="3" spans="1:46" x14ac:dyDescent="0.3">
      <c r="B3" s="6"/>
      <c r="C3" s="6"/>
      <c r="E3" s="17" t="s">
        <v>78</v>
      </c>
      <c r="F3" s="72">
        <f>$C$41</f>
        <v>0.05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Z3" s="109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</row>
    <row r="4" spans="1:46" x14ac:dyDescent="0.3">
      <c r="B4" s="6"/>
      <c r="C4" s="6"/>
      <c r="E4" s="17" t="s">
        <v>46</v>
      </c>
      <c r="F4" s="102">
        <f>$C$42</f>
        <v>250000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Z4" s="109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</row>
    <row r="5" spans="1:46" x14ac:dyDescent="0.3">
      <c r="B5" s="6"/>
      <c r="C5" s="6"/>
      <c r="E5" s="94" t="s">
        <v>95</v>
      </c>
      <c r="F5" s="103">
        <f>$C$28</f>
        <v>150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Z5" s="109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</row>
    <row r="6" spans="1:46" ht="15" customHeight="1" x14ac:dyDescent="0.3">
      <c r="B6" s="3" t="s">
        <v>26</v>
      </c>
      <c r="C6" s="3" t="s">
        <v>4</v>
      </c>
      <c r="D6" s="17" t="s">
        <v>27</v>
      </c>
      <c r="E6" s="221" t="s">
        <v>28</v>
      </c>
      <c r="F6" s="222" t="s">
        <v>31</v>
      </c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Z6" s="111"/>
      <c r="AA6" s="110"/>
      <c r="AB6" s="111"/>
      <c r="AC6" s="111"/>
      <c r="AD6" s="112"/>
      <c r="AE6" s="112"/>
      <c r="AF6" s="112"/>
      <c r="AG6" s="112"/>
      <c r="AH6" s="112"/>
      <c r="AI6" s="112"/>
      <c r="AJ6" s="111"/>
      <c r="AK6" s="112"/>
      <c r="AL6" s="110"/>
      <c r="AM6" s="112"/>
      <c r="AN6" s="110"/>
      <c r="AO6" s="111"/>
      <c r="AP6" s="112"/>
      <c r="AQ6" s="110"/>
      <c r="AR6" s="112"/>
      <c r="AS6" s="110"/>
      <c r="AT6" s="110"/>
    </row>
    <row r="7" spans="1:46" x14ac:dyDescent="0.3">
      <c r="A7" s="6">
        <v>1</v>
      </c>
      <c r="B7" s="31" t="s">
        <v>0</v>
      </c>
      <c r="C7" s="106">
        <f>nOps</f>
        <v>150</v>
      </c>
      <c r="D7" s="6" t="s">
        <v>1</v>
      </c>
      <c r="E7" s="221"/>
      <c r="F7" s="9">
        <f>C46</f>
        <v>4.3002606489227886E-2</v>
      </c>
      <c r="G7" s="10">
        <f t="shared" ref="G7:X7" si="0">G1*saturation_point</f>
        <v>0</v>
      </c>
      <c r="H7" s="10">
        <f t="shared" si="0"/>
        <v>220000</v>
      </c>
      <c r="I7" s="10">
        <f t="shared" si="0"/>
        <v>2200000</v>
      </c>
      <c r="J7" s="10">
        <f t="shared" si="0"/>
        <v>4400000</v>
      </c>
      <c r="K7" s="10">
        <f t="shared" si="0"/>
        <v>6600000</v>
      </c>
      <c r="L7" s="10">
        <f t="shared" si="0"/>
        <v>8800000</v>
      </c>
      <c r="M7" s="10">
        <f t="shared" si="0"/>
        <v>13200000</v>
      </c>
      <c r="N7" s="10">
        <f t="shared" si="0"/>
        <v>17600000</v>
      </c>
      <c r="O7" s="10">
        <f t="shared" si="0"/>
        <v>22000000</v>
      </c>
      <c r="P7" s="10">
        <f t="shared" si="0"/>
        <v>44000000</v>
      </c>
      <c r="Q7" s="10">
        <f t="shared" si="0"/>
        <v>66000000</v>
      </c>
      <c r="R7" s="10">
        <f t="shared" si="0"/>
        <v>88000000</v>
      </c>
      <c r="S7" s="10">
        <f t="shared" si="0"/>
        <v>99000000</v>
      </c>
      <c r="T7" s="10">
        <f t="shared" si="0"/>
        <v>110000000</v>
      </c>
      <c r="U7" s="10">
        <f t="shared" si="0"/>
        <v>165000000</v>
      </c>
      <c r="V7" s="10">
        <f t="shared" si="0"/>
        <v>176000000</v>
      </c>
      <c r="W7" s="10">
        <f t="shared" si="0"/>
        <v>209000000</v>
      </c>
      <c r="X7" s="11">
        <f t="shared" si="0"/>
        <v>220000000</v>
      </c>
      <c r="Z7" s="113"/>
      <c r="AA7" s="114"/>
      <c r="AB7" s="115"/>
      <c r="AC7" s="115"/>
      <c r="AD7" s="115"/>
      <c r="AE7" s="116"/>
      <c r="AF7" s="115"/>
      <c r="AG7" s="115"/>
      <c r="AH7" s="115"/>
      <c r="AI7" s="116"/>
      <c r="AJ7" s="117"/>
      <c r="AK7" s="118"/>
      <c r="AL7" s="114"/>
      <c r="AM7" s="118"/>
      <c r="AN7" s="110"/>
      <c r="AO7" s="117"/>
      <c r="AP7" s="118"/>
      <c r="AQ7" s="114"/>
      <c r="AR7" s="118"/>
      <c r="AS7" s="110"/>
      <c r="AT7" s="110"/>
    </row>
    <row r="8" spans="1:46" ht="15" thickBot="1" x14ac:dyDescent="0.35">
      <c r="A8" s="6">
        <v>2</v>
      </c>
      <c r="B8" s="31" t="s">
        <v>37</v>
      </c>
      <c r="C8" s="107">
        <v>0.3</v>
      </c>
      <c r="D8" s="23" t="s">
        <v>35</v>
      </c>
      <c r="E8" s="221"/>
      <c r="F8" s="12">
        <f t="shared" ref="F8:F24" si="1">Y65*$C$36</f>
        <v>686401.71390719013</v>
      </c>
      <c r="G8" s="13">
        <f t="dataTable" ref="G8:X24" dt2D="1" dtr="1" r1="C42" r2="C43" ca="1"/>
        <v>4.2987982061279677E-2</v>
      </c>
      <c r="H8" s="13">
        <v>4.2996757902800116E-2</v>
      </c>
      <c r="I8" s="61" t="e">
        <v>#DIV/0!</v>
      </c>
      <c r="J8" s="63" t="e">
        <v>#DIV/0!</v>
      </c>
      <c r="K8" s="61" t="e">
        <v>#DIV/0!</v>
      </c>
      <c r="L8" s="61" t="e">
        <v>#DIV/0!</v>
      </c>
      <c r="M8" s="61" t="e">
        <v>#DIV/0!</v>
      </c>
      <c r="N8" s="61" t="e">
        <v>#DIV/0!</v>
      </c>
      <c r="O8" s="61" t="e">
        <v>#DIV/0!</v>
      </c>
      <c r="P8" s="61" t="e">
        <v>#DIV/0!</v>
      </c>
      <c r="Q8" s="61" t="e">
        <v>#DIV/0!</v>
      </c>
      <c r="R8" s="61" t="e">
        <v>#DIV/0!</v>
      </c>
      <c r="S8" s="61" t="e">
        <v>#DIV/0!</v>
      </c>
      <c r="T8" s="61" t="e">
        <v>#DIV/0!</v>
      </c>
      <c r="U8" s="61" t="e">
        <v>#DIV/0!</v>
      </c>
      <c r="V8" s="61" t="e">
        <v>#DIV/0!</v>
      </c>
      <c r="W8" s="61" t="e">
        <v>#DIV/0!</v>
      </c>
      <c r="X8" s="62" t="e">
        <v>#DIV/0!</v>
      </c>
      <c r="Z8" s="113"/>
      <c r="AA8" s="114"/>
      <c r="AB8" s="115"/>
      <c r="AC8" s="115"/>
      <c r="AD8" s="115"/>
      <c r="AE8" s="116"/>
      <c r="AF8" s="115"/>
      <c r="AG8" s="115"/>
      <c r="AH8" s="115"/>
      <c r="AI8" s="116"/>
      <c r="AJ8" s="117"/>
      <c r="AK8" s="118"/>
      <c r="AL8" s="114"/>
      <c r="AM8" s="118"/>
      <c r="AN8" s="110"/>
      <c r="AO8" s="117"/>
      <c r="AP8" s="118"/>
      <c r="AQ8" s="114"/>
      <c r="AR8" s="118"/>
      <c r="AS8" s="110"/>
      <c r="AT8" s="110"/>
    </row>
    <row r="9" spans="1:46" ht="15" thickBot="1" x14ac:dyDescent="0.35">
      <c r="A9" s="6">
        <v>3</v>
      </c>
      <c r="B9" s="31" t="s">
        <v>2</v>
      </c>
      <c r="C9" s="108">
        <v>1</v>
      </c>
      <c r="D9" s="6" t="s">
        <v>11</v>
      </c>
      <c r="E9" s="221"/>
      <c r="F9" s="12">
        <f t="shared" si="1"/>
        <v>1716004.2847679756</v>
      </c>
      <c r="G9" s="13">
        <v>4.298798206127967E-2</v>
      </c>
      <c r="H9" s="13">
        <v>4.2999237972495649E-2</v>
      </c>
      <c r="I9" s="43" t="e">
        <v>#DIV/0!</v>
      </c>
      <c r="J9" s="63" t="e">
        <v>#DIV/0!</v>
      </c>
      <c r="K9" s="61" t="e">
        <v>#DIV/0!</v>
      </c>
      <c r="L9" s="61" t="e">
        <v>#DIV/0!</v>
      </c>
      <c r="M9" s="61" t="e">
        <v>#DIV/0!</v>
      </c>
      <c r="N9" s="61" t="e">
        <v>#DIV/0!</v>
      </c>
      <c r="O9" s="61" t="e">
        <v>#DIV/0!</v>
      </c>
      <c r="P9" s="61" t="e">
        <v>#DIV/0!</v>
      </c>
      <c r="Q9" s="61" t="e">
        <v>#DIV/0!</v>
      </c>
      <c r="R9" s="61" t="e">
        <v>#DIV/0!</v>
      </c>
      <c r="S9" s="61" t="e">
        <v>#DIV/0!</v>
      </c>
      <c r="T9" s="61" t="e">
        <v>#DIV/0!</v>
      </c>
      <c r="U9" s="61" t="e">
        <v>#DIV/0!</v>
      </c>
      <c r="V9" s="61" t="e">
        <v>#DIV/0!</v>
      </c>
      <c r="W9" s="61" t="e">
        <v>#DIV/0!</v>
      </c>
      <c r="X9" s="62" t="e">
        <v>#DIV/0!</v>
      </c>
      <c r="Z9" s="113"/>
      <c r="AA9" s="114"/>
      <c r="AB9" s="115"/>
      <c r="AC9" s="115"/>
      <c r="AD9" s="115"/>
      <c r="AE9" s="116"/>
      <c r="AF9" s="115"/>
      <c r="AG9" s="115"/>
      <c r="AH9" s="115"/>
      <c r="AI9" s="116"/>
      <c r="AJ9" s="117"/>
      <c r="AK9" s="118"/>
      <c r="AL9" s="114"/>
      <c r="AM9" s="118"/>
      <c r="AN9" s="110"/>
      <c r="AO9" s="117"/>
      <c r="AP9" s="118"/>
      <c r="AQ9" s="114"/>
      <c r="AR9" s="118"/>
      <c r="AS9" s="110"/>
      <c r="AT9" s="110"/>
    </row>
    <row r="10" spans="1:46" x14ac:dyDescent="0.3">
      <c r="A10" s="6">
        <v>4</v>
      </c>
      <c r="B10" s="32" t="s">
        <v>3</v>
      </c>
      <c r="C10" s="130">
        <f>C42/C32</f>
        <v>7.5757575757575756E-6</v>
      </c>
      <c r="D10" s="6" t="s">
        <v>50</v>
      </c>
      <c r="E10" s="221"/>
      <c r="F10" s="12">
        <f t="shared" si="1"/>
        <v>6864017.1390719023</v>
      </c>
      <c r="G10" s="13">
        <v>4.298798206127967E-2</v>
      </c>
      <c r="H10" s="13">
        <v>4.3000478007343419E-2</v>
      </c>
      <c r="I10" s="13">
        <v>4.3076901151999719E-2</v>
      </c>
      <c r="J10" s="13">
        <v>4.3085730531792168E-2</v>
      </c>
      <c r="K10" s="61">
        <v>4.3014470200657011E-2</v>
      </c>
      <c r="L10" s="61" t="e">
        <v>#DIV/0!</v>
      </c>
      <c r="M10" s="61" t="e">
        <v>#DIV/0!</v>
      </c>
      <c r="N10" s="61" t="e">
        <v>#DIV/0!</v>
      </c>
      <c r="O10" s="61" t="e">
        <v>#DIV/0!</v>
      </c>
      <c r="P10" s="61" t="e">
        <v>#DIV/0!</v>
      </c>
      <c r="Q10" s="61" t="e">
        <v>#DIV/0!</v>
      </c>
      <c r="R10" s="61" t="e">
        <v>#DIV/0!</v>
      </c>
      <c r="S10" s="61" t="e">
        <v>#DIV/0!</v>
      </c>
      <c r="T10" s="61" t="e">
        <v>#DIV/0!</v>
      </c>
      <c r="U10" s="61" t="e">
        <v>#DIV/0!</v>
      </c>
      <c r="V10" s="61" t="e">
        <v>#DIV/0!</v>
      </c>
      <c r="W10" s="61" t="e">
        <v>#DIV/0!</v>
      </c>
      <c r="X10" s="62" t="e">
        <v>#DIV/0!</v>
      </c>
      <c r="Z10" s="113"/>
      <c r="AA10" s="114"/>
      <c r="AB10" s="115"/>
      <c r="AC10" s="115"/>
      <c r="AD10" s="115"/>
      <c r="AE10" s="116"/>
      <c r="AF10" s="115"/>
      <c r="AG10" s="115"/>
      <c r="AH10" s="115"/>
      <c r="AI10" s="116"/>
      <c r="AJ10" s="117"/>
      <c r="AK10" s="118"/>
      <c r="AL10" s="114"/>
      <c r="AM10" s="118"/>
      <c r="AN10" s="110"/>
      <c r="AO10" s="117"/>
      <c r="AP10" s="118"/>
      <c r="AQ10" s="114"/>
      <c r="AR10" s="118"/>
      <c r="AS10" s="110"/>
      <c r="AT10" s="110"/>
    </row>
    <row r="11" spans="1:46" ht="19.5" customHeight="1" x14ac:dyDescent="0.3">
      <c r="A11" s="6">
        <v>5</v>
      </c>
      <c r="B11" s="32" t="s">
        <v>5</v>
      </c>
      <c r="C11" s="131">
        <f>C43/C32</f>
        <v>2.3512121212121212E-3</v>
      </c>
      <c r="D11" s="6" t="s">
        <v>36</v>
      </c>
      <c r="E11" s="221"/>
      <c r="F11" s="12">
        <f t="shared" si="1"/>
        <v>10296025.708607852</v>
      </c>
      <c r="G11" s="13">
        <v>4.2987982061279684E-2</v>
      </c>
      <c r="H11" s="13">
        <v>4.3000615788993175E-2</v>
      </c>
      <c r="I11" s="13">
        <v>4.3090679316974939E-2</v>
      </c>
      <c r="J11" s="13">
        <v>4.3140843191693014E-2</v>
      </c>
      <c r="K11" s="13">
        <v>4.3138473685433935E-2</v>
      </c>
      <c r="L11" s="61">
        <v>4.3083570798197669E-2</v>
      </c>
      <c r="M11" s="61" t="e">
        <v>#DIV/0!</v>
      </c>
      <c r="N11" s="61" t="e">
        <v>#DIV/0!</v>
      </c>
      <c r="O11" s="61" t="e">
        <v>#DIV/0!</v>
      </c>
      <c r="P11" s="61" t="e">
        <v>#DIV/0!</v>
      </c>
      <c r="Q11" s="61" t="e">
        <v>#DIV/0!</v>
      </c>
      <c r="R11" s="61" t="e">
        <v>#DIV/0!</v>
      </c>
      <c r="S11" s="61" t="e">
        <v>#DIV/0!</v>
      </c>
      <c r="T11" s="61" t="e">
        <v>#DIV/0!</v>
      </c>
      <c r="U11" s="61" t="e">
        <v>#DIV/0!</v>
      </c>
      <c r="V11" s="61" t="e">
        <v>#DIV/0!</v>
      </c>
      <c r="W11" s="61" t="e">
        <v>#DIV/0!</v>
      </c>
      <c r="X11" s="62" t="e">
        <v>#DIV/0!</v>
      </c>
      <c r="Z11" s="113"/>
      <c r="AA11" s="114"/>
      <c r="AB11" s="115"/>
      <c r="AC11" s="115"/>
      <c r="AD11" s="115"/>
      <c r="AE11" s="116"/>
      <c r="AF11" s="115"/>
      <c r="AG11" s="115"/>
      <c r="AH11" s="115"/>
      <c r="AI11" s="116"/>
      <c r="AJ11" s="117"/>
      <c r="AK11" s="118"/>
      <c r="AL11" s="114"/>
      <c r="AM11" s="118"/>
      <c r="AN11" s="110"/>
      <c r="AO11" s="117"/>
      <c r="AP11" s="118"/>
      <c r="AQ11" s="114"/>
      <c r="AR11" s="118"/>
      <c r="AS11" s="110"/>
      <c r="AT11" s="110"/>
    </row>
    <row r="12" spans="1:46" x14ac:dyDescent="0.3">
      <c r="A12" s="6">
        <v>6</v>
      </c>
      <c r="B12" s="31" t="s">
        <v>38</v>
      </c>
      <c r="C12" s="95">
        <f>1/C7</f>
        <v>6.6666666666666671E-3</v>
      </c>
      <c r="D12" s="6" t="s">
        <v>8</v>
      </c>
      <c r="E12" s="221"/>
      <c r="F12" s="12">
        <f t="shared" si="1"/>
        <v>20592051.417215705</v>
      </c>
      <c r="G12" s="13">
        <v>4.2987982061279684E-2</v>
      </c>
      <c r="H12" s="13">
        <v>4.3000753570642931E-2</v>
      </c>
      <c r="I12" s="13">
        <v>4.3104457481950159E-2</v>
      </c>
      <c r="J12" s="13">
        <v>4.3195955851593859E-2</v>
      </c>
      <c r="K12" s="13">
        <v>4.3262477170210832E-2</v>
      </c>
      <c r="L12" s="13">
        <v>4.3304021437801057E-2</v>
      </c>
      <c r="M12" s="61">
        <v>4.3312178819901258E-2</v>
      </c>
      <c r="N12" s="61">
        <v>4.3220427997894495E-2</v>
      </c>
      <c r="O12" s="61" t="e">
        <v>#DIV/0!</v>
      </c>
      <c r="P12" s="61" t="e">
        <v>#DIV/0!</v>
      </c>
      <c r="Q12" s="61" t="e">
        <v>#DIV/0!</v>
      </c>
      <c r="R12" s="61" t="e">
        <v>#DIV/0!</v>
      </c>
      <c r="S12" s="61" t="e">
        <v>#DIV/0!</v>
      </c>
      <c r="T12" s="61" t="e">
        <v>#DIV/0!</v>
      </c>
      <c r="U12" s="61" t="e">
        <v>#DIV/0!</v>
      </c>
      <c r="V12" s="61" t="e">
        <v>#DIV/0!</v>
      </c>
      <c r="W12" s="61" t="e">
        <v>#DIV/0!</v>
      </c>
      <c r="X12" s="62" t="e">
        <v>#DIV/0!</v>
      </c>
      <c r="Z12" s="113"/>
      <c r="AA12" s="114"/>
      <c r="AB12" s="115"/>
      <c r="AC12" s="115"/>
      <c r="AD12" s="115"/>
      <c r="AE12" s="116"/>
      <c r="AF12" s="115"/>
      <c r="AG12" s="115"/>
      <c r="AH12" s="115"/>
      <c r="AI12" s="116"/>
      <c r="AJ12" s="117"/>
      <c r="AK12" s="118"/>
      <c r="AL12" s="114"/>
      <c r="AM12" s="118"/>
      <c r="AN12" s="110"/>
      <c r="AO12" s="117"/>
      <c r="AP12" s="118"/>
      <c r="AQ12" s="114"/>
      <c r="AR12" s="118"/>
      <c r="AS12" s="110"/>
      <c r="AT12" s="110"/>
    </row>
    <row r="13" spans="1:46" x14ac:dyDescent="0.3">
      <c r="A13" s="6">
        <v>7</v>
      </c>
      <c r="B13" s="32" t="s">
        <v>6</v>
      </c>
      <c r="C13" s="96">
        <f>MIN(C11,C12)</f>
        <v>2.3512121212121212E-3</v>
      </c>
      <c r="D13" s="6" t="s">
        <v>7</v>
      </c>
      <c r="E13" s="221"/>
      <c r="F13" s="12">
        <f t="shared" si="1"/>
        <v>33000000</v>
      </c>
      <c r="G13" s="13">
        <v>4.2987982061279677E-2</v>
      </c>
      <c r="H13" s="13">
        <v>4.3000805376328562E-2</v>
      </c>
      <c r="I13" s="13">
        <v>4.3109638050513099E-2</v>
      </c>
      <c r="J13" s="13">
        <v>4.3216678125845689E-2</v>
      </c>
      <c r="K13" s="13">
        <v>4.3309102287277447E-2</v>
      </c>
      <c r="L13" s="13">
        <v>4.3386910534808358E-2</v>
      </c>
      <c r="M13" s="13">
        <v>4.3498679288167683E-2</v>
      </c>
      <c r="N13" s="61">
        <v>4.3551984385923677E-2</v>
      </c>
      <c r="O13" s="61">
        <v>4.3546825828076313E-2</v>
      </c>
      <c r="P13" s="61" t="e">
        <v>#DIV/0!</v>
      </c>
      <c r="Q13" s="61" t="e">
        <v>#DIV/0!</v>
      </c>
      <c r="R13" s="61" t="e">
        <v>#DIV/0!</v>
      </c>
      <c r="S13" s="61" t="e">
        <v>#DIV/0!</v>
      </c>
      <c r="T13" s="61" t="e">
        <v>#DIV/0!</v>
      </c>
      <c r="U13" s="61" t="e">
        <v>#DIV/0!</v>
      </c>
      <c r="V13" s="61" t="e">
        <v>#DIV/0!</v>
      </c>
      <c r="W13" s="61" t="e">
        <v>#DIV/0!</v>
      </c>
      <c r="X13" s="62" t="e">
        <v>#DIV/0!</v>
      </c>
      <c r="Z13" s="113"/>
      <c r="AA13" s="114"/>
      <c r="AB13" s="115"/>
      <c r="AC13" s="115"/>
      <c r="AD13" s="115"/>
      <c r="AE13" s="116"/>
      <c r="AF13" s="115"/>
      <c r="AG13" s="115"/>
      <c r="AH13" s="115"/>
      <c r="AI13" s="116"/>
      <c r="AJ13" s="117"/>
      <c r="AK13" s="118"/>
      <c r="AL13" s="114"/>
      <c r="AM13" s="118"/>
      <c r="AN13" s="110"/>
      <c r="AO13" s="117"/>
      <c r="AP13" s="118"/>
      <c r="AQ13" s="114"/>
      <c r="AR13" s="118"/>
      <c r="AS13" s="110"/>
      <c r="AT13" s="110"/>
    </row>
    <row r="14" spans="1:46" x14ac:dyDescent="0.3">
      <c r="A14" s="6">
        <v>8</v>
      </c>
      <c r="B14" s="31" t="s">
        <v>9</v>
      </c>
      <c r="C14" s="97">
        <f>MIN(C10,C12)</f>
        <v>7.5757575757575756E-6</v>
      </c>
      <c r="D14" s="6" t="s">
        <v>10</v>
      </c>
      <c r="E14" s="221"/>
      <c r="F14" s="12">
        <f t="shared" si="1"/>
        <v>44000000</v>
      </c>
      <c r="G14" s="13">
        <v>4.2987982061279677E-2</v>
      </c>
      <c r="H14" s="13">
        <v>4.3000826870319586E-2</v>
      </c>
      <c r="I14" s="13">
        <v>4.3111787449616162E-2</v>
      </c>
      <c r="J14" s="13">
        <v>4.3225275722257941E-2</v>
      </c>
      <c r="K14" s="13">
        <v>4.3328446879205007E-2</v>
      </c>
      <c r="L14" s="13">
        <v>4.3421300920457373E-2</v>
      </c>
      <c r="M14" s="13">
        <v>4.3576057655877978E-2</v>
      </c>
      <c r="N14" s="13">
        <v>4.3689545928519764E-2</v>
      </c>
      <c r="O14" s="61">
        <v>4.3761765738382717E-2</v>
      </c>
      <c r="P14" s="61">
        <v>4.3503837846015032E-2</v>
      </c>
      <c r="Q14" s="61" t="e">
        <v>#DIV/0!</v>
      </c>
      <c r="R14" s="61" t="e">
        <v>#DIV/0!</v>
      </c>
      <c r="S14" s="61" t="e">
        <v>#DIV/0!</v>
      </c>
      <c r="T14" s="61" t="e">
        <v>#DIV/0!</v>
      </c>
      <c r="U14" s="61" t="e">
        <v>#DIV/0!</v>
      </c>
      <c r="V14" s="61" t="e">
        <v>#DIV/0!</v>
      </c>
      <c r="W14" s="61" t="e">
        <v>#DIV/0!</v>
      </c>
      <c r="X14" s="62" t="e">
        <v>#DIV/0!</v>
      </c>
      <c r="Z14" s="113"/>
      <c r="AA14" s="112"/>
      <c r="AB14" s="25"/>
      <c r="AC14" s="25"/>
      <c r="AD14" s="25"/>
      <c r="AE14" s="25"/>
      <c r="AF14" s="25"/>
      <c r="AG14" s="25"/>
      <c r="AH14" s="25"/>
      <c r="AI14" s="116"/>
      <c r="AJ14" s="117"/>
      <c r="AK14" s="119"/>
      <c r="AL14" s="112"/>
      <c r="AM14" s="119"/>
      <c r="AN14" s="110"/>
      <c r="AO14" s="117"/>
      <c r="AP14" s="119"/>
      <c r="AQ14" s="112"/>
      <c r="AR14" s="119"/>
      <c r="AS14" s="110"/>
      <c r="AT14" s="110"/>
    </row>
    <row r="15" spans="1:46" x14ac:dyDescent="0.3">
      <c r="B15" s="6"/>
      <c r="C15" s="6"/>
      <c r="E15" s="221"/>
      <c r="F15" s="12">
        <f t="shared" si="1"/>
        <v>55000000</v>
      </c>
      <c r="G15" s="13">
        <v>4.2987982061279677E-2</v>
      </c>
      <c r="H15" s="13">
        <v>4.3000839766714212E-2</v>
      </c>
      <c r="I15" s="13">
        <v>4.3113077089078009E-2</v>
      </c>
      <c r="J15" s="13">
        <v>4.3230434280105298E-2</v>
      </c>
      <c r="K15" s="13">
        <v>4.334005363436156E-2</v>
      </c>
      <c r="L15" s="13">
        <v>4.34419351518468E-2</v>
      </c>
      <c r="M15" s="13">
        <v>4.3622484676504168E-2</v>
      </c>
      <c r="N15" s="13">
        <v>4.3772082854077424E-2</v>
      </c>
      <c r="O15" s="13">
        <v>4.389072968456656E-2</v>
      </c>
      <c r="P15" s="61">
        <v>4.4019693630750395E-2</v>
      </c>
      <c r="Q15" s="61" t="e">
        <v>#DIV/0!</v>
      </c>
      <c r="R15" s="61" t="e">
        <v>#DIV/0!</v>
      </c>
      <c r="S15" s="61" t="e">
        <v>#DIV/0!</v>
      </c>
      <c r="T15" s="61" t="e">
        <v>#DIV/0!</v>
      </c>
      <c r="U15" s="61" t="e">
        <v>#DIV/0!</v>
      </c>
      <c r="V15" s="61" t="e">
        <v>#DIV/0!</v>
      </c>
      <c r="W15" s="61" t="e">
        <v>#DIV/0!</v>
      </c>
      <c r="X15" s="62" t="e">
        <v>#DIV/0!</v>
      </c>
      <c r="Z15" s="113"/>
      <c r="AA15" s="110"/>
      <c r="AB15" s="115"/>
      <c r="AC15" s="115"/>
      <c r="AD15" s="115"/>
      <c r="AE15" s="116"/>
      <c r="AF15" s="115"/>
      <c r="AG15" s="115"/>
      <c r="AH15" s="115"/>
      <c r="AI15" s="116"/>
      <c r="AJ15" s="117"/>
      <c r="AK15" s="118"/>
      <c r="AL15" s="114"/>
      <c r="AM15" s="118"/>
      <c r="AN15" s="120"/>
      <c r="AO15" s="117"/>
      <c r="AP15" s="118"/>
      <c r="AQ15" s="114"/>
      <c r="AR15" s="118"/>
      <c r="AS15" s="110"/>
      <c r="AT15" s="110"/>
    </row>
    <row r="16" spans="1:46" x14ac:dyDescent="0.3">
      <c r="A16" s="17" t="s">
        <v>12</v>
      </c>
      <c r="B16" s="31" t="s">
        <v>42</v>
      </c>
      <c r="C16" s="33">
        <f>(1-C13/C12)</f>
        <v>0.6473181818181819</v>
      </c>
      <c r="E16" s="221"/>
      <c r="F16" s="12">
        <f t="shared" si="1"/>
        <v>66000000</v>
      </c>
      <c r="G16" s="13">
        <v>4.2987982061279677E-2</v>
      </c>
      <c r="H16" s="13">
        <v>4.3000848364310625E-2</v>
      </c>
      <c r="I16" s="13">
        <v>4.3113936848719218E-2</v>
      </c>
      <c r="J16" s="13">
        <v>4.32338733186702E-2</v>
      </c>
      <c r="K16" s="13">
        <v>4.3347791471132581E-2</v>
      </c>
      <c r="L16" s="13">
        <v>4.3455691306106402E-2</v>
      </c>
      <c r="M16" s="13">
        <v>4.3653436023588288E-2</v>
      </c>
      <c r="N16" s="13">
        <v>4.3827107471115866E-2</v>
      </c>
      <c r="O16" s="13">
        <v>4.3976705648689114E-2</v>
      </c>
      <c r="P16" s="13">
        <v>4.4363597487240634E-2</v>
      </c>
      <c r="Q16" s="61">
        <v>4.414865757693423E-2</v>
      </c>
      <c r="R16" s="61" t="e">
        <v>#DIV/0!</v>
      </c>
      <c r="S16" s="61" t="e">
        <v>#DIV/0!</v>
      </c>
      <c r="T16" s="61" t="e">
        <v>#DIV/0!</v>
      </c>
      <c r="U16" s="61" t="e">
        <v>#DIV/0!</v>
      </c>
      <c r="V16" s="61" t="e">
        <v>#DIV/0!</v>
      </c>
      <c r="W16" s="61" t="e">
        <v>#DIV/0!</v>
      </c>
      <c r="X16" s="62" t="e">
        <v>#DIV/0!</v>
      </c>
      <c r="Z16" s="113"/>
      <c r="AA16" s="110"/>
      <c r="AB16" s="115"/>
      <c r="AC16" s="115"/>
      <c r="AD16" s="115"/>
      <c r="AE16" s="116"/>
      <c r="AF16" s="115"/>
      <c r="AG16" s="115"/>
      <c r="AH16" s="115"/>
      <c r="AI16" s="116"/>
      <c r="AJ16" s="117"/>
      <c r="AK16" s="118"/>
      <c r="AL16" s="114"/>
      <c r="AM16" s="118"/>
      <c r="AN16" s="110"/>
      <c r="AO16" s="117"/>
      <c r="AP16" s="118"/>
      <c r="AQ16" s="114"/>
      <c r="AR16" s="118"/>
      <c r="AS16" s="110"/>
      <c r="AT16" s="110"/>
    </row>
    <row r="17" spans="1:46" x14ac:dyDescent="0.3">
      <c r="A17" s="17" t="s">
        <v>13</v>
      </c>
      <c r="B17" s="31" t="s">
        <v>14</v>
      </c>
      <c r="C17" s="34">
        <f>C14 *C16</f>
        <v>4.9039256198347116E-6</v>
      </c>
      <c r="E17" s="221"/>
      <c r="F17" s="12">
        <f t="shared" si="1"/>
        <v>88000000</v>
      </c>
      <c r="G17" s="13">
        <v>4.2987982061279677E-2</v>
      </c>
      <c r="H17" s="13">
        <v>4.3000859111306133E-2</v>
      </c>
      <c r="I17" s="13">
        <v>4.3115011548270764E-2</v>
      </c>
      <c r="J17" s="13">
        <v>4.3238172116876333E-2</v>
      </c>
      <c r="K17" s="13">
        <v>4.3357463767096371E-2</v>
      </c>
      <c r="L17" s="13">
        <v>4.3472886498930913E-2</v>
      </c>
      <c r="M17" s="13">
        <v>4.3692125207443436E-2</v>
      </c>
      <c r="N17" s="13">
        <v>4.3895888242413902E-2</v>
      </c>
      <c r="O17" s="13">
        <v>4.4084175603842306E-2</v>
      </c>
      <c r="P17" s="13">
        <v>4.4793477307853428E-2</v>
      </c>
      <c r="Q17" s="13">
        <v>4.5115887173313024E-2</v>
      </c>
      <c r="R17" s="61">
        <v>4.5051405200221099E-2</v>
      </c>
      <c r="S17" s="61" t="e">
        <v>#DIV/0!</v>
      </c>
      <c r="T17" s="61" t="e">
        <v>#DIV/0!</v>
      </c>
      <c r="U17" s="61" t="e">
        <v>#DIV/0!</v>
      </c>
      <c r="V17" s="61" t="e">
        <v>#DIV/0!</v>
      </c>
      <c r="W17" s="61" t="e">
        <v>#DIV/0!</v>
      </c>
      <c r="X17" s="62" t="e">
        <v>#DIV/0!</v>
      </c>
      <c r="Z17" s="113"/>
      <c r="AA17" s="110"/>
      <c r="AB17" s="115"/>
      <c r="AC17" s="115"/>
      <c r="AD17" s="115"/>
      <c r="AE17" s="116"/>
      <c r="AF17" s="115"/>
      <c r="AG17" s="115"/>
      <c r="AH17" s="115"/>
      <c r="AI17" s="116"/>
      <c r="AJ17" s="117"/>
      <c r="AK17" s="118"/>
      <c r="AL17" s="114"/>
      <c r="AM17" s="118"/>
      <c r="AN17" s="110"/>
      <c r="AO17" s="117"/>
      <c r="AP17" s="118"/>
      <c r="AQ17" s="114"/>
      <c r="AR17" s="118"/>
      <c r="AS17" s="110"/>
      <c r="AT17" s="110"/>
    </row>
    <row r="18" spans="1:46" x14ac:dyDescent="0.3">
      <c r="A18" s="17" t="s">
        <v>15</v>
      </c>
      <c r="B18" s="31" t="s">
        <v>16</v>
      </c>
      <c r="C18" s="34">
        <f>C13-C17</f>
        <v>2.3463081955922864E-3</v>
      </c>
      <c r="E18" s="221"/>
      <c r="F18" s="12">
        <f t="shared" si="1"/>
        <v>110000000</v>
      </c>
      <c r="G18" s="13">
        <v>4.2987982061279677E-2</v>
      </c>
      <c r="H18" s="13">
        <v>4.3000865559503443E-2</v>
      </c>
      <c r="I18" s="13">
        <v>4.311565636800168E-2</v>
      </c>
      <c r="J18" s="13">
        <v>4.3240751395799991E-2</v>
      </c>
      <c r="K18" s="13">
        <v>4.3363267144674658E-2</v>
      </c>
      <c r="L18" s="13">
        <v>4.3483203614625619E-2</v>
      </c>
      <c r="M18" s="13">
        <v>4.3715338717756534E-2</v>
      </c>
      <c r="N18" s="13">
        <v>4.3937156705192736E-2</v>
      </c>
      <c r="O18" s="13">
        <v>4.414865757693423E-2</v>
      </c>
      <c r="P18" s="13">
        <v>4.5051405200221099E-2</v>
      </c>
      <c r="Q18" s="13">
        <v>4.5696224931140304E-2</v>
      </c>
      <c r="R18" s="13">
        <v>4.6083116769691825E-2</v>
      </c>
      <c r="S18" s="61">
        <v>4.6179839729329694E-2</v>
      </c>
      <c r="T18" s="61">
        <v>4.6212080715875653E-2</v>
      </c>
      <c r="U18" s="61" t="e">
        <v>#DIV/0!</v>
      </c>
      <c r="V18" s="61" t="e">
        <v>#DIV/0!</v>
      </c>
      <c r="W18" s="61" t="e">
        <v>#DIV/0!</v>
      </c>
      <c r="X18" s="62" t="e">
        <v>#DIV/0!</v>
      </c>
      <c r="Z18" s="113"/>
      <c r="AA18" s="110"/>
      <c r="AB18" s="115"/>
      <c r="AC18" s="115"/>
      <c r="AD18" s="115"/>
      <c r="AE18" s="116"/>
      <c r="AF18" s="115"/>
      <c r="AG18" s="115"/>
      <c r="AH18" s="115"/>
      <c r="AI18" s="116"/>
      <c r="AJ18" s="117"/>
      <c r="AK18" s="118"/>
      <c r="AL18" s="114"/>
      <c r="AM18" s="118"/>
      <c r="AN18" s="110"/>
      <c r="AO18" s="117"/>
      <c r="AP18" s="118"/>
      <c r="AQ18" s="114"/>
      <c r="AR18" s="118"/>
      <c r="AS18" s="110"/>
      <c r="AT18" s="110"/>
    </row>
    <row r="19" spans="1:46" x14ac:dyDescent="0.3">
      <c r="A19" s="17" t="s">
        <v>17</v>
      </c>
      <c r="B19" s="31" t="s">
        <v>41</v>
      </c>
      <c r="C19" s="34">
        <f>C18/C12</f>
        <v>0.35194622933884295</v>
      </c>
      <c r="E19" s="221"/>
      <c r="F19" s="12">
        <f t="shared" si="1"/>
        <v>132000000</v>
      </c>
      <c r="G19" s="13">
        <v>4.2987982061279677E-2</v>
      </c>
      <c r="H19" s="13">
        <v>4.3000869858301656E-2</v>
      </c>
      <c r="I19" s="13">
        <v>4.3116086247822302E-2</v>
      </c>
      <c r="J19" s="13">
        <v>4.3242470915082459E-2</v>
      </c>
      <c r="K19" s="13">
        <v>4.3367136063060169E-2</v>
      </c>
      <c r="L19" s="13">
        <v>4.3490081691755431E-2</v>
      </c>
      <c r="M19" s="13">
        <v>4.3730814391298591E-2</v>
      </c>
      <c r="N19" s="13">
        <v>4.3964669013711946E-2</v>
      </c>
      <c r="O19" s="13">
        <v>4.4191645558995504E-2</v>
      </c>
      <c r="P19" s="13">
        <v>4.5223357128466223E-2</v>
      </c>
      <c r="Q19" s="13">
        <v>4.6083116769691825E-2</v>
      </c>
      <c r="R19" s="13">
        <v>4.6770924482672289E-2</v>
      </c>
      <c r="S19" s="13">
        <v>4.7050346366070611E-2</v>
      </c>
      <c r="T19" s="61">
        <v>4.7286780267407652E-2</v>
      </c>
      <c r="U19" s="61" t="e">
        <v>#DIV/0!</v>
      </c>
      <c r="V19" s="61" t="e">
        <v>#DIV/0!</v>
      </c>
      <c r="W19" s="61" t="e">
        <v>#DIV/0!</v>
      </c>
      <c r="X19" s="62" t="e">
        <v>#DIV/0!</v>
      </c>
      <c r="Z19" s="113"/>
      <c r="AA19" s="110"/>
      <c r="AB19" s="115"/>
      <c r="AC19" s="115"/>
      <c r="AD19" s="115"/>
      <c r="AE19" s="116"/>
      <c r="AF19" s="115"/>
      <c r="AG19" s="115"/>
      <c r="AH19" s="115"/>
      <c r="AI19" s="116"/>
      <c r="AJ19" s="117"/>
      <c r="AK19" s="118"/>
      <c r="AL19" s="114"/>
      <c r="AM19" s="118"/>
      <c r="AN19" s="110"/>
      <c r="AO19" s="117"/>
      <c r="AP19" s="118"/>
      <c r="AQ19" s="114"/>
      <c r="AR19" s="118"/>
      <c r="AS19" s="110"/>
      <c r="AT19" s="110"/>
    </row>
    <row r="20" spans="1:46" x14ac:dyDescent="0.3">
      <c r="A20" s="17" t="s">
        <v>18</v>
      </c>
      <c r="B20" s="31" t="s">
        <v>40</v>
      </c>
      <c r="C20" s="34">
        <f>C14 * C8 *C19</f>
        <v>7.9987779395191582E-7</v>
      </c>
      <c r="E20" s="221"/>
      <c r="F20" s="12">
        <f t="shared" si="1"/>
        <v>154000000</v>
      </c>
      <c r="G20" s="13">
        <v>4.2987982061279684E-2</v>
      </c>
      <c r="H20" s="13">
        <v>4.3000872928871808E-2</v>
      </c>
      <c r="I20" s="13">
        <v>4.311639330483702E-2</v>
      </c>
      <c r="J20" s="13">
        <v>4.3243699143141356E-2</v>
      </c>
      <c r="K20" s="13">
        <v>4.336989957619268E-2</v>
      </c>
      <c r="L20" s="13">
        <v>4.3494994603991012E-2</v>
      </c>
      <c r="M20" s="13">
        <v>4.3741868443828637E-2</v>
      </c>
      <c r="N20" s="13">
        <v>4.3984320662654265E-2</v>
      </c>
      <c r="O20" s="13">
        <v>4.4222351260467849E-2</v>
      </c>
      <c r="P20" s="13">
        <v>4.53461799343556E-2</v>
      </c>
      <c r="Q20" s="13">
        <v>4.6359468082942903E-2</v>
      </c>
      <c r="R20" s="13">
        <v>4.7262215706229779E-2</v>
      </c>
      <c r="S20" s="13">
        <v>4.7672136820885551E-2</v>
      </c>
      <c r="T20" s="13">
        <v>4.8054422804216214E-2</v>
      </c>
      <c r="U20" s="61" t="e">
        <v>#DIV/0!</v>
      </c>
      <c r="V20" s="61" t="e">
        <v>#DIV/0!</v>
      </c>
      <c r="W20" s="61" t="e">
        <v>#DIV/0!</v>
      </c>
      <c r="X20" s="62" t="e">
        <v>#DIV/0!</v>
      </c>
      <c r="Z20" s="113"/>
      <c r="AA20" s="110"/>
      <c r="AB20" s="115"/>
      <c r="AC20" s="115"/>
      <c r="AD20" s="115"/>
      <c r="AE20" s="116"/>
      <c r="AF20" s="115"/>
      <c r="AG20" s="115"/>
      <c r="AH20" s="115"/>
      <c r="AI20" s="116"/>
      <c r="AJ20" s="117"/>
      <c r="AK20" s="118"/>
      <c r="AL20" s="114"/>
      <c r="AM20" s="118"/>
      <c r="AN20" s="110"/>
      <c r="AO20" s="117"/>
      <c r="AP20" s="118"/>
      <c r="AQ20" s="114"/>
      <c r="AR20" s="118"/>
      <c r="AS20" s="110"/>
      <c r="AT20" s="110"/>
    </row>
    <row r="21" spans="1:46" x14ac:dyDescent="0.3">
      <c r="A21" s="17" t="s">
        <v>19</v>
      </c>
      <c r="B21" s="31" t="s">
        <v>21</v>
      </c>
      <c r="C21" s="35">
        <f>C13+C20</f>
        <v>2.352011999006073E-3</v>
      </c>
      <c r="E21" s="221"/>
      <c r="F21" s="12">
        <f t="shared" si="1"/>
        <v>176000000</v>
      </c>
      <c r="G21" s="13">
        <v>4.2987982061279677E-2</v>
      </c>
      <c r="H21" s="13">
        <v>4.3000875231799407E-2</v>
      </c>
      <c r="I21" s="13">
        <v>4.3116623597598047E-2</v>
      </c>
      <c r="J21" s="13">
        <v>4.3244620314185515E-2</v>
      </c>
      <c r="K21" s="13">
        <v>4.3371972211042054E-2</v>
      </c>
      <c r="L21" s="13">
        <v>4.3498679288167683E-2</v>
      </c>
      <c r="M21" s="13">
        <v>4.3750158983226164E-2</v>
      </c>
      <c r="N21" s="13">
        <v>4.3999059399360975E-2</v>
      </c>
      <c r="O21" s="13">
        <v>4.4245380536572107E-2</v>
      </c>
      <c r="P21" s="13">
        <v>4.5438297038772613E-2</v>
      </c>
      <c r="Q21" s="13">
        <v>4.6566731567881207E-2</v>
      </c>
      <c r="R21" s="13">
        <v>4.7630684123897885E-2</v>
      </c>
      <c r="S21" s="13">
        <v>4.8138479661996747E-2</v>
      </c>
      <c r="T21" s="13">
        <v>4.8630154706822637E-2</v>
      </c>
      <c r="U21" s="13">
        <v>5.0846722531857375E-2</v>
      </c>
      <c r="V21" s="61">
        <v>5.1241674617045374E-2</v>
      </c>
      <c r="W21" s="61" t="e">
        <v>#DIV/0!</v>
      </c>
      <c r="X21" s="62" t="e">
        <v>#DIV/0!</v>
      </c>
      <c r="Z21" s="113"/>
      <c r="AA21" s="110"/>
      <c r="AB21" s="115"/>
      <c r="AC21" s="115"/>
      <c r="AD21" s="115"/>
      <c r="AE21" s="116"/>
      <c r="AF21" s="115"/>
      <c r="AG21" s="115"/>
      <c r="AH21" s="115"/>
      <c r="AI21" s="116"/>
      <c r="AJ21" s="117"/>
      <c r="AK21" s="118"/>
      <c r="AL21" s="114"/>
      <c r="AM21" s="118"/>
      <c r="AN21" s="110"/>
      <c r="AO21" s="117"/>
      <c r="AP21" s="118"/>
      <c r="AQ21" s="114"/>
      <c r="AR21" s="118"/>
      <c r="AS21" s="110"/>
      <c r="AT21" s="110"/>
    </row>
    <row r="22" spans="1:46" ht="15" thickBot="1" x14ac:dyDescent="0.35">
      <c r="A22" s="17" t="s">
        <v>20</v>
      </c>
      <c r="B22" s="31" t="s">
        <v>39</v>
      </c>
      <c r="C22" s="34">
        <f>C9/(1+C8)</f>
        <v>0.76923076923076916</v>
      </c>
      <c r="E22" s="221"/>
      <c r="F22" s="12">
        <f t="shared" si="1"/>
        <v>187000000</v>
      </c>
      <c r="G22" s="13">
        <v>4.2987982061279677E-2</v>
      </c>
      <c r="H22" s="13">
        <v>4.3000876180063728E-2</v>
      </c>
      <c r="I22" s="13">
        <v>4.3116718424029074E-2</v>
      </c>
      <c r="J22" s="13">
        <v>4.3244999619909595E-2</v>
      </c>
      <c r="K22" s="13">
        <v>4.3372825648921212E-2</v>
      </c>
      <c r="L22" s="13">
        <v>4.3500196511063967E-2</v>
      </c>
      <c r="M22" s="13">
        <v>4.3753572734742806E-2</v>
      </c>
      <c r="N22" s="13">
        <v>4.4005128290946105E-2</v>
      </c>
      <c r="O22" s="13">
        <v>4.4254863179673865E-2</v>
      </c>
      <c r="P22" s="13">
        <v>4.5476227611179636E-2</v>
      </c>
      <c r="Q22" s="13">
        <v>4.6652075355796983E-2</v>
      </c>
      <c r="R22" s="13">
        <v>4.7782406413525942E-2</v>
      </c>
      <c r="S22" s="13">
        <v>4.8330503184807243E-2</v>
      </c>
      <c r="T22" s="13">
        <v>4.8867220784366457E-2</v>
      </c>
      <c r="U22" s="13">
        <v>5.1380121206330974E-2</v>
      </c>
      <c r="V22" s="13">
        <v>5.1848563775557563E-2</v>
      </c>
      <c r="W22" s="61" t="e">
        <v>#DIV/0!</v>
      </c>
      <c r="X22" s="62" t="e">
        <v>#DIV/0!</v>
      </c>
      <c r="Y22" s="6"/>
      <c r="Z22" s="113"/>
      <c r="AA22" s="110"/>
      <c r="AB22" s="115"/>
      <c r="AC22" s="115"/>
      <c r="AD22" s="115"/>
      <c r="AE22" s="116"/>
      <c r="AF22" s="115"/>
      <c r="AG22" s="115"/>
      <c r="AH22" s="115"/>
      <c r="AI22" s="116"/>
      <c r="AJ22" s="117"/>
      <c r="AK22" s="118"/>
      <c r="AL22" s="114"/>
      <c r="AM22" s="118"/>
      <c r="AN22" s="110"/>
      <c r="AO22" s="117"/>
      <c r="AP22" s="118"/>
      <c r="AQ22" s="114"/>
      <c r="AR22" s="118"/>
      <c r="AS22" s="110"/>
      <c r="AT22" s="110"/>
    </row>
    <row r="23" spans="1:46" ht="15.75" customHeight="1" thickBot="1" x14ac:dyDescent="0.35">
      <c r="A23" s="125" t="s">
        <v>22</v>
      </c>
      <c r="B23" s="36" t="s">
        <v>23</v>
      </c>
      <c r="C23" s="122">
        <f>C22 * C21</f>
        <v>1.8092399992354405E-3</v>
      </c>
      <c r="E23" s="221"/>
      <c r="F23" s="12">
        <f t="shared" si="1"/>
        <v>198000000</v>
      </c>
      <c r="G23" s="13">
        <v>4.2987982061279677E-2</v>
      </c>
      <c r="H23" s="13">
        <v>4.3000877022965324E-2</v>
      </c>
      <c r="I23" s="13">
        <v>4.3116802714189981E-2</v>
      </c>
      <c r="J23" s="13">
        <v>4.3245336780553208E-2</v>
      </c>
      <c r="K23" s="13">
        <v>4.3373584260369351E-2</v>
      </c>
      <c r="L23" s="13">
        <v>4.3501545153638424E-2</v>
      </c>
      <c r="M23" s="13">
        <v>4.375660718053536E-2</v>
      </c>
      <c r="N23" s="13">
        <v>4.4010522861243989E-2</v>
      </c>
      <c r="O23" s="13">
        <v>4.426329219576431E-2</v>
      </c>
      <c r="P23" s="13">
        <v>4.5509943675541419E-2</v>
      </c>
      <c r="Q23" s="13">
        <v>4.6727936500611016E-2</v>
      </c>
      <c r="R23" s="13">
        <v>4.7917270670973088E-2</v>
      </c>
      <c r="S23" s="13">
        <v>4.8501190760638802E-2</v>
      </c>
      <c r="T23" s="13">
        <v>4.9077946186627641E-2</v>
      </c>
      <c r="U23" s="13">
        <v>5.1854253361418606E-2</v>
      </c>
      <c r="V23" s="13">
        <v>5.2388020805346165E-2</v>
      </c>
      <c r="W23" s="43" t="e">
        <v>#DIV/0!</v>
      </c>
      <c r="X23" s="62" t="e">
        <v>#DIV/0!</v>
      </c>
      <c r="Y23" s="6"/>
      <c r="Z23" s="113"/>
      <c r="AA23" s="110"/>
      <c r="AB23" s="115"/>
      <c r="AC23" s="115"/>
      <c r="AD23" s="115"/>
      <c r="AE23" s="116"/>
      <c r="AF23" s="115"/>
      <c r="AG23" s="115"/>
      <c r="AH23" s="115"/>
      <c r="AI23" s="116"/>
      <c r="AJ23" s="117"/>
      <c r="AK23" s="118"/>
      <c r="AL23" s="114"/>
      <c r="AM23" s="118"/>
      <c r="AN23" s="110"/>
      <c r="AO23" s="117"/>
      <c r="AP23" s="118"/>
      <c r="AQ23" s="114"/>
      <c r="AR23" s="118"/>
      <c r="AS23" s="110"/>
      <c r="AT23" s="110"/>
    </row>
    <row r="24" spans="1:46" x14ac:dyDescent="0.3">
      <c r="A24" s="126"/>
      <c r="B24" s="3"/>
      <c r="C24" s="98"/>
      <c r="E24" s="221"/>
      <c r="F24" s="27">
        <f t="shared" si="1"/>
        <v>220000000</v>
      </c>
      <c r="G24" s="14">
        <v>4.2987982061279677E-2</v>
      </c>
      <c r="H24" s="14">
        <v>4.3000878455898069E-2</v>
      </c>
      <c r="I24" s="14">
        <v>4.3116946007463519E-2</v>
      </c>
      <c r="J24" s="14">
        <v>4.3245909953647362E-2</v>
      </c>
      <c r="K24" s="14">
        <v>4.3374873899831197E-2</v>
      </c>
      <c r="L24" s="14">
        <v>4.3503837846015046E-2</v>
      </c>
      <c r="M24" s="14">
        <v>4.3761765738382724E-2</v>
      </c>
      <c r="N24" s="14">
        <v>4.4019693630750395E-2</v>
      </c>
      <c r="O24" s="14">
        <v>4.4277621523118066E-2</v>
      </c>
      <c r="P24" s="14">
        <v>4.5567260984956462E-2</v>
      </c>
      <c r="Q24" s="14">
        <v>4.6856900446794844E-2</v>
      </c>
      <c r="R24" s="14">
        <v>4.814653990863324E-2</v>
      </c>
      <c r="S24" s="28">
        <v>4.8791359639552431E-2</v>
      </c>
      <c r="T24" s="14">
        <v>4.9436179370471636E-2</v>
      </c>
      <c r="U24" s="14">
        <v>5.2660278025067606E-2</v>
      </c>
      <c r="V24" s="14">
        <v>5.3305097755986804E-2</v>
      </c>
      <c r="W24" s="14">
        <v>5.5239556948744384E-2</v>
      </c>
      <c r="X24" s="15">
        <v>5.5884376679663582E-2</v>
      </c>
      <c r="Y24" s="6"/>
      <c r="Z24" s="109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</row>
    <row r="25" spans="1:46" ht="15" customHeight="1" x14ac:dyDescent="0.3">
      <c r="B25" s="6"/>
      <c r="C25" s="100"/>
      <c r="D25" s="99"/>
      <c r="E25" s="7" t="s">
        <v>44</v>
      </c>
      <c r="F25" s="6"/>
      <c r="G25" s="8">
        <f>G24-G8</f>
        <v>0</v>
      </c>
      <c r="H25" s="8">
        <f>H24-H8</f>
        <v>4.1205530979526728E-6</v>
      </c>
      <c r="I25" s="8" t="e">
        <f>I24-I9</f>
        <v>#DIV/0!</v>
      </c>
      <c r="J25" s="8">
        <f>J24-J10</f>
        <v>1.6017942185519302E-4</v>
      </c>
      <c r="K25" s="8">
        <f>K24-K11</f>
        <v>2.3640021439726155E-4</v>
      </c>
      <c r="L25" s="8">
        <f>L24-L12</f>
        <v>1.9981640821398888E-4</v>
      </c>
      <c r="M25" s="8">
        <f>M24-M13</f>
        <v>2.6308645021504151E-4</v>
      </c>
      <c r="N25" s="8">
        <f>N24-N14</f>
        <v>3.3014770223063067E-4</v>
      </c>
      <c r="O25" s="8">
        <f>O24-O15</f>
        <v>3.8689183855150633E-4</v>
      </c>
      <c r="P25" s="8">
        <f>P24-P16</f>
        <v>1.2036634977158275E-3</v>
      </c>
      <c r="Q25" s="8">
        <f>Q24-Q17</f>
        <v>1.7410132734818201E-3</v>
      </c>
      <c r="R25" s="8">
        <f>R24-R18</f>
        <v>2.0634231389414157E-3</v>
      </c>
      <c r="S25" s="25">
        <f>S24-S19</f>
        <v>1.7410132734818201E-3</v>
      </c>
      <c r="T25" s="25">
        <f>T24-T20</f>
        <v>1.3817565662554224E-3</v>
      </c>
      <c r="U25" s="8">
        <f>U24-U21</f>
        <v>1.813555493210231E-3</v>
      </c>
      <c r="V25" s="8">
        <f>V24-V22</f>
        <v>1.4565339804292407E-3</v>
      </c>
      <c r="W25" s="8" t="e">
        <f>W24-W23</f>
        <v>#DIV/0!</v>
      </c>
      <c r="X25" s="8">
        <f>0</f>
        <v>0</v>
      </c>
      <c r="Y25" s="6"/>
      <c r="Z25" s="109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</row>
    <row r="26" spans="1:46" ht="15" thickBot="1" x14ac:dyDescent="0.35">
      <c r="B26" s="19" t="s">
        <v>82</v>
      </c>
      <c r="C26" s="6"/>
      <c r="E26" s="17" t="s">
        <v>45</v>
      </c>
      <c r="F26" s="6"/>
      <c r="G26" s="24"/>
      <c r="H26" s="4">
        <f t="shared" ref="H26:X26" si="2">H7/$X$7</f>
        <v>1E-3</v>
      </c>
      <c r="I26" s="4">
        <f t="shared" si="2"/>
        <v>0.01</v>
      </c>
      <c r="J26" s="4">
        <f t="shared" si="2"/>
        <v>0.02</v>
      </c>
      <c r="K26" s="4">
        <f t="shared" si="2"/>
        <v>0.03</v>
      </c>
      <c r="L26" s="4">
        <f t="shared" si="2"/>
        <v>0.04</v>
      </c>
      <c r="M26" s="4">
        <f t="shared" si="2"/>
        <v>0.06</v>
      </c>
      <c r="N26" s="4">
        <f t="shared" si="2"/>
        <v>0.08</v>
      </c>
      <c r="O26" s="4">
        <f t="shared" si="2"/>
        <v>0.1</v>
      </c>
      <c r="P26" s="4">
        <f t="shared" si="2"/>
        <v>0.2</v>
      </c>
      <c r="Q26" s="4">
        <f t="shared" si="2"/>
        <v>0.3</v>
      </c>
      <c r="R26" s="4">
        <f t="shared" si="2"/>
        <v>0.4</v>
      </c>
      <c r="S26" s="26">
        <f t="shared" si="2"/>
        <v>0.45</v>
      </c>
      <c r="T26" s="26">
        <f t="shared" si="2"/>
        <v>0.5</v>
      </c>
      <c r="U26" s="4">
        <f t="shared" si="2"/>
        <v>0.75</v>
      </c>
      <c r="V26" s="4">
        <f t="shared" si="2"/>
        <v>0.8</v>
      </c>
      <c r="W26" s="4">
        <f t="shared" si="2"/>
        <v>0.95</v>
      </c>
      <c r="X26" s="4">
        <f t="shared" si="2"/>
        <v>1</v>
      </c>
      <c r="Y26" s="6"/>
      <c r="Z26" s="109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</row>
    <row r="27" spans="1:46" x14ac:dyDescent="0.3">
      <c r="B27" s="6" t="s">
        <v>83</v>
      </c>
      <c r="C27" s="105">
        <v>1</v>
      </c>
      <c r="E27" s="6"/>
      <c r="F27" s="6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6"/>
    </row>
    <row r="28" spans="1:46" ht="15" thickBot="1" x14ac:dyDescent="0.35">
      <c r="B28" s="6" t="s">
        <v>68</v>
      </c>
      <c r="C28" s="128">
        <v>150</v>
      </c>
      <c r="E28" s="6"/>
      <c r="F28" s="6" t="s">
        <v>47</v>
      </c>
      <c r="G28" s="78"/>
      <c r="H28" s="78">
        <v>33</v>
      </c>
      <c r="I28" s="78">
        <v>25</v>
      </c>
      <c r="J28" s="78">
        <v>22</v>
      </c>
      <c r="K28" s="78">
        <v>18</v>
      </c>
      <c r="L28" s="78">
        <v>10</v>
      </c>
      <c r="M28" s="78">
        <v>8</v>
      </c>
      <c r="N28" s="78">
        <v>7</v>
      </c>
      <c r="O28" s="78">
        <v>7</v>
      </c>
      <c r="P28" s="78">
        <v>6</v>
      </c>
      <c r="Q28" s="78">
        <v>5</v>
      </c>
      <c r="R28" s="78">
        <v>4</v>
      </c>
      <c r="S28" s="78">
        <v>3</v>
      </c>
      <c r="T28" s="78">
        <v>1</v>
      </c>
      <c r="U28" s="78">
        <v>1</v>
      </c>
      <c r="V28" s="78">
        <v>0</v>
      </c>
      <c r="W28" s="78">
        <v>0</v>
      </c>
      <c r="X28" s="78">
        <v>0</v>
      </c>
      <c r="Y28" s="6"/>
    </row>
    <row r="29" spans="1:46" x14ac:dyDescent="0.3">
      <c r="B29" s="20" t="s">
        <v>67</v>
      </c>
      <c r="C29" s="124">
        <v>3.0000000000000001E-3</v>
      </c>
      <c r="E29" s="6"/>
      <c r="F29" s="6" t="s">
        <v>48</v>
      </c>
      <c r="G29" s="80">
        <f t="shared" ref="G29:X29" si="3">G24</f>
        <v>4.2987982061279677E-2</v>
      </c>
      <c r="H29" s="80">
        <f t="shared" si="3"/>
        <v>4.3000878455898069E-2</v>
      </c>
      <c r="I29" s="80">
        <f t="shared" si="3"/>
        <v>4.3116946007463519E-2</v>
      </c>
      <c r="J29" s="80">
        <f t="shared" si="3"/>
        <v>4.3245909953647362E-2</v>
      </c>
      <c r="K29" s="80">
        <f t="shared" si="3"/>
        <v>4.3374873899831197E-2</v>
      </c>
      <c r="L29" s="80">
        <f t="shared" si="3"/>
        <v>4.3503837846015046E-2</v>
      </c>
      <c r="M29" s="80">
        <f t="shared" si="3"/>
        <v>4.3761765738382724E-2</v>
      </c>
      <c r="N29" s="80">
        <f t="shared" si="3"/>
        <v>4.4019693630750395E-2</v>
      </c>
      <c r="O29" s="80">
        <f t="shared" si="3"/>
        <v>4.4277621523118066E-2</v>
      </c>
      <c r="P29" s="80">
        <f t="shared" si="3"/>
        <v>4.5567260984956462E-2</v>
      </c>
      <c r="Q29" s="80">
        <f t="shared" si="3"/>
        <v>4.6856900446794844E-2</v>
      </c>
      <c r="R29" s="80">
        <f t="shared" si="3"/>
        <v>4.814653990863324E-2</v>
      </c>
      <c r="S29" s="80">
        <f t="shared" si="3"/>
        <v>4.8791359639552431E-2</v>
      </c>
      <c r="T29" s="80">
        <f t="shared" si="3"/>
        <v>4.9436179370471636E-2</v>
      </c>
      <c r="U29" s="80">
        <f t="shared" si="3"/>
        <v>5.2660278025067606E-2</v>
      </c>
      <c r="V29" s="80">
        <f t="shared" si="3"/>
        <v>5.3305097755986804E-2</v>
      </c>
      <c r="W29" s="80">
        <f t="shared" si="3"/>
        <v>5.5239556948744384E-2</v>
      </c>
      <c r="X29" s="77">
        <f t="shared" si="3"/>
        <v>5.5884376679663582E-2</v>
      </c>
      <c r="Y29" s="6"/>
    </row>
    <row r="30" spans="1:46" x14ac:dyDescent="0.3">
      <c r="B30" t="s">
        <v>69</v>
      </c>
      <c r="C30" s="48">
        <v>0.2</v>
      </c>
      <c r="E30" s="6"/>
      <c r="F30" s="6" t="s">
        <v>46</v>
      </c>
      <c r="G30" s="79">
        <v>0</v>
      </c>
      <c r="H30" s="81">
        <f t="shared" ref="H30:X30" si="4">H7</f>
        <v>220000</v>
      </c>
      <c r="I30" s="81">
        <f t="shared" si="4"/>
        <v>2200000</v>
      </c>
      <c r="J30" s="81">
        <f t="shared" si="4"/>
        <v>4400000</v>
      </c>
      <c r="K30" s="81">
        <f t="shared" si="4"/>
        <v>6600000</v>
      </c>
      <c r="L30" s="81">
        <f t="shared" si="4"/>
        <v>8800000</v>
      </c>
      <c r="M30" s="81">
        <f t="shared" si="4"/>
        <v>13200000</v>
      </c>
      <c r="N30" s="81">
        <f t="shared" si="4"/>
        <v>17600000</v>
      </c>
      <c r="O30" s="81">
        <f t="shared" si="4"/>
        <v>22000000</v>
      </c>
      <c r="P30" s="81">
        <f t="shared" si="4"/>
        <v>44000000</v>
      </c>
      <c r="Q30" s="81">
        <f t="shared" si="4"/>
        <v>66000000</v>
      </c>
      <c r="R30" s="81">
        <f t="shared" si="4"/>
        <v>88000000</v>
      </c>
      <c r="S30" s="81">
        <f t="shared" si="4"/>
        <v>99000000</v>
      </c>
      <c r="T30" s="81">
        <f t="shared" si="4"/>
        <v>110000000</v>
      </c>
      <c r="U30" s="81">
        <f t="shared" si="4"/>
        <v>165000000</v>
      </c>
      <c r="V30" s="81">
        <f t="shared" si="4"/>
        <v>176000000</v>
      </c>
      <c r="W30" s="81">
        <f t="shared" si="4"/>
        <v>209000000</v>
      </c>
      <c r="X30" s="81">
        <f t="shared" si="4"/>
        <v>220000000</v>
      </c>
      <c r="Y30" s="6"/>
    </row>
    <row r="31" spans="1:46" x14ac:dyDescent="0.3">
      <c r="B31" s="21" t="s">
        <v>24</v>
      </c>
      <c r="C31" s="49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46" ht="15" thickBot="1" x14ac:dyDescent="0.35">
      <c r="B32" s="21" t="s">
        <v>43</v>
      </c>
      <c r="C32" s="50">
        <f>CHOOSE(C27,C51,C52,C53,C54,C55)</f>
        <v>33000000000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2"/>
    </row>
    <row r="33" spans="2:26" ht="15" thickBot="1" x14ac:dyDescent="0.35">
      <c r="B33" s="21" t="s">
        <v>32</v>
      </c>
      <c r="C33" s="51">
        <v>0.29699999999999999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6" x14ac:dyDescent="0.3">
      <c r="B34" s="21" t="s">
        <v>49</v>
      </c>
      <c r="C34" s="30">
        <v>12100000000</v>
      </c>
      <c r="E34" s="17" t="s">
        <v>80</v>
      </c>
      <c r="F34" s="31">
        <f>$C$27</f>
        <v>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6" x14ac:dyDescent="0.3">
      <c r="B35" s="6" t="s">
        <v>112</v>
      </c>
      <c r="C35" s="29">
        <f>CHOOSE(C27,C58,C59,C60,C61,C62)</f>
        <v>31578500.521042779</v>
      </c>
      <c r="E35" s="17" t="s">
        <v>79</v>
      </c>
      <c r="F35" s="71">
        <f>$C$39</f>
        <v>0.14000000000000001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6" x14ac:dyDescent="0.3">
      <c r="B36" s="6" t="s">
        <v>25</v>
      </c>
      <c r="C36" s="29">
        <f>C12 * C32</f>
        <v>220000000</v>
      </c>
      <c r="E36" s="17" t="s">
        <v>78</v>
      </c>
      <c r="F36" s="72">
        <f>$C$41</f>
        <v>0.05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6"/>
    </row>
    <row r="37" spans="2:26" ht="15" thickBot="1" x14ac:dyDescent="0.35">
      <c r="B37" s="6"/>
      <c r="C37" s="6"/>
      <c r="E37" s="17" t="s">
        <v>46</v>
      </c>
      <c r="F37" s="102">
        <f>$C$42</f>
        <v>250000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6"/>
    </row>
    <row r="38" spans="2:26" x14ac:dyDescent="0.3">
      <c r="B38" t="s">
        <v>53</v>
      </c>
      <c r="C38" s="68">
        <v>340</v>
      </c>
      <c r="E38" s="94" t="s">
        <v>95</v>
      </c>
      <c r="F38" s="103">
        <f>$C$28</f>
        <v>150</v>
      </c>
      <c r="G38" s="223" t="s">
        <v>84</v>
      </c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6"/>
    </row>
    <row r="39" spans="2:26" x14ac:dyDescent="0.3">
      <c r="B39" s="20" t="s">
        <v>33</v>
      </c>
      <c r="C39" s="127">
        <v>0.14000000000000001</v>
      </c>
      <c r="E39" s="215" t="s">
        <v>65</v>
      </c>
      <c r="F39" s="218" t="s">
        <v>66</v>
      </c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9"/>
      <c r="Y39" s="6"/>
    </row>
    <row r="40" spans="2:26" x14ac:dyDescent="0.3">
      <c r="B40" s="22" t="s">
        <v>61</v>
      </c>
      <c r="C40" s="69">
        <v>1</v>
      </c>
      <c r="E40" s="216"/>
      <c r="F40" s="9">
        <f>C46</f>
        <v>4.3002606489227886E-2</v>
      </c>
      <c r="G40" s="10">
        <v>150</v>
      </c>
      <c r="H40" s="10">
        <v>175</v>
      </c>
      <c r="I40" s="10">
        <v>200</v>
      </c>
      <c r="J40" s="10">
        <v>225</v>
      </c>
      <c r="K40" s="10">
        <v>250</v>
      </c>
      <c r="L40" s="10">
        <v>275</v>
      </c>
      <c r="M40" s="10">
        <v>300</v>
      </c>
      <c r="N40" s="10">
        <v>325</v>
      </c>
      <c r="O40" s="10">
        <v>350</v>
      </c>
      <c r="P40" s="10">
        <v>375</v>
      </c>
      <c r="Q40" s="10">
        <v>400</v>
      </c>
      <c r="R40" s="10">
        <v>450</v>
      </c>
      <c r="S40" s="10">
        <v>500</v>
      </c>
      <c r="T40" s="10">
        <v>600</v>
      </c>
      <c r="U40" s="10">
        <v>700</v>
      </c>
      <c r="V40" s="10">
        <v>800</v>
      </c>
      <c r="W40" s="10">
        <v>900</v>
      </c>
      <c r="X40" s="11">
        <v>1000</v>
      </c>
      <c r="Y40" s="6"/>
    </row>
    <row r="41" spans="2:26" x14ac:dyDescent="0.3">
      <c r="B41" s="20" t="s">
        <v>34</v>
      </c>
      <c r="C41" s="69">
        <v>0.05</v>
      </c>
      <c r="E41" s="216"/>
      <c r="F41" s="12">
        <v>500000</v>
      </c>
      <c r="G41" s="13">
        <f t="dataTable" ref="G41:X57" dt2D="1" dtr="1" r1="C28" r2="C42" ca="1"/>
        <v>4.3017169785303455E-2</v>
      </c>
      <c r="H41" s="13">
        <v>4.3022047358620204E-2</v>
      </c>
      <c r="I41" s="41">
        <v>4.3026928632692966E-2</v>
      </c>
      <c r="J41" s="41">
        <v>4.3031813607521778E-2</v>
      </c>
      <c r="K41" s="41">
        <v>4.3036702283106597E-2</v>
      </c>
      <c r="L41" s="41">
        <v>4.3041594659447471E-2</v>
      </c>
      <c r="M41" s="41">
        <v>4.3046490736544367E-2</v>
      </c>
      <c r="N41" s="41">
        <v>4.3051390514397297E-2</v>
      </c>
      <c r="O41" s="41">
        <v>4.3056293993006263E-2</v>
      </c>
      <c r="P41" s="41">
        <v>4.3061201172371243E-2</v>
      </c>
      <c r="Q41" s="41">
        <v>4.3066112052492271E-2</v>
      </c>
      <c r="R41" s="41">
        <v>4.0712723484165075E-2</v>
      </c>
      <c r="S41" s="41">
        <v>3.6649761739317575E-2</v>
      </c>
      <c r="T41" s="41">
        <v>3.0555319122046329E-2</v>
      </c>
      <c r="U41" s="41">
        <v>2.6202145823995427E-2</v>
      </c>
      <c r="V41" s="41">
        <v>2.2937265850457255E-2</v>
      </c>
      <c r="W41" s="41">
        <v>2.0397914759927572E-2</v>
      </c>
      <c r="X41" s="42">
        <v>1.8366433887503818E-2</v>
      </c>
      <c r="Y41" s="6"/>
    </row>
    <row r="42" spans="2:26" x14ac:dyDescent="0.3">
      <c r="B42" s="6" t="s">
        <v>30</v>
      </c>
      <c r="C42" s="70">
        <v>250000</v>
      </c>
      <c r="E42" s="216"/>
      <c r="F42" s="12">
        <v>1000000</v>
      </c>
      <c r="G42" s="13">
        <v>4.3046112981836686E-2</v>
      </c>
      <c r="H42" s="13">
        <v>4.3055853279180628E-2</v>
      </c>
      <c r="I42" s="41">
        <v>4.3065608379548696E-2</v>
      </c>
      <c r="J42" s="41">
        <v>4.307537828294089E-2</v>
      </c>
      <c r="K42" s="41">
        <v>4.3085162989357211E-2</v>
      </c>
      <c r="L42" s="41">
        <v>4.3094962498797657E-2</v>
      </c>
      <c r="M42" s="41">
        <v>4.3104776811262221E-2</v>
      </c>
      <c r="N42" s="41">
        <v>4.3114605926750919E-2</v>
      </c>
      <c r="O42" s="41">
        <v>4.3124449845263743E-2</v>
      </c>
      <c r="P42" s="41">
        <v>4.3134308566800686E-2</v>
      </c>
      <c r="Q42" s="41">
        <v>4.3144182091361762E-2</v>
      </c>
      <c r="R42" s="41">
        <v>4.0795829519855144E-2</v>
      </c>
      <c r="S42" s="41">
        <v>3.6732867775007637E-2</v>
      </c>
      <c r="T42" s="41">
        <v>3.063842515773639E-2</v>
      </c>
      <c r="U42" s="41">
        <v>2.6285251859685495E-2</v>
      </c>
      <c r="V42" s="41">
        <v>2.3020371886147323E-2</v>
      </c>
      <c r="W42" s="41">
        <v>2.0481020795617637E-2</v>
      </c>
      <c r="X42" s="42">
        <v>1.8449539923193883E-2</v>
      </c>
      <c r="Y42" s="6"/>
    </row>
    <row r="43" spans="2:26" ht="15" thickBot="1" x14ac:dyDescent="0.35">
      <c r="B43" s="6" t="s">
        <v>29</v>
      </c>
      <c r="C43" s="132">
        <v>77590000</v>
      </c>
      <c r="E43" s="216"/>
      <c r="F43" s="12">
        <v>1500000</v>
      </c>
      <c r="G43" s="13">
        <v>4.3074811650879362E-2</v>
      </c>
      <c r="H43" s="13">
        <v>4.3089399822960964E-2</v>
      </c>
      <c r="I43" s="41">
        <v>4.3104021301846859E-2</v>
      </c>
      <c r="J43" s="41">
        <v>4.3118676087537021E-2</v>
      </c>
      <c r="K43" s="41">
        <v>4.3133364180031483E-2</v>
      </c>
      <c r="L43" s="41">
        <v>4.3148085579330225E-2</v>
      </c>
      <c r="M43" s="41">
        <v>4.316284028543324E-2</v>
      </c>
      <c r="N43" s="41">
        <v>4.3177628298340542E-2</v>
      </c>
      <c r="O43" s="41">
        <v>4.3192449618052131E-2</v>
      </c>
      <c r="P43" s="41">
        <v>4.3207304244567993E-2</v>
      </c>
      <c r="Q43" s="41">
        <v>4.3222192177888148E-2</v>
      </c>
      <c r="R43" s="41">
        <v>4.0878935555545198E-2</v>
      </c>
      <c r="S43" s="41">
        <v>3.6815973810697705E-2</v>
      </c>
      <c r="T43" s="41">
        <v>3.0721531193426452E-2</v>
      </c>
      <c r="U43" s="41">
        <v>2.636835789537556E-2</v>
      </c>
      <c r="V43" s="41">
        <v>2.3103477921837388E-2</v>
      </c>
      <c r="W43" s="41">
        <v>2.0564126831307695E-2</v>
      </c>
      <c r="X43" s="42">
        <v>1.8532645958883952E-2</v>
      </c>
      <c r="Y43" s="6"/>
      <c r="Z43" s="31"/>
    </row>
    <row r="44" spans="2:26" ht="15" customHeight="1" x14ac:dyDescent="0.3">
      <c r="B44" s="6" t="s">
        <v>77</v>
      </c>
      <c r="C44" s="2">
        <f>C23 * C35 * (1-C30) *C40</f>
        <v>45706.469006838241</v>
      </c>
      <c r="E44" s="216"/>
      <c r="F44" s="12">
        <v>3000000</v>
      </c>
      <c r="G44" s="13">
        <v>4.3159440493064111E-2</v>
      </c>
      <c r="H44" s="13">
        <v>4.3188483193621466E-2</v>
      </c>
      <c r="I44" s="41">
        <v>4.3217659121395968E-2</v>
      </c>
      <c r="J44" s="41">
        <v>4.3246968276387597E-2</v>
      </c>
      <c r="K44" s="41">
        <v>4.3276410658596366E-2</v>
      </c>
      <c r="L44" s="41">
        <v>4.3305986268022255E-2</v>
      </c>
      <c r="M44" s="41">
        <v>4.3335695104665284E-2</v>
      </c>
      <c r="N44" s="41">
        <v>4.3365537168525446E-2</v>
      </c>
      <c r="O44" s="41">
        <v>4.3395512459602735E-2</v>
      </c>
      <c r="P44" s="41">
        <v>4.3425620977897157E-2</v>
      </c>
      <c r="Q44" s="41">
        <v>4.3455862723408706E-2</v>
      </c>
      <c r="R44" s="41">
        <v>4.112825366261539E-2</v>
      </c>
      <c r="S44" s="41">
        <v>3.7065291917767904E-2</v>
      </c>
      <c r="T44" s="41">
        <v>3.097084930049664E-2</v>
      </c>
      <c r="U44" s="41">
        <v>2.6617676002445745E-2</v>
      </c>
      <c r="V44" s="41">
        <v>2.3352796028907576E-2</v>
      </c>
      <c r="W44" s="41">
        <v>2.0813444938377886E-2</v>
      </c>
      <c r="X44" s="42">
        <v>1.8781964065954136E-2</v>
      </c>
      <c r="Y44" s="6"/>
      <c r="Z44" s="31"/>
    </row>
    <row r="45" spans="2:26" ht="15" thickBot="1" x14ac:dyDescent="0.35">
      <c r="B45" s="22"/>
      <c r="C45" s="76"/>
      <c r="D45" s="18"/>
      <c r="E45" s="216"/>
      <c r="F45" s="12">
        <v>5000000</v>
      </c>
      <c r="G45" s="13">
        <v>4.3268855564442717E-2</v>
      </c>
      <c r="H45" s="13">
        <v>4.3316963079580904E-2</v>
      </c>
      <c r="I45" s="41">
        <v>4.3365440670322213E-2</v>
      </c>
      <c r="J45" s="41">
        <v>4.3414288336666697E-2</v>
      </c>
      <c r="K45" s="41">
        <v>4.3463506078614315E-2</v>
      </c>
      <c r="L45" s="41">
        <v>4.3513093896165075E-2</v>
      </c>
      <c r="M45" s="41">
        <v>4.356305178931897E-2</v>
      </c>
      <c r="N45" s="41">
        <v>4.3613379758076012E-2</v>
      </c>
      <c r="O45" s="41">
        <v>4.366407780243621E-2</v>
      </c>
      <c r="P45" s="41">
        <v>4.3715145922399549E-2</v>
      </c>
      <c r="Q45" s="41">
        <v>4.3766584117966037E-2</v>
      </c>
      <c r="R45" s="41">
        <v>4.1460677805375643E-2</v>
      </c>
      <c r="S45" s="41">
        <v>3.7397716060528136E-2</v>
      </c>
      <c r="T45" s="41">
        <v>3.1303273443256882E-2</v>
      </c>
      <c r="U45" s="41">
        <v>2.6950100145205994E-2</v>
      </c>
      <c r="V45" s="41">
        <v>2.3685220171667822E-2</v>
      </c>
      <c r="W45" s="41">
        <v>2.1145869081138132E-2</v>
      </c>
      <c r="X45" s="42">
        <v>1.9114388208714382E-2</v>
      </c>
      <c r="Y45" s="6"/>
      <c r="Z45" s="31"/>
    </row>
    <row r="46" spans="2:26" x14ac:dyDescent="0.3">
      <c r="B46" s="37" t="s">
        <v>51</v>
      </c>
      <c r="C46" s="66">
        <f>C44 /(C43*(C43&gt;=C42)) * 73</f>
        <v>4.3002606489227886E-2</v>
      </c>
      <c r="D46" s="18"/>
      <c r="E46" s="216"/>
      <c r="F46" s="12">
        <v>10000000</v>
      </c>
      <c r="G46" s="13">
        <v>4.3525276318550764E-2</v>
      </c>
      <c r="H46" s="13">
        <v>4.3620006419873299E-2</v>
      </c>
      <c r="I46" s="41">
        <v>4.3716216823608413E-2</v>
      </c>
      <c r="J46" s="41">
        <v>4.3813907529756106E-2</v>
      </c>
      <c r="K46" s="41">
        <v>4.3913078538316386E-2</v>
      </c>
      <c r="L46" s="41">
        <v>4.4013729849289231E-2</v>
      </c>
      <c r="M46" s="41">
        <v>4.4115861462674662E-2</v>
      </c>
      <c r="N46" s="41">
        <v>4.4219473378472672E-2</v>
      </c>
      <c r="O46" s="41">
        <v>4.4324565596683255E-2</v>
      </c>
      <c r="P46" s="41">
        <v>4.4431138117306417E-2</v>
      </c>
      <c r="Q46" s="41">
        <v>4.4539190940342172E-2</v>
      </c>
      <c r="R46" s="41">
        <v>4.2291738162276264E-2</v>
      </c>
      <c r="S46" s="41">
        <v>3.8228776417428764E-2</v>
      </c>
      <c r="T46" s="41">
        <v>3.2134333800157518E-2</v>
      </c>
      <c r="U46" s="41">
        <v>2.7781160502106623E-2</v>
      </c>
      <c r="V46" s="41">
        <v>2.4516280528568454E-2</v>
      </c>
      <c r="W46" s="41">
        <v>2.1976929438038757E-2</v>
      </c>
      <c r="X46" s="42">
        <v>1.9945448565615014E-2</v>
      </c>
      <c r="Y46" s="6"/>
      <c r="Z46" s="31"/>
    </row>
    <row r="47" spans="2:26" x14ac:dyDescent="0.3">
      <c r="B47" s="38" t="s">
        <v>52</v>
      </c>
      <c r="C47" s="67">
        <f>(($C$44-$C$38) * (1-$C$41))/$C$43 * 73</f>
        <v>4.0548583910610024E-2</v>
      </c>
      <c r="D47" s="18"/>
      <c r="E47" s="216"/>
      <c r="F47" s="12">
        <v>15000000</v>
      </c>
      <c r="G47" s="13">
        <v>4.3757244323603783E-2</v>
      </c>
      <c r="H47" s="13">
        <v>4.3897112082156874E-2</v>
      </c>
      <c r="I47" s="41">
        <v>4.4040310521138243E-2</v>
      </c>
      <c r="J47" s="41">
        <v>4.4186839640547919E-2</v>
      </c>
      <c r="K47" s="41">
        <v>4.4336699440385902E-2</v>
      </c>
      <c r="L47" s="41">
        <v>4.4489889920652184E-2</v>
      </c>
      <c r="M47" s="41">
        <v>4.464641108134676E-2</v>
      </c>
      <c r="N47" s="41">
        <v>4.4806262922469642E-2</v>
      </c>
      <c r="O47" s="41">
        <v>4.4969445444020838E-2</v>
      </c>
      <c r="P47" s="41">
        <v>4.5135958646000326E-2</v>
      </c>
      <c r="Q47" s="41">
        <v>4.5305802528408108E-2</v>
      </c>
      <c r="R47" s="41">
        <v>4.3122798519176893E-2</v>
      </c>
      <c r="S47" s="41">
        <v>3.9059836774329393E-2</v>
      </c>
      <c r="T47" s="41">
        <v>3.2965394157058139E-2</v>
      </c>
      <c r="U47" s="41">
        <v>2.8612220859007248E-2</v>
      </c>
      <c r="V47" s="41">
        <v>2.5347340885469073E-2</v>
      </c>
      <c r="W47" s="41">
        <v>2.2807989794939386E-2</v>
      </c>
      <c r="X47" s="42">
        <v>2.0776508922515636E-2</v>
      </c>
      <c r="Y47" s="6"/>
      <c r="Z47" s="31"/>
    </row>
    <row r="48" spans="2:26" ht="15" thickBot="1" x14ac:dyDescent="0.35">
      <c r="B48" s="39" t="s">
        <v>105</v>
      </c>
      <c r="C48" s="40">
        <f>C46-C47</f>
        <v>2.4540225786178621E-3</v>
      </c>
      <c r="D48" s="18"/>
      <c r="E48" s="216"/>
      <c r="F48" s="12">
        <v>20000000</v>
      </c>
      <c r="G48" s="13">
        <v>4.3964759579601817E-2</v>
      </c>
      <c r="H48" s="13">
        <v>4.4148280066431608E-2</v>
      </c>
      <c r="I48" s="13">
        <v>4.433772176291171E-2</v>
      </c>
      <c r="J48" s="13">
        <v>4.4533084669042128E-2</v>
      </c>
      <c r="K48" s="13">
        <v>4.473436878482287E-2</v>
      </c>
      <c r="L48" s="13">
        <v>4.4941574110253908E-2</v>
      </c>
      <c r="M48" s="13">
        <v>4.5154700645335263E-2</v>
      </c>
      <c r="N48" s="13">
        <v>4.5373748390066936E-2</v>
      </c>
      <c r="O48" s="13">
        <v>4.5598717344448939E-2</v>
      </c>
      <c r="P48" s="13">
        <v>4.5829607508481231E-2</v>
      </c>
      <c r="Q48" s="13">
        <v>4.6066418882163854E-2</v>
      </c>
      <c r="R48" s="13">
        <v>4.3953858876077515E-2</v>
      </c>
      <c r="S48" s="13">
        <v>3.9890897131230028E-2</v>
      </c>
      <c r="T48" s="13">
        <v>3.3796454513958775E-2</v>
      </c>
      <c r="U48" s="13">
        <v>2.9443281215907873E-2</v>
      </c>
      <c r="V48" s="13">
        <v>2.6178401242369698E-2</v>
      </c>
      <c r="W48" s="13">
        <v>2.3639050151840011E-2</v>
      </c>
      <c r="X48" s="16">
        <v>2.1607569279416258E-2</v>
      </c>
      <c r="Y48" s="6"/>
      <c r="Z48" s="31"/>
    </row>
    <row r="49" spans="1:26" x14ac:dyDescent="0.3">
      <c r="B49" s="6"/>
      <c r="C49" s="6"/>
      <c r="D49" s="18"/>
      <c r="E49" s="216"/>
      <c r="F49" s="12">
        <v>32000000</v>
      </c>
      <c r="G49" s="13">
        <v>4.4363028977852673E-2</v>
      </c>
      <c r="H49" s="13">
        <v>4.4645257502414999E-2</v>
      </c>
      <c r="I49" s="13">
        <v>4.4942644323682113E-2</v>
      </c>
      <c r="J49" s="13">
        <v>4.5255189441654034E-2</v>
      </c>
      <c r="K49" s="13">
        <v>4.5582892856330763E-2</v>
      </c>
      <c r="L49" s="13">
        <v>4.5925754567712293E-2</v>
      </c>
      <c r="M49" s="13">
        <v>4.6283774575798617E-2</v>
      </c>
      <c r="N49" s="13">
        <v>4.6656952880589762E-2</v>
      </c>
      <c r="O49" s="13">
        <v>4.7045289482085695E-2</v>
      </c>
      <c r="P49" s="13">
        <v>4.7448784380286442E-2</v>
      </c>
      <c r="Q49" s="13">
        <v>4.786743757519199E-2</v>
      </c>
      <c r="R49" s="13">
        <v>4.5948403732639018E-2</v>
      </c>
      <c r="S49" s="13">
        <v>4.1885441987791518E-2</v>
      </c>
      <c r="T49" s="13">
        <v>3.5790999370520264E-2</v>
      </c>
      <c r="U49" s="13">
        <v>3.1437826072469373E-2</v>
      </c>
      <c r="V49" s="13">
        <v>2.8172946098931201E-2</v>
      </c>
      <c r="W49" s="13">
        <v>2.5633595008401518E-2</v>
      </c>
      <c r="X49" s="46">
        <v>2.3602114135977757E-2</v>
      </c>
      <c r="Y49" s="6"/>
      <c r="Z49" s="31"/>
    </row>
    <row r="50" spans="1:26" x14ac:dyDescent="0.3">
      <c r="B50" s="17" t="s">
        <v>70</v>
      </c>
      <c r="C50" s="232"/>
      <c r="E50" s="216"/>
      <c r="F50" s="12">
        <v>50000000</v>
      </c>
      <c r="G50" s="13">
        <v>4.469634338543492E-2</v>
      </c>
      <c r="H50" s="13">
        <v>4.5110596733894753E-2</v>
      </c>
      <c r="I50" s="13">
        <v>4.556185764266904E-2</v>
      </c>
      <c r="J50" s="13">
        <v>4.6050126111757794E-2</v>
      </c>
      <c r="K50" s="13">
        <v>4.6575402141161001E-2</v>
      </c>
      <c r="L50" s="13">
        <v>4.7137685730878683E-2</v>
      </c>
      <c r="M50" s="13">
        <v>4.7736976880910831E-2</v>
      </c>
      <c r="N50" s="13">
        <v>4.8373275591257418E-2</v>
      </c>
      <c r="O50" s="13">
        <v>4.9046581861918494E-2</v>
      </c>
      <c r="P50" s="13">
        <v>4.9756895692894022E-2</v>
      </c>
      <c r="Q50" s="13">
        <v>5.0504217084183997E-2</v>
      </c>
      <c r="R50" s="13">
        <v>4.8940221017481265E-2</v>
      </c>
      <c r="S50" s="13">
        <v>4.4877259272633759E-2</v>
      </c>
      <c r="T50" s="13">
        <v>3.8782816655362519E-2</v>
      </c>
      <c r="U50" s="43">
        <v>3.3954751724796978E-2</v>
      </c>
      <c r="V50" s="43">
        <v>2.9710407759197359E-2</v>
      </c>
      <c r="W50" s="43">
        <v>2.6409251341508753E-2</v>
      </c>
      <c r="X50" s="46">
        <v>2.3768326207357884E-2</v>
      </c>
      <c r="Y50" s="6"/>
      <c r="Z50" s="31"/>
    </row>
    <row r="51" spans="1:26" x14ac:dyDescent="0.3">
      <c r="B51" s="47" t="s">
        <v>71</v>
      </c>
      <c r="C51" s="233">
        <f>'Block Production'!C2</f>
        <v>33000000000</v>
      </c>
      <c r="E51" s="216"/>
      <c r="F51" s="12">
        <v>76000000</v>
      </c>
      <c r="G51" s="13">
        <v>4.4618318631341899E-2</v>
      </c>
      <c r="H51" s="13">
        <v>4.5189299328745811E-2</v>
      </c>
      <c r="I51" s="13">
        <v>4.5845782293500247E-2</v>
      </c>
      <c r="J51" s="13">
        <v>4.6587767525605228E-2</v>
      </c>
      <c r="K51" s="13">
        <v>4.7415255025060749E-2</v>
      </c>
      <c r="L51" s="13">
        <v>4.8328244791866787E-2</v>
      </c>
      <c r="M51" s="13">
        <v>4.9326736826023357E-2</v>
      </c>
      <c r="N51" s="13">
        <v>5.0410731127530486E-2</v>
      </c>
      <c r="O51" s="13">
        <v>5.158022769638812E-2</v>
      </c>
      <c r="P51" s="13">
        <v>5.2835226532596306E-2</v>
      </c>
      <c r="Q51" s="13">
        <v>5.4175727636155031E-2</v>
      </c>
      <c r="R51" s="43">
        <v>5.2818502683017507E-2</v>
      </c>
      <c r="S51" s="43">
        <v>4.7536652414715767E-2</v>
      </c>
      <c r="T51" s="43">
        <v>3.9613877012263134E-2</v>
      </c>
      <c r="U51" s="43">
        <v>3.3954751724796978E-2</v>
      </c>
      <c r="V51" s="43">
        <v>2.9710407759197359E-2</v>
      </c>
      <c r="W51" s="43">
        <v>2.6409251341508753E-2</v>
      </c>
      <c r="X51" s="46">
        <v>2.3768326207357884E-2</v>
      </c>
      <c r="Y51" s="6"/>
      <c r="Z51" s="31"/>
    </row>
    <row r="52" spans="1:26" x14ac:dyDescent="0.3">
      <c r="B52" s="47" t="s">
        <v>72</v>
      </c>
      <c r="C52" s="73">
        <f>rho!F85</f>
        <v>35363311901.882751</v>
      </c>
      <c r="E52" s="216"/>
      <c r="F52" s="12">
        <v>83000000</v>
      </c>
      <c r="G52" s="13" t="e">
        <v>#DIV/0!</v>
      </c>
      <c r="H52" s="13" t="e">
        <v>#DIV/0!</v>
      </c>
      <c r="I52" s="13" t="e">
        <v>#DIV/0!</v>
      </c>
      <c r="J52" s="13" t="e">
        <v>#DIV/0!</v>
      </c>
      <c r="K52" s="13" t="e">
        <v>#DIV/0!</v>
      </c>
      <c r="L52" s="13" t="e">
        <v>#DIV/0!</v>
      </c>
      <c r="M52" s="13" t="e">
        <v>#DIV/0!</v>
      </c>
      <c r="N52" s="43" t="e">
        <v>#DIV/0!</v>
      </c>
      <c r="O52" s="43" t="e">
        <v>#DIV/0!</v>
      </c>
      <c r="P52" s="43" t="e">
        <v>#DIV/0!</v>
      </c>
      <c r="Q52" s="43" t="e">
        <v>#DIV/0!</v>
      </c>
      <c r="R52" s="43" t="e">
        <v>#DIV/0!</v>
      </c>
      <c r="S52" s="43" t="e">
        <v>#DIV/0!</v>
      </c>
      <c r="T52" s="43" t="e">
        <v>#DIV/0!</v>
      </c>
      <c r="U52" s="43" t="e">
        <v>#DIV/0!</v>
      </c>
      <c r="V52" s="43" t="e">
        <v>#DIV/0!</v>
      </c>
      <c r="W52" s="43" t="e">
        <v>#DIV/0!</v>
      </c>
      <c r="X52" s="46" t="e">
        <v>#DIV/0!</v>
      </c>
      <c r="Y52" s="6"/>
      <c r="Z52" s="31"/>
    </row>
    <row r="53" spans="1:26" x14ac:dyDescent="0.3">
      <c r="B53" s="47" t="s">
        <v>73</v>
      </c>
      <c r="C53" s="73">
        <f>rho!F86</f>
        <v>36881611880.350235</v>
      </c>
      <c r="E53" s="216"/>
      <c r="F53" s="12">
        <v>150000000</v>
      </c>
      <c r="G53" s="13" t="e">
        <v>#DIV/0!</v>
      </c>
      <c r="H53" s="13" t="e">
        <v>#DIV/0!</v>
      </c>
      <c r="I53" s="13" t="e">
        <v>#DIV/0!</v>
      </c>
      <c r="J53" s="43" t="e">
        <v>#DIV/0!</v>
      </c>
      <c r="K53" s="43" t="e">
        <v>#DIV/0!</v>
      </c>
      <c r="L53" s="43" t="e">
        <v>#DIV/0!</v>
      </c>
      <c r="M53" s="43" t="e">
        <v>#DIV/0!</v>
      </c>
      <c r="N53" s="43" t="e">
        <v>#DIV/0!</v>
      </c>
      <c r="O53" s="43" t="e">
        <v>#DIV/0!</v>
      </c>
      <c r="P53" s="43" t="e">
        <v>#DIV/0!</v>
      </c>
      <c r="Q53" s="43" t="e">
        <v>#DIV/0!</v>
      </c>
      <c r="R53" s="43" t="e">
        <v>#DIV/0!</v>
      </c>
      <c r="S53" s="43" t="e">
        <v>#DIV/0!</v>
      </c>
      <c r="T53" s="43" t="e">
        <v>#DIV/0!</v>
      </c>
      <c r="U53" s="43" t="e">
        <v>#DIV/0!</v>
      </c>
      <c r="V53" s="43" t="e">
        <v>#DIV/0!</v>
      </c>
      <c r="W53" s="43" t="e">
        <v>#DIV/0!</v>
      </c>
      <c r="X53" s="46" t="e">
        <v>#DIV/0!</v>
      </c>
      <c r="Y53" s="6"/>
      <c r="Z53" s="31"/>
    </row>
    <row r="54" spans="1:26" x14ac:dyDescent="0.3">
      <c r="B54" s="47" t="s">
        <v>74</v>
      </c>
      <c r="C54" s="73">
        <f>rho!F87</f>
        <v>38100893824.672676</v>
      </c>
      <c r="E54" s="216"/>
      <c r="F54" s="12">
        <v>175000000</v>
      </c>
      <c r="G54" s="13" t="e">
        <v>#DIV/0!</v>
      </c>
      <c r="H54" s="13" t="e">
        <v>#DIV/0!</v>
      </c>
      <c r="I54" s="43" t="e">
        <v>#DIV/0!</v>
      </c>
      <c r="J54" s="43" t="e">
        <v>#DIV/0!</v>
      </c>
      <c r="K54" s="43" t="e">
        <v>#DIV/0!</v>
      </c>
      <c r="L54" s="43" t="e">
        <v>#DIV/0!</v>
      </c>
      <c r="M54" s="43" t="e">
        <v>#DIV/0!</v>
      </c>
      <c r="N54" s="43" t="e">
        <v>#DIV/0!</v>
      </c>
      <c r="O54" s="43" t="e">
        <v>#DIV/0!</v>
      </c>
      <c r="P54" s="43" t="e">
        <v>#DIV/0!</v>
      </c>
      <c r="Q54" s="43" t="e">
        <v>#DIV/0!</v>
      </c>
      <c r="R54" s="43" t="e">
        <v>#DIV/0!</v>
      </c>
      <c r="S54" s="43" t="e">
        <v>#DIV/0!</v>
      </c>
      <c r="T54" s="43" t="e">
        <v>#DIV/0!</v>
      </c>
      <c r="U54" s="43" t="e">
        <v>#DIV/0!</v>
      </c>
      <c r="V54" s="43" t="e">
        <v>#DIV/0!</v>
      </c>
      <c r="W54" s="43" t="e">
        <v>#DIV/0!</v>
      </c>
      <c r="X54" s="46" t="e">
        <v>#DIV/0!</v>
      </c>
      <c r="Y54" s="6"/>
      <c r="Z54" s="31"/>
    </row>
    <row r="55" spans="1:26" x14ac:dyDescent="0.3">
      <c r="B55" s="47" t="s">
        <v>75</v>
      </c>
      <c r="C55" s="73">
        <f>rho!F88</f>
        <v>39080047141.431122</v>
      </c>
      <c r="E55" s="216"/>
      <c r="F55" s="12">
        <v>185000000</v>
      </c>
      <c r="G55" s="13" t="e">
        <v>#DIV/0!</v>
      </c>
      <c r="H55" s="43" t="e">
        <v>#DIV/0!</v>
      </c>
      <c r="I55" s="43" t="e">
        <v>#DIV/0!</v>
      </c>
      <c r="J55" s="43" t="e">
        <v>#DIV/0!</v>
      </c>
      <c r="K55" s="43" t="e">
        <v>#DIV/0!</v>
      </c>
      <c r="L55" s="43" t="e">
        <v>#DIV/0!</v>
      </c>
      <c r="M55" s="43" t="e">
        <v>#DIV/0!</v>
      </c>
      <c r="N55" s="43" t="e">
        <v>#DIV/0!</v>
      </c>
      <c r="O55" s="43" t="e">
        <v>#DIV/0!</v>
      </c>
      <c r="P55" s="43" t="e">
        <v>#DIV/0!</v>
      </c>
      <c r="Q55" s="43" t="e">
        <v>#DIV/0!</v>
      </c>
      <c r="R55" s="43" t="e">
        <v>#DIV/0!</v>
      </c>
      <c r="S55" s="43" t="e">
        <v>#DIV/0!</v>
      </c>
      <c r="T55" s="43" t="e">
        <v>#DIV/0!</v>
      </c>
      <c r="U55" s="43" t="e">
        <v>#DIV/0!</v>
      </c>
      <c r="V55" s="43" t="e">
        <v>#DIV/0!</v>
      </c>
      <c r="W55" s="43" t="e">
        <v>#DIV/0!</v>
      </c>
      <c r="X55" s="46" t="e">
        <v>#DIV/0!</v>
      </c>
      <c r="Y55" s="6"/>
      <c r="Z55" s="31"/>
    </row>
    <row r="56" spans="1:26" x14ac:dyDescent="0.3">
      <c r="A56" s="89"/>
      <c r="B56" s="6"/>
      <c r="C56" s="31"/>
      <c r="D56" s="74"/>
      <c r="E56" s="216"/>
      <c r="F56" s="12">
        <v>195000000</v>
      </c>
      <c r="G56" s="13" t="e">
        <v>#DIV/0!</v>
      </c>
      <c r="H56" s="43" t="e">
        <v>#DIV/0!</v>
      </c>
      <c r="I56" s="43" t="e">
        <v>#DIV/0!</v>
      </c>
      <c r="J56" s="43" t="e">
        <v>#DIV/0!</v>
      </c>
      <c r="K56" s="43" t="e">
        <v>#DIV/0!</v>
      </c>
      <c r="L56" s="43" t="e">
        <v>#DIV/0!</v>
      </c>
      <c r="M56" s="43" t="e">
        <v>#DIV/0!</v>
      </c>
      <c r="N56" s="43" t="e">
        <v>#DIV/0!</v>
      </c>
      <c r="O56" s="43" t="e">
        <v>#DIV/0!</v>
      </c>
      <c r="P56" s="43" t="e">
        <v>#DIV/0!</v>
      </c>
      <c r="Q56" s="43" t="e">
        <v>#DIV/0!</v>
      </c>
      <c r="R56" s="43" t="e">
        <v>#DIV/0!</v>
      </c>
      <c r="S56" s="43" t="e">
        <v>#DIV/0!</v>
      </c>
      <c r="T56" s="43" t="e">
        <v>#DIV/0!</v>
      </c>
      <c r="U56" s="43" t="e">
        <v>#DIV/0!</v>
      </c>
      <c r="V56" s="43" t="e">
        <v>#DIV/0!</v>
      </c>
      <c r="W56" s="43" t="e">
        <v>#DIV/0!</v>
      </c>
      <c r="X56" s="46" t="e">
        <v>#DIV/0!</v>
      </c>
      <c r="Y56" s="79">
        <f>SUM(G28:X28)</f>
        <v>150</v>
      </c>
      <c r="Z56" s="31"/>
    </row>
    <row r="57" spans="1:26" x14ac:dyDescent="0.3">
      <c r="A57" s="89"/>
      <c r="B57" s="17" t="s">
        <v>76</v>
      </c>
      <c r="C57" s="31"/>
      <c r="E57" s="217"/>
      <c r="F57" s="27">
        <v>209968861</v>
      </c>
      <c r="G57" s="14" t="e">
        <v>#DIV/0!</v>
      </c>
      <c r="H57" s="44" t="e">
        <v>#DIV/0!</v>
      </c>
      <c r="I57" s="44" t="e">
        <v>#DIV/0!</v>
      </c>
      <c r="J57" s="44" t="e">
        <v>#DIV/0!</v>
      </c>
      <c r="K57" s="44" t="e">
        <v>#DIV/0!</v>
      </c>
      <c r="L57" s="44" t="e">
        <v>#DIV/0!</v>
      </c>
      <c r="M57" s="44" t="e">
        <v>#DIV/0!</v>
      </c>
      <c r="N57" s="44" t="e">
        <v>#DIV/0!</v>
      </c>
      <c r="O57" s="44" t="e">
        <v>#DIV/0!</v>
      </c>
      <c r="P57" s="44" t="e">
        <v>#DIV/0!</v>
      </c>
      <c r="Q57" s="44" t="e">
        <v>#DIV/0!</v>
      </c>
      <c r="R57" s="44" t="e">
        <v>#DIV/0!</v>
      </c>
      <c r="S57" s="44" t="e">
        <v>#DIV/0!</v>
      </c>
      <c r="T57" s="44" t="e">
        <v>#DIV/0!</v>
      </c>
      <c r="U57" s="44" t="e">
        <v>#DIV/0!</v>
      </c>
      <c r="V57" s="44" t="e">
        <v>#DIV/0!</v>
      </c>
      <c r="W57" s="44" t="e">
        <v>#DIV/0!</v>
      </c>
      <c r="X57" s="45" t="e">
        <v>#DIV/0!</v>
      </c>
      <c r="Y57" s="6"/>
      <c r="Z57" s="31"/>
    </row>
    <row r="58" spans="1:26" x14ac:dyDescent="0.3">
      <c r="A58" s="47">
        <v>1</v>
      </c>
      <c r="B58" s="47" t="s">
        <v>71</v>
      </c>
      <c r="C58" s="74">
        <f>rho!F79/73</f>
        <v>31578500.521042779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1"/>
    </row>
    <row r="59" spans="1:26" x14ac:dyDescent="0.3">
      <c r="A59" s="47">
        <v>2</v>
      </c>
      <c r="B59" s="47" t="s">
        <v>72</v>
      </c>
      <c r="C59" s="74">
        <f>rho!E85/73</f>
        <v>20798629.842020292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31"/>
    </row>
    <row r="60" spans="1:26" x14ac:dyDescent="0.3">
      <c r="A60" s="47">
        <v>3</v>
      </c>
      <c r="B60" s="47" t="s">
        <v>73</v>
      </c>
      <c r="C60" s="74">
        <f>rho!E86/73</f>
        <v>16702492.387978667</v>
      </c>
      <c r="E60" s="17" t="s">
        <v>80</v>
      </c>
      <c r="F60" s="31">
        <f>$C$27</f>
        <v>1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5"/>
      <c r="T60" s="65"/>
      <c r="U60" s="64"/>
      <c r="V60" s="64"/>
      <c r="W60" s="64"/>
      <c r="X60" s="64"/>
      <c r="Y60" s="6"/>
      <c r="Z60" s="31"/>
    </row>
    <row r="61" spans="1:26" x14ac:dyDescent="0.3">
      <c r="A61" s="47">
        <v>4</v>
      </c>
      <c r="B61" s="47" t="s">
        <v>74</v>
      </c>
      <c r="C61" s="74">
        <f>rho!E87/73</f>
        <v>13413059.13367733</v>
      </c>
      <c r="E61" s="17" t="s">
        <v>79</v>
      </c>
      <c r="F61" s="71">
        <f>$C$39</f>
        <v>0.14000000000000001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5"/>
      <c r="T61" s="65"/>
      <c r="U61" s="64"/>
      <c r="V61" s="64"/>
      <c r="W61" s="64"/>
      <c r="X61" s="64"/>
      <c r="Y61" s="6"/>
      <c r="Z61" s="31"/>
    </row>
    <row r="62" spans="1:26" x14ac:dyDescent="0.3">
      <c r="A62" s="47">
        <v>5</v>
      </c>
      <c r="B62" s="47" t="s">
        <v>75</v>
      </c>
      <c r="C62" s="74">
        <f>rho!E88/73</f>
        <v>10771455.609404285</v>
      </c>
      <c r="E62" s="17" t="s">
        <v>78</v>
      </c>
      <c r="F62" s="72">
        <f>$C$41</f>
        <v>0.05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  <c r="T62" s="65"/>
      <c r="U62" s="64"/>
      <c r="V62" s="64"/>
      <c r="W62" s="64"/>
      <c r="X62" s="64"/>
      <c r="Y62" s="6"/>
      <c r="Z62" s="31"/>
    </row>
    <row r="63" spans="1:26" ht="15" thickBot="1" x14ac:dyDescent="0.35">
      <c r="B63" s="6"/>
      <c r="C63" s="6"/>
      <c r="E63" s="17" t="s">
        <v>46</v>
      </c>
      <c r="F63" s="102">
        <f>$C$42</f>
        <v>250000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5"/>
      <c r="T63" s="65"/>
      <c r="U63" s="64"/>
      <c r="V63" s="64"/>
      <c r="W63" s="64"/>
      <c r="X63" s="64"/>
      <c r="Y63" s="6"/>
      <c r="Z63" s="31"/>
    </row>
    <row r="64" spans="1:26" ht="15" thickBot="1" x14ac:dyDescent="0.35">
      <c r="B64" s="6" t="s">
        <v>111</v>
      </c>
      <c r="C64" s="75">
        <v>21600</v>
      </c>
      <c r="E64" s="94" t="s">
        <v>95</v>
      </c>
      <c r="F64" s="103">
        <f>$C$28</f>
        <v>150</v>
      </c>
      <c r="G64" s="220" t="s">
        <v>81</v>
      </c>
      <c r="H64" s="220"/>
      <c r="I64" s="220"/>
      <c r="J64" s="220"/>
      <c r="K64" s="220"/>
      <c r="L64" s="220"/>
      <c r="M64" s="220"/>
      <c r="N64" s="220"/>
      <c r="O64" s="220"/>
      <c r="P64" s="220"/>
      <c r="Q64" s="220"/>
      <c r="R64" s="220"/>
      <c r="S64" s="220"/>
      <c r="T64" s="220"/>
      <c r="U64" s="220"/>
      <c r="V64" s="220"/>
      <c r="W64" s="220"/>
      <c r="X64" s="220"/>
      <c r="Y64" s="88">
        <v>0</v>
      </c>
      <c r="Z64" s="31"/>
    </row>
    <row r="65" spans="1:26" x14ac:dyDescent="0.3">
      <c r="B65" s="6"/>
      <c r="C65" s="31"/>
      <c r="E65" s="215" t="s">
        <v>28</v>
      </c>
      <c r="F65" s="218" t="s">
        <v>66</v>
      </c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9"/>
      <c r="Y65" s="88">
        <v>3.1200077904872279E-3</v>
      </c>
      <c r="Z65" s="31"/>
    </row>
    <row r="66" spans="1:26" x14ac:dyDescent="0.3">
      <c r="A66" s="47"/>
      <c r="B66" s="6"/>
      <c r="C66" s="30"/>
      <c r="E66" s="216"/>
      <c r="F66" s="52">
        <f>C44</f>
        <v>45706.469006838241</v>
      </c>
      <c r="G66" s="10">
        <f t="shared" ref="G66:X66" si="5">G40</f>
        <v>150</v>
      </c>
      <c r="H66" s="10">
        <f t="shared" si="5"/>
        <v>175</v>
      </c>
      <c r="I66" s="10">
        <f t="shared" si="5"/>
        <v>200</v>
      </c>
      <c r="J66" s="10">
        <f t="shared" si="5"/>
        <v>225</v>
      </c>
      <c r="K66" s="10">
        <f t="shared" si="5"/>
        <v>250</v>
      </c>
      <c r="L66" s="10">
        <f t="shared" si="5"/>
        <v>275</v>
      </c>
      <c r="M66" s="10">
        <f t="shared" si="5"/>
        <v>300</v>
      </c>
      <c r="N66" s="10">
        <f t="shared" si="5"/>
        <v>325</v>
      </c>
      <c r="O66" s="10">
        <f t="shared" si="5"/>
        <v>350</v>
      </c>
      <c r="P66" s="10">
        <f t="shared" si="5"/>
        <v>375</v>
      </c>
      <c r="Q66" s="10">
        <f t="shared" si="5"/>
        <v>400</v>
      </c>
      <c r="R66" s="10">
        <f t="shared" si="5"/>
        <v>450</v>
      </c>
      <c r="S66" s="10">
        <f t="shared" si="5"/>
        <v>500</v>
      </c>
      <c r="T66" s="10">
        <f t="shared" si="5"/>
        <v>600</v>
      </c>
      <c r="U66" s="10">
        <f t="shared" si="5"/>
        <v>700</v>
      </c>
      <c r="V66" s="10">
        <f t="shared" si="5"/>
        <v>800</v>
      </c>
      <c r="W66" s="10">
        <f t="shared" si="5"/>
        <v>900</v>
      </c>
      <c r="X66" s="11">
        <f t="shared" si="5"/>
        <v>1000</v>
      </c>
      <c r="Y66" s="88">
        <v>7.8000194762180711E-3</v>
      </c>
      <c r="Z66" s="31"/>
    </row>
    <row r="67" spans="1:26" ht="15" thickBot="1" x14ac:dyDescent="0.35">
      <c r="A67" s="47"/>
      <c r="B67" s="6"/>
      <c r="C67" s="30"/>
      <c r="E67" s="216"/>
      <c r="F67" s="12">
        <v>500000</v>
      </c>
      <c r="G67" s="53">
        <f t="dataTable" ref="G67:X83" dt2D="1" dtr="1" r1="C28" r2="C43" ca="1"/>
        <v>294.48853569605535</v>
      </c>
      <c r="H67" s="53">
        <v>294.49694160851374</v>
      </c>
      <c r="I67" s="54">
        <v>294.50535385788322</v>
      </c>
      <c r="J67" s="54">
        <v>294.51377244416364</v>
      </c>
      <c r="K67" s="54">
        <v>294.52219736735509</v>
      </c>
      <c r="L67" s="54">
        <v>294.53062862745759</v>
      </c>
      <c r="M67" s="54">
        <v>294.53906622447101</v>
      </c>
      <c r="N67" s="54">
        <v>294.54751015839554</v>
      </c>
      <c r="O67" s="54">
        <v>294.55596042923099</v>
      </c>
      <c r="P67" s="54">
        <v>294.56441703697755</v>
      </c>
      <c r="Q67" s="54">
        <v>294.57287998163508</v>
      </c>
      <c r="R67" s="54">
        <v>294.58982488168317</v>
      </c>
      <c r="S67" s="54">
        <v>294.60679512937531</v>
      </c>
      <c r="T67" s="54">
        <v>294.64081166769176</v>
      </c>
      <c r="U67" s="54">
        <v>294.67492959658438</v>
      </c>
      <c r="V67" s="54">
        <v>294.70914891605327</v>
      </c>
      <c r="W67" s="54">
        <v>294.74346962609832</v>
      </c>
      <c r="X67" s="55">
        <v>294.77789172671959</v>
      </c>
      <c r="Y67" s="88">
        <v>3.1200077904872284E-2</v>
      </c>
      <c r="Z67" s="31"/>
    </row>
    <row r="68" spans="1:26" ht="15" thickBot="1" x14ac:dyDescent="0.35">
      <c r="A68" s="47"/>
      <c r="B68" s="6"/>
      <c r="C68" s="30"/>
      <c r="E68" s="216"/>
      <c r="F68" s="90">
        <v>544000</v>
      </c>
      <c r="G68" s="91">
        <v>320.40794341080777</v>
      </c>
      <c r="H68" s="91">
        <v>320.41782513914569</v>
      </c>
      <c r="I68" s="92">
        <v>320.42771376204291</v>
      </c>
      <c r="J68" s="92">
        <v>320.43760927949933</v>
      </c>
      <c r="K68" s="92">
        <v>320.44751169151482</v>
      </c>
      <c r="L68" s="92">
        <v>320.45742099808956</v>
      </c>
      <c r="M68" s="92">
        <v>320.46733719922344</v>
      </c>
      <c r="N68" s="92">
        <v>320.4772602949165</v>
      </c>
      <c r="O68" s="92">
        <v>320.48719028516871</v>
      </c>
      <c r="P68" s="92">
        <v>320.49712716998027</v>
      </c>
      <c r="Q68" s="92">
        <v>320.50707094935086</v>
      </c>
      <c r="R68" s="92">
        <v>320.52697919176967</v>
      </c>
      <c r="S68" s="92">
        <v>320.54691501242519</v>
      </c>
      <c r="T68" s="92">
        <v>320.58686938844647</v>
      </c>
      <c r="U68" s="92">
        <v>320.62693407741466</v>
      </c>
      <c r="V68" s="92">
        <v>320.66710907932969</v>
      </c>
      <c r="W68" s="92">
        <v>320.70739439419162</v>
      </c>
      <c r="X68" s="93">
        <v>320.74779002200057</v>
      </c>
      <c r="Y68" s="88">
        <v>4.6800116857308421E-2</v>
      </c>
      <c r="Z68" s="31"/>
    </row>
    <row r="69" spans="1:26" x14ac:dyDescent="0.3">
      <c r="A69" s="47"/>
      <c r="B69" s="6"/>
      <c r="C69" s="30"/>
      <c r="E69" s="216"/>
      <c r="F69" s="12">
        <v>1000000</v>
      </c>
      <c r="G69" s="53">
        <v>589.02725972733163</v>
      </c>
      <c r="H69" s="53">
        <v>589.05243627478535</v>
      </c>
      <c r="I69" s="54">
        <v>589.07762549606105</v>
      </c>
      <c r="J69" s="54">
        <v>589.10282739115871</v>
      </c>
      <c r="K69" s="54">
        <v>589.12804196007846</v>
      </c>
      <c r="L69" s="54">
        <v>589.1532692028203</v>
      </c>
      <c r="M69" s="54">
        <v>589.1785091193841</v>
      </c>
      <c r="N69" s="54">
        <v>589.20376170976988</v>
      </c>
      <c r="O69" s="54">
        <v>589.22902697397762</v>
      </c>
      <c r="P69" s="54">
        <v>589.25430491200757</v>
      </c>
      <c r="Q69" s="54">
        <v>589.27959552385937</v>
      </c>
      <c r="R69" s="54">
        <v>589.33021476902923</v>
      </c>
      <c r="S69" s="54">
        <v>589.3808847094873</v>
      </c>
      <c r="T69" s="54">
        <v>589.48237667626734</v>
      </c>
      <c r="U69" s="54">
        <v>589.58407142420003</v>
      </c>
      <c r="V69" s="54">
        <v>589.68596895328517</v>
      </c>
      <c r="W69" s="54">
        <v>589.78806926352252</v>
      </c>
      <c r="X69" s="55">
        <v>589.8903723549123</v>
      </c>
      <c r="Y69" s="88">
        <v>9.3600233714616843E-2</v>
      </c>
      <c r="Z69" s="31"/>
    </row>
    <row r="70" spans="1:26" x14ac:dyDescent="0.3">
      <c r="A70" s="47"/>
      <c r="B70" s="6"/>
      <c r="C70" s="30"/>
      <c r="E70" s="216"/>
      <c r="F70" s="12">
        <v>1458717</v>
      </c>
      <c r="G70" s="53">
        <v>859.24709947024166</v>
      </c>
      <c r="H70" s="53">
        <v>859.2876619684414</v>
      </c>
      <c r="I70" s="54">
        <v>859.32824295416106</v>
      </c>
      <c r="J70" s="54">
        <v>859.36884242740041</v>
      </c>
      <c r="K70" s="54">
        <v>859.40946038815912</v>
      </c>
      <c r="L70" s="54">
        <v>859.45009683643752</v>
      </c>
      <c r="M70" s="54">
        <v>859.49075177223574</v>
      </c>
      <c r="N70" s="54">
        <v>859.53142519555331</v>
      </c>
      <c r="O70" s="54">
        <v>859.57211710639081</v>
      </c>
      <c r="P70" s="54">
        <v>859.61282750474788</v>
      </c>
      <c r="Q70" s="54">
        <v>859.65355639062443</v>
      </c>
      <c r="R70" s="54">
        <v>859.73506962493673</v>
      </c>
      <c r="S70" s="54">
        <v>859.8166568093277</v>
      </c>
      <c r="T70" s="54">
        <v>859.98005302834486</v>
      </c>
      <c r="U70" s="54">
        <v>860.14374504767682</v>
      </c>
      <c r="V70" s="54">
        <v>860.30773286732301</v>
      </c>
      <c r="W70" s="54">
        <v>860.47201648728321</v>
      </c>
      <c r="X70" s="55">
        <v>860.63659590755788</v>
      </c>
      <c r="Y70" s="88">
        <v>0.15</v>
      </c>
      <c r="Z70" s="31"/>
    </row>
    <row r="71" spans="1:26" x14ac:dyDescent="0.3">
      <c r="B71" s="6"/>
      <c r="C71" s="31"/>
      <c r="E71" s="216"/>
      <c r="F71" s="12">
        <v>5000000</v>
      </c>
      <c r="G71" s="53">
        <v>2945.3370519775422</v>
      </c>
      <c r="H71" s="53">
        <v>2945.496393604958</v>
      </c>
      <c r="I71" s="54">
        <v>2945.6557986014841</v>
      </c>
      <c r="J71" s="54">
        <v>2945.8152669671199</v>
      </c>
      <c r="K71" s="54">
        <v>2945.9747987018654</v>
      </c>
      <c r="L71" s="54">
        <v>2946.1343938057216</v>
      </c>
      <c r="M71" s="54">
        <v>2946.294052278688</v>
      </c>
      <c r="N71" s="54">
        <v>2946.4537741207646</v>
      </c>
      <c r="O71" s="54">
        <v>2946.6135593319505</v>
      </c>
      <c r="P71" s="54">
        <v>2946.7734079122474</v>
      </c>
      <c r="Q71" s="54">
        <v>2946.9333198616541</v>
      </c>
      <c r="R71" s="54">
        <v>2947.2533338677986</v>
      </c>
      <c r="S71" s="54">
        <v>2947.5736013503829</v>
      </c>
      <c r="T71" s="54">
        <v>2948.2148967448729</v>
      </c>
      <c r="U71" s="54">
        <v>2948.8572060451256</v>
      </c>
      <c r="V71" s="54">
        <v>2949.5005292511396</v>
      </c>
      <c r="W71" s="54">
        <v>2950.1448663629162</v>
      </c>
      <c r="X71" s="55">
        <v>2950.790217380455</v>
      </c>
      <c r="Y71" s="88">
        <v>0.2</v>
      </c>
      <c r="Z71" s="31"/>
    </row>
    <row r="72" spans="1:26" x14ac:dyDescent="0.3">
      <c r="B72" s="6"/>
      <c r="C72" s="6"/>
      <c r="D72" s="23"/>
      <c r="E72" s="216"/>
      <c r="F72" s="12">
        <v>10000000</v>
      </c>
      <c r="G72" s="53">
        <v>5890.724292290306</v>
      </c>
      <c r="H72" s="53">
        <v>5891.0513402676743</v>
      </c>
      <c r="I72" s="54">
        <v>5891.3785149832629</v>
      </c>
      <c r="J72" s="54">
        <v>5891.7058164370719</v>
      </c>
      <c r="K72" s="54">
        <v>5892.0332446290995</v>
      </c>
      <c r="L72" s="54">
        <v>5892.3607995593484</v>
      </c>
      <c r="M72" s="54">
        <v>5892.6884812278186</v>
      </c>
      <c r="N72" s="54">
        <v>5893.0162896345073</v>
      </c>
      <c r="O72" s="54">
        <v>5893.3442247794183</v>
      </c>
      <c r="P72" s="54">
        <v>5893.6722866625478</v>
      </c>
      <c r="Q72" s="54">
        <v>5894.0004752838977</v>
      </c>
      <c r="R72" s="54">
        <v>5894.6572327412596</v>
      </c>
      <c r="S72" s="54">
        <v>5895.3144971515021</v>
      </c>
      <c r="T72" s="54">
        <v>5896.6305468306309</v>
      </c>
      <c r="U72" s="54">
        <v>5897.9486243212814</v>
      </c>
      <c r="V72" s="54">
        <v>5899.2687296234581</v>
      </c>
      <c r="W72" s="54">
        <v>5900.5908627371582</v>
      </c>
      <c r="X72" s="55">
        <v>5901.9150236623827</v>
      </c>
      <c r="Y72" s="88">
        <v>0.25</v>
      </c>
      <c r="Z72" s="31"/>
    </row>
    <row r="73" spans="1:26" ht="14.25" customHeight="1" x14ac:dyDescent="0.3">
      <c r="B73" s="6"/>
      <c r="C73" s="6"/>
      <c r="E73" s="216"/>
      <c r="F73" s="12">
        <v>15000000</v>
      </c>
      <c r="G73" s="53">
        <v>8836.1115326030686</v>
      </c>
      <c r="H73" s="53">
        <v>8836.6062869303896</v>
      </c>
      <c r="I73" s="54">
        <v>8837.1012313650408</v>
      </c>
      <c r="J73" s="54">
        <v>8837.5963659070239</v>
      </c>
      <c r="K73" s="54">
        <v>8838.0916905563336</v>
      </c>
      <c r="L73" s="54">
        <v>8838.5872053129751</v>
      </c>
      <c r="M73" s="54">
        <v>8839.0829101769486</v>
      </c>
      <c r="N73" s="54">
        <v>8839.5788051482505</v>
      </c>
      <c r="O73" s="54">
        <v>8840.0748902268861</v>
      </c>
      <c r="P73" s="54">
        <v>8840.5711654128481</v>
      </c>
      <c r="Q73" s="54">
        <v>8841.0676307061422</v>
      </c>
      <c r="R73" s="54">
        <v>8842.0611316147206</v>
      </c>
      <c r="S73" s="54">
        <v>8843.0553929526213</v>
      </c>
      <c r="T73" s="54">
        <v>8845.0461969163862</v>
      </c>
      <c r="U73" s="54">
        <v>8847.0400425974403</v>
      </c>
      <c r="V73" s="54">
        <v>8849.0369299957765</v>
      </c>
      <c r="W73" s="54">
        <v>8851.0368591114002</v>
      </c>
      <c r="X73" s="55">
        <v>8853.0398299443114</v>
      </c>
      <c r="Y73" s="88">
        <v>0.3</v>
      </c>
      <c r="Z73" s="31"/>
    </row>
    <row r="74" spans="1:26" x14ac:dyDescent="0.3">
      <c r="B74" s="6"/>
      <c r="C74" s="6"/>
      <c r="E74" s="216"/>
      <c r="F74" s="12">
        <v>20000000</v>
      </c>
      <c r="G74" s="53">
        <v>11781.498772915833</v>
      </c>
      <c r="H74" s="53">
        <v>11782.161233593106</v>
      </c>
      <c r="I74" s="53">
        <v>11782.82394774682</v>
      </c>
      <c r="J74" s="53">
        <v>11783.486915376974</v>
      </c>
      <c r="K74" s="53">
        <v>11784.150136483569</v>
      </c>
      <c r="L74" s="53">
        <v>11784.813611066602</v>
      </c>
      <c r="M74" s="53">
        <v>11785.477339126079</v>
      </c>
      <c r="N74" s="53">
        <v>11786.141320661995</v>
      </c>
      <c r="O74" s="53">
        <v>11786.805555674351</v>
      </c>
      <c r="P74" s="53">
        <v>11787.470044163148</v>
      </c>
      <c r="Q74" s="53">
        <v>11788.134786128385</v>
      </c>
      <c r="R74" s="53">
        <v>11789.465030488182</v>
      </c>
      <c r="S74" s="53">
        <v>11790.796288753741</v>
      </c>
      <c r="T74" s="53">
        <v>11793.461847002145</v>
      </c>
      <c r="U74" s="53">
        <v>11796.131460873596</v>
      </c>
      <c r="V74" s="53">
        <v>11798.805130368095</v>
      </c>
      <c r="W74" s="53">
        <v>11801.482855485643</v>
      </c>
      <c r="X74" s="56">
        <v>11804.16463622624</v>
      </c>
      <c r="Y74" s="88">
        <v>0.4</v>
      </c>
      <c r="Z74" s="31"/>
    </row>
    <row r="75" spans="1:26" x14ac:dyDescent="0.3">
      <c r="B75" s="6"/>
      <c r="C75" s="6"/>
      <c r="E75" s="216"/>
      <c r="F75" s="12">
        <v>32000000</v>
      </c>
      <c r="G75" s="53">
        <v>18850.428149666466</v>
      </c>
      <c r="H75" s="53">
        <v>18851.493105583624</v>
      </c>
      <c r="I75" s="53">
        <v>18852.558467063089</v>
      </c>
      <c r="J75" s="53">
        <v>18853.624234104853</v>
      </c>
      <c r="K75" s="53">
        <v>18854.690406708931</v>
      </c>
      <c r="L75" s="53">
        <v>18855.756984875305</v>
      </c>
      <c r="M75" s="53">
        <v>18856.823968603992</v>
      </c>
      <c r="N75" s="53">
        <v>18857.89135789498</v>
      </c>
      <c r="O75" s="53">
        <v>18858.95915274827</v>
      </c>
      <c r="P75" s="53">
        <v>18860.027353163867</v>
      </c>
      <c r="Q75" s="53">
        <v>18861.09595914177</v>
      </c>
      <c r="R75" s="53">
        <v>18863.234387784491</v>
      </c>
      <c r="S75" s="53">
        <v>18865.374438676427</v>
      </c>
      <c r="T75" s="53">
        <v>18869.659407207957</v>
      </c>
      <c r="U75" s="53">
        <v>18873.950864736369</v>
      </c>
      <c r="V75" s="53">
        <v>18878.248811261659</v>
      </c>
      <c r="W75" s="53">
        <v>18882.553246783824</v>
      </c>
      <c r="X75" s="56">
        <v>18886.864171302863</v>
      </c>
      <c r="Y75" s="88">
        <v>0.5</v>
      </c>
      <c r="Z75" s="31"/>
    </row>
    <row r="76" spans="1:26" x14ac:dyDescent="0.3">
      <c r="B76" s="6"/>
      <c r="C76" s="6"/>
      <c r="E76" s="216"/>
      <c r="F76" s="12">
        <v>50000000</v>
      </c>
      <c r="G76" s="57">
        <v>29453.822214792413</v>
      </c>
      <c r="H76" s="57">
        <v>29455.4909135694</v>
      </c>
      <c r="I76" s="57">
        <v>29457.160246037496</v>
      </c>
      <c r="J76" s="57">
        <v>29458.830212196681</v>
      </c>
      <c r="K76" s="57">
        <v>29460.500812046972</v>
      </c>
      <c r="L76" s="57">
        <v>29462.172045588366</v>
      </c>
      <c r="M76" s="57">
        <v>29463.843912820856</v>
      </c>
      <c r="N76" s="57">
        <v>29465.516413744452</v>
      </c>
      <c r="O76" s="57">
        <v>29467.189548359154</v>
      </c>
      <c r="P76" s="57">
        <v>29468.863316664952</v>
      </c>
      <c r="Q76" s="57">
        <v>29470.537718661846</v>
      </c>
      <c r="R76" s="57">
        <v>29473.888423728949</v>
      </c>
      <c r="S76" s="57">
        <v>29477.24166356046</v>
      </c>
      <c r="T76" s="57">
        <v>29483.955747516688</v>
      </c>
      <c r="U76" s="57">
        <v>27805.484874372727</v>
      </c>
      <c r="V76" s="57">
        <v>24335.319981950452</v>
      </c>
      <c r="W76" s="57">
        <v>21636.302843399782</v>
      </c>
      <c r="X76" s="58">
        <v>19477.089132559249</v>
      </c>
      <c r="Y76" s="88">
        <v>0.6</v>
      </c>
      <c r="Z76" s="31"/>
    </row>
    <row r="77" spans="1:26" x14ac:dyDescent="0.3">
      <c r="B77" s="6"/>
      <c r="C77" s="6"/>
      <c r="E77" s="216"/>
      <c r="F77" s="12">
        <v>75000000</v>
      </c>
      <c r="G77" s="57">
        <v>44180.758416356228</v>
      </c>
      <c r="H77" s="57">
        <v>44183.265646882981</v>
      </c>
      <c r="I77" s="57">
        <v>44185.773827946381</v>
      </c>
      <c r="J77" s="57">
        <v>44188.282959546435</v>
      </c>
      <c r="K77" s="57">
        <v>44190.793041683144</v>
      </c>
      <c r="L77" s="57">
        <v>44193.304074356507</v>
      </c>
      <c r="M77" s="57">
        <v>44195.81605756651</v>
      </c>
      <c r="N77" s="57">
        <v>44198.328991313174</v>
      </c>
      <c r="O77" s="57">
        <v>44200.842875596485</v>
      </c>
      <c r="P77" s="57">
        <v>44203.357710416451</v>
      </c>
      <c r="Q77" s="57">
        <v>44205.873495773063</v>
      </c>
      <c r="R77" s="57">
        <v>43228.4399518051</v>
      </c>
      <c r="S77" s="57">
        <v>38910.01253012404</v>
      </c>
      <c r="T77" s="57">
        <v>32432.371397602448</v>
      </c>
      <c r="U77" s="57">
        <v>27805.484874372727</v>
      </c>
      <c r="V77" s="57">
        <v>24335.319981950452</v>
      </c>
      <c r="W77" s="57">
        <v>21636.302843399782</v>
      </c>
      <c r="X77" s="58">
        <v>19477.089132559249</v>
      </c>
      <c r="Y77" s="88">
        <v>0.7</v>
      </c>
      <c r="Z77" s="31"/>
    </row>
    <row r="78" spans="1:26" x14ac:dyDescent="0.3">
      <c r="B78" s="6"/>
      <c r="C78" s="6"/>
      <c r="E78" s="216"/>
      <c r="F78" s="12">
        <v>100000000</v>
      </c>
      <c r="G78" s="57">
        <v>58907.69461792006</v>
      </c>
      <c r="H78" s="57">
        <v>58911.040380196559</v>
      </c>
      <c r="I78" s="57">
        <v>58914.387409855277</v>
      </c>
      <c r="J78" s="57">
        <v>58917.735706896201</v>
      </c>
      <c r="K78" s="57">
        <v>58921.085271319316</v>
      </c>
      <c r="L78" s="57">
        <v>58924.43610312463</v>
      </c>
      <c r="M78" s="57">
        <v>58927.788202312164</v>
      </c>
      <c r="N78" s="57">
        <v>58931.141568881896</v>
      </c>
      <c r="O78" s="57">
        <v>55566.804013750996</v>
      </c>
      <c r="P78" s="57">
        <v>51865.294795167225</v>
      </c>
      <c r="Q78" s="57">
        <v>48626.474228906431</v>
      </c>
      <c r="R78" s="57">
        <v>43228.4399518051</v>
      </c>
      <c r="S78" s="57">
        <v>38910.01253012404</v>
      </c>
      <c r="T78" s="57">
        <v>32432.371397602448</v>
      </c>
      <c r="U78" s="57">
        <v>27805.484874372727</v>
      </c>
      <c r="V78" s="57">
        <v>24335.319981950452</v>
      </c>
      <c r="W78" s="57">
        <v>21636.302843399782</v>
      </c>
      <c r="X78" s="58">
        <v>19477.089132559249</v>
      </c>
      <c r="Y78" s="88">
        <v>0.8</v>
      </c>
      <c r="Z78" s="31"/>
    </row>
    <row r="79" spans="1:26" x14ac:dyDescent="0.3">
      <c r="B79" s="6"/>
      <c r="C79" s="6"/>
      <c r="E79" s="216"/>
      <c r="F79" s="12">
        <v>150000000</v>
      </c>
      <c r="G79" s="57">
        <v>88361.567021047696</v>
      </c>
      <c r="H79" s="57">
        <v>88366.589846823714</v>
      </c>
      <c r="I79" s="57">
        <v>88371.614573673054</v>
      </c>
      <c r="J79" s="57">
        <v>86412.714168615756</v>
      </c>
      <c r="K79" s="57">
        <v>77775.859325253623</v>
      </c>
      <c r="L79" s="57">
        <v>70709.341726139144</v>
      </c>
      <c r="M79" s="57">
        <v>64820.577060210417</v>
      </c>
      <c r="N79" s="57">
        <v>59837.776189039956</v>
      </c>
      <c r="O79" s="57">
        <v>55566.804013750996</v>
      </c>
      <c r="P79" s="57">
        <v>51865.294795167225</v>
      </c>
      <c r="Q79" s="57">
        <v>48626.474228906431</v>
      </c>
      <c r="R79" s="57">
        <v>43228.4399518051</v>
      </c>
      <c r="S79" s="57">
        <v>38910.01253012404</v>
      </c>
      <c r="T79" s="57">
        <v>32432.371397602448</v>
      </c>
      <c r="U79" s="57">
        <v>27805.484874372727</v>
      </c>
      <c r="V79" s="57">
        <v>24335.319981950452</v>
      </c>
      <c r="W79" s="57">
        <v>21636.302843399782</v>
      </c>
      <c r="X79" s="58">
        <v>19477.089132559249</v>
      </c>
      <c r="Y79" s="88">
        <v>0.85</v>
      </c>
      <c r="Z79" s="31"/>
    </row>
    <row r="80" spans="1:26" x14ac:dyDescent="0.3">
      <c r="B80" s="6"/>
      <c r="C80" s="6"/>
      <c r="E80" s="216"/>
      <c r="F80" s="12">
        <v>175000000</v>
      </c>
      <c r="G80" s="57">
        <v>103088.50322261151</v>
      </c>
      <c r="H80" s="57">
        <v>103094.36458013731</v>
      </c>
      <c r="I80" s="57">
        <v>97208.782722818403</v>
      </c>
      <c r="J80" s="57">
        <v>86412.714168615756</v>
      </c>
      <c r="K80" s="57">
        <v>77775.859325253623</v>
      </c>
      <c r="L80" s="57">
        <v>70709.341726139144</v>
      </c>
      <c r="M80" s="57">
        <v>64820.577060210417</v>
      </c>
      <c r="N80" s="57">
        <v>59837.776189039956</v>
      </c>
      <c r="O80" s="57">
        <v>55566.804013750996</v>
      </c>
      <c r="P80" s="57">
        <v>51865.294795167225</v>
      </c>
      <c r="Q80" s="57">
        <v>48626.474228906431</v>
      </c>
      <c r="R80" s="57">
        <v>43228.4399518051</v>
      </c>
      <c r="S80" s="57">
        <v>38910.01253012404</v>
      </c>
      <c r="T80" s="57">
        <v>32432.371397602448</v>
      </c>
      <c r="U80" s="57">
        <v>27805.484874372727</v>
      </c>
      <c r="V80" s="57">
        <v>24335.319981950452</v>
      </c>
      <c r="W80" s="57">
        <v>21636.302843399782</v>
      </c>
      <c r="X80" s="58">
        <v>19477.089132559249</v>
      </c>
      <c r="Y80" s="88">
        <v>0.9</v>
      </c>
      <c r="Z80" s="31"/>
    </row>
    <row r="81" spans="1:26" x14ac:dyDescent="0.3">
      <c r="B81" s="17"/>
      <c r="C81" s="6"/>
      <c r="E81" s="216"/>
      <c r="F81" s="12">
        <v>185000000</v>
      </c>
      <c r="G81" s="57">
        <v>108979.27770323702</v>
      </c>
      <c r="H81" s="57">
        <v>108985.47447346273</v>
      </c>
      <c r="I81" s="57">
        <v>97208.782722818403</v>
      </c>
      <c r="J81" s="57">
        <v>86412.714168615756</v>
      </c>
      <c r="K81" s="57">
        <v>77775.859325253623</v>
      </c>
      <c r="L81" s="57">
        <v>70709.341726139144</v>
      </c>
      <c r="M81" s="57">
        <v>64820.577060210417</v>
      </c>
      <c r="N81" s="57">
        <v>59837.776189039956</v>
      </c>
      <c r="O81" s="57">
        <v>55566.804013750996</v>
      </c>
      <c r="P81" s="57">
        <v>51865.294795167225</v>
      </c>
      <c r="Q81" s="57">
        <v>48626.474228906431</v>
      </c>
      <c r="R81" s="57">
        <v>43228.4399518051</v>
      </c>
      <c r="S81" s="57">
        <v>38910.01253012404</v>
      </c>
      <c r="T81" s="57">
        <v>32432.371397602448</v>
      </c>
      <c r="U81" s="57">
        <v>27805.484874372727</v>
      </c>
      <c r="V81" s="57">
        <v>24335.319981950452</v>
      </c>
      <c r="W81" s="57">
        <v>21636.302843399782</v>
      </c>
      <c r="X81" s="58">
        <v>19477.089132559249</v>
      </c>
      <c r="Y81" s="89">
        <v>1</v>
      </c>
      <c r="Z81" s="31"/>
    </row>
    <row r="82" spans="1:26" x14ac:dyDescent="0.3">
      <c r="B82" s="6"/>
      <c r="C82" s="101"/>
      <c r="E82" s="216"/>
      <c r="F82" s="12">
        <v>195000000</v>
      </c>
      <c r="G82" s="57">
        <v>114870.05218386257</v>
      </c>
      <c r="H82" s="57">
        <v>111089.44229250753</v>
      </c>
      <c r="I82" s="57">
        <v>97208.782722818403</v>
      </c>
      <c r="J82" s="57">
        <v>86412.714168615756</v>
      </c>
      <c r="K82" s="57">
        <v>77775.859325253623</v>
      </c>
      <c r="L82" s="57">
        <v>70709.341726139144</v>
      </c>
      <c r="M82" s="57">
        <v>64820.577060210417</v>
      </c>
      <c r="N82" s="57">
        <v>59837.776189039956</v>
      </c>
      <c r="O82" s="57">
        <v>55566.804013750996</v>
      </c>
      <c r="P82" s="57">
        <v>51865.294795167225</v>
      </c>
      <c r="Q82" s="57">
        <v>48626.474228906431</v>
      </c>
      <c r="R82" s="57">
        <v>43228.4399518051</v>
      </c>
      <c r="S82" s="57">
        <v>38910.01253012404</v>
      </c>
      <c r="T82" s="57">
        <v>32432.371397602448</v>
      </c>
      <c r="U82" s="57">
        <v>27805.484874372727</v>
      </c>
      <c r="V82" s="57">
        <v>24335.319981950452</v>
      </c>
      <c r="W82" s="57">
        <v>21636.302843399782</v>
      </c>
      <c r="X82" s="58">
        <v>19477.089132559249</v>
      </c>
      <c r="Y82" s="6"/>
      <c r="Z82" s="31"/>
    </row>
    <row r="83" spans="1:26" x14ac:dyDescent="0.3">
      <c r="B83" s="6"/>
      <c r="C83" s="31"/>
      <c r="E83" s="217"/>
      <c r="F83" s="27">
        <v>220000000</v>
      </c>
      <c r="G83" s="59">
        <v>129596.98838542638</v>
      </c>
      <c r="H83" s="59">
        <v>111089.44229250753</v>
      </c>
      <c r="I83" s="59">
        <v>97208.782722818403</v>
      </c>
      <c r="J83" s="59">
        <v>86412.714168615756</v>
      </c>
      <c r="K83" s="59">
        <v>77775.859325253623</v>
      </c>
      <c r="L83" s="59">
        <v>70709.341726139144</v>
      </c>
      <c r="M83" s="59">
        <v>64820.577060210417</v>
      </c>
      <c r="N83" s="59">
        <v>59837.776189039956</v>
      </c>
      <c r="O83" s="59">
        <v>55566.804013750996</v>
      </c>
      <c r="P83" s="59">
        <v>51865.294795167225</v>
      </c>
      <c r="Q83" s="59">
        <v>48626.474228906431</v>
      </c>
      <c r="R83" s="59">
        <v>43228.4399518051</v>
      </c>
      <c r="S83" s="59">
        <v>38910.01253012404</v>
      </c>
      <c r="T83" s="59">
        <v>32432.371397602448</v>
      </c>
      <c r="U83" s="59">
        <v>27805.484874372727</v>
      </c>
      <c r="V83" s="59">
        <v>24335.319981950452</v>
      </c>
      <c r="W83" s="59">
        <v>21636.302843399782</v>
      </c>
      <c r="X83" s="60">
        <v>19477.089132559249</v>
      </c>
      <c r="Y83" s="6"/>
      <c r="Z83" s="31"/>
    </row>
    <row r="84" spans="1:26" s="147" customFormat="1" x14ac:dyDescent="0.3">
      <c r="A84" s="164"/>
      <c r="C84" s="165"/>
      <c r="Z84" s="148"/>
    </row>
    <row r="85" spans="1:26" s="147" customFormat="1" x14ac:dyDescent="0.3">
      <c r="C85" s="166"/>
      <c r="Z85" s="148"/>
    </row>
    <row r="86" spans="1:26" s="147" customFormat="1" x14ac:dyDescent="0.3">
      <c r="C86" s="166"/>
      <c r="E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5"/>
      <c r="T86" s="25"/>
      <c r="U86" s="8"/>
      <c r="V86" s="8"/>
      <c r="W86" s="8"/>
      <c r="X86" s="8"/>
      <c r="Z86" s="148"/>
    </row>
    <row r="87" spans="1:26" s="147" customFormat="1" x14ac:dyDescent="0.3">
      <c r="C87" s="167"/>
      <c r="Z87" s="148"/>
    </row>
    <row r="88" spans="1:26" s="147" customFormat="1" x14ac:dyDescent="0.3">
      <c r="C88" s="168"/>
      <c r="Z88" s="148"/>
    </row>
    <row r="89" spans="1:26" s="147" customFormat="1" x14ac:dyDescent="0.3">
      <c r="C89" s="168"/>
      <c r="Z89" s="148"/>
    </row>
    <row r="90" spans="1:26" s="147" customFormat="1" ht="6" customHeight="1" x14ac:dyDescent="0.3">
      <c r="Z90" s="148"/>
    </row>
    <row r="91" spans="1:26" s="147" customFormat="1" x14ac:dyDescent="0.3">
      <c r="C91" s="166"/>
      <c r="D91" s="169"/>
      <c r="Z91" s="148"/>
    </row>
    <row r="92" spans="1:26" s="147" customFormat="1" x14ac:dyDescent="0.3">
      <c r="Z92" s="148"/>
    </row>
    <row r="93" spans="1:26" s="147" customFormat="1" x14ac:dyDescent="0.3">
      <c r="C93" s="166"/>
      <c r="Z93" s="148"/>
    </row>
    <row r="94" spans="1:26" s="147" customFormat="1" x14ac:dyDescent="0.3">
      <c r="B94" s="170"/>
      <c r="C94" s="171"/>
      <c r="Z94" s="148"/>
    </row>
    <row r="95" spans="1:26" s="147" customFormat="1" x14ac:dyDescent="0.3">
      <c r="C95" s="148"/>
      <c r="Z95" s="148"/>
    </row>
    <row r="96" spans="1:26" s="147" customFormat="1" x14ac:dyDescent="0.3">
      <c r="C96" s="166"/>
      <c r="Z96" s="148"/>
    </row>
    <row r="97" spans="2:26" s="147" customFormat="1" x14ac:dyDescent="0.3">
      <c r="C97" s="166"/>
      <c r="Z97" s="148"/>
    </row>
    <row r="98" spans="2:26" s="147" customFormat="1" x14ac:dyDescent="0.3">
      <c r="C98" s="166"/>
      <c r="Z98" s="148"/>
    </row>
    <row r="99" spans="2:26" s="147" customFormat="1" x14ac:dyDescent="0.3">
      <c r="B99" s="7"/>
      <c r="C99" s="172"/>
      <c r="Z99" s="148"/>
    </row>
    <row r="100" spans="2:26" s="147" customFormat="1" x14ac:dyDescent="0.3">
      <c r="Z100" s="148"/>
    </row>
    <row r="101" spans="2:26" s="147" customFormat="1" x14ac:dyDescent="0.3">
      <c r="B101" s="7"/>
      <c r="C101" s="173"/>
      <c r="Z101" s="148"/>
    </row>
    <row r="102" spans="2:26" s="147" customFormat="1" x14ac:dyDescent="0.3">
      <c r="B102" s="174"/>
      <c r="C102" s="175"/>
      <c r="Z102" s="148"/>
    </row>
    <row r="103" spans="2:26" s="147" customFormat="1" x14ac:dyDescent="0.3">
      <c r="B103" s="176"/>
      <c r="C103" s="177"/>
      <c r="Z103" s="148"/>
    </row>
    <row r="104" spans="2:26" s="147" customFormat="1" x14ac:dyDescent="0.3">
      <c r="B104" s="176"/>
      <c r="C104" s="178"/>
      <c r="Z104" s="148"/>
    </row>
    <row r="105" spans="2:26" s="147" customFormat="1" x14ac:dyDescent="0.3">
      <c r="B105" s="174"/>
      <c r="C105" s="175"/>
      <c r="Z105" s="148"/>
    </row>
    <row r="106" spans="2:26" s="147" customFormat="1" x14ac:dyDescent="0.3">
      <c r="B106" s="174"/>
      <c r="C106" s="179"/>
      <c r="Z106" s="148"/>
    </row>
    <row r="107" spans="2:26" s="147" customFormat="1" x14ac:dyDescent="0.3">
      <c r="Z107" s="148"/>
    </row>
    <row r="108" spans="2:26" s="147" customFormat="1" x14ac:dyDescent="0.3">
      <c r="B108" s="174"/>
      <c r="C108" s="178"/>
      <c r="Z108" s="148"/>
    </row>
    <row r="109" spans="2:26" s="147" customFormat="1" x14ac:dyDescent="0.3">
      <c r="Z109" s="148"/>
    </row>
    <row r="110" spans="2:26" s="147" customFormat="1" x14ac:dyDescent="0.3">
      <c r="Z110" s="148"/>
    </row>
    <row r="111" spans="2:26" s="147" customFormat="1" x14ac:dyDescent="0.3">
      <c r="Z111" s="148"/>
    </row>
    <row r="112" spans="2:26" s="147" customFormat="1" x14ac:dyDescent="0.3">
      <c r="Z112" s="148"/>
    </row>
    <row r="113" spans="11:26" s="147" customFormat="1" x14ac:dyDescent="0.3">
      <c r="Z113" s="148"/>
    </row>
    <row r="114" spans="11:26" s="147" customFormat="1" x14ac:dyDescent="0.3">
      <c r="Z114" s="148"/>
    </row>
    <row r="115" spans="11:26" s="147" customFormat="1" x14ac:dyDescent="0.3">
      <c r="Z115" s="148"/>
    </row>
    <row r="116" spans="11:26" s="147" customFormat="1" x14ac:dyDescent="0.3">
      <c r="Z116" s="148"/>
    </row>
    <row r="117" spans="11:26" s="147" customFormat="1" x14ac:dyDescent="0.3">
      <c r="Z117" s="148"/>
    </row>
    <row r="118" spans="11:26" s="147" customFormat="1" x14ac:dyDescent="0.3">
      <c r="Z118" s="148"/>
    </row>
    <row r="119" spans="11:26" s="147" customFormat="1" x14ac:dyDescent="0.3">
      <c r="Z119" s="148"/>
    </row>
    <row r="120" spans="11:26" s="147" customFormat="1" x14ac:dyDescent="0.3">
      <c r="Z120" s="148"/>
    </row>
    <row r="121" spans="11:26" s="147" customFormat="1" x14ac:dyDescent="0.3">
      <c r="Z121" s="148"/>
    </row>
    <row r="122" spans="11:26" s="147" customFormat="1" x14ac:dyDescent="0.3">
      <c r="Z122" s="148"/>
    </row>
    <row r="123" spans="11:26" s="147" customFormat="1" x14ac:dyDescent="0.3">
      <c r="Z123" s="148"/>
    </row>
    <row r="124" spans="11:26" s="147" customFormat="1" x14ac:dyDescent="0.3">
      <c r="Z124" s="148"/>
    </row>
    <row r="125" spans="11:26" s="147" customFormat="1" x14ac:dyDescent="0.3">
      <c r="Z125" s="148"/>
    </row>
    <row r="126" spans="11:26" s="147" customFormat="1" x14ac:dyDescent="0.3">
      <c r="K126" s="149"/>
      <c r="Z126" s="148"/>
    </row>
    <row r="127" spans="11:26" s="147" customFormat="1" x14ac:dyDescent="0.3">
      <c r="Z127" s="148"/>
    </row>
    <row r="128" spans="11:26" s="147" customFormat="1" ht="15" customHeight="1" x14ac:dyDescent="0.3">
      <c r="Z128" s="148"/>
    </row>
    <row r="129" spans="5:26" s="147" customFormat="1" ht="15" customHeight="1" x14ac:dyDescent="0.3">
      <c r="Z129" s="148"/>
    </row>
    <row r="130" spans="5:26" s="147" customFormat="1" x14ac:dyDescent="0.3">
      <c r="Z130" s="148"/>
    </row>
    <row r="131" spans="5:26" s="147" customFormat="1" x14ac:dyDescent="0.3">
      <c r="Z131" s="148"/>
    </row>
    <row r="132" spans="5:26" s="147" customFormat="1" x14ac:dyDescent="0.3">
      <c r="Z132" s="148"/>
    </row>
    <row r="133" spans="5:26" s="147" customFormat="1" x14ac:dyDescent="0.3">
      <c r="Z133" s="148"/>
    </row>
    <row r="134" spans="5:26" s="147" customFormat="1" x14ac:dyDescent="0.3">
      <c r="Z134" s="148"/>
    </row>
    <row r="135" spans="5:26" s="147" customFormat="1" x14ac:dyDescent="0.3">
      <c r="Z135" s="148"/>
    </row>
    <row r="136" spans="5:26" s="147" customFormat="1" x14ac:dyDescent="0.3">
      <c r="Z136" s="148"/>
    </row>
    <row r="137" spans="5:26" s="147" customFormat="1" x14ac:dyDescent="0.3">
      <c r="Z137" s="148"/>
    </row>
    <row r="138" spans="5:26" s="147" customFormat="1" x14ac:dyDescent="0.3">
      <c r="Z138" s="148"/>
    </row>
    <row r="139" spans="5:26" s="110" customFormat="1" x14ac:dyDescent="0.3">
      <c r="Z139" s="109"/>
    </row>
    <row r="140" spans="5:26" s="110" customFormat="1" x14ac:dyDescent="0.3">
      <c r="E140" s="112"/>
      <c r="F140" s="109"/>
      <c r="Z140" s="109"/>
    </row>
    <row r="141" spans="5:26" s="110" customFormat="1" x14ac:dyDescent="0.3">
      <c r="E141" s="112"/>
      <c r="F141" s="155"/>
      <c r="G141" s="156"/>
      <c r="Z141" s="109"/>
    </row>
    <row r="142" spans="5:26" s="110" customFormat="1" x14ac:dyDescent="0.3">
      <c r="E142" s="112"/>
      <c r="F142" s="157"/>
      <c r="G142" s="156"/>
      <c r="Z142" s="109"/>
    </row>
    <row r="143" spans="5:26" s="110" customFormat="1" x14ac:dyDescent="0.3">
      <c r="E143" s="112"/>
      <c r="F143" s="158"/>
      <c r="G143" s="156"/>
      <c r="Z143" s="109"/>
    </row>
    <row r="144" spans="5:26" s="110" customFormat="1" x14ac:dyDescent="0.3">
      <c r="E144" s="112"/>
      <c r="F144" s="159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Z144" s="109"/>
    </row>
    <row r="145" spans="5:26" s="110" customFormat="1" x14ac:dyDescent="0.3">
      <c r="E145" s="163"/>
      <c r="F145" s="180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Z145" s="109"/>
    </row>
    <row r="146" spans="5:26" s="110" customFormat="1" x14ac:dyDescent="0.3">
      <c r="E146" s="163"/>
      <c r="F146" s="160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Z146" s="109"/>
    </row>
    <row r="147" spans="5:26" s="110" customFormat="1" x14ac:dyDescent="0.3">
      <c r="E147" s="163"/>
      <c r="F147" s="161"/>
      <c r="G147" s="150"/>
      <c r="H147" s="150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Z147" s="109"/>
    </row>
    <row r="148" spans="5:26" s="110" customFormat="1" x14ac:dyDescent="0.3">
      <c r="E148" s="163"/>
      <c r="F148" s="161"/>
      <c r="G148" s="150"/>
      <c r="H148" s="150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Z148" s="109"/>
    </row>
    <row r="149" spans="5:26" s="110" customFormat="1" x14ac:dyDescent="0.3">
      <c r="E149" s="163"/>
      <c r="F149" s="161"/>
      <c r="G149" s="150"/>
      <c r="H149" s="150"/>
      <c r="I149" s="151"/>
      <c r="J149" s="151"/>
      <c r="K149" s="151"/>
      <c r="L149" s="151"/>
      <c r="M149" s="151"/>
      <c r="N149" s="151"/>
      <c r="O149" s="151"/>
      <c r="P149" s="151"/>
      <c r="Q149" s="151"/>
      <c r="R149" s="151"/>
      <c r="S149" s="151"/>
      <c r="T149" s="151"/>
      <c r="U149" s="151"/>
      <c r="V149" s="151"/>
      <c r="W149" s="151"/>
      <c r="X149" s="151"/>
      <c r="Z149" s="109"/>
    </row>
    <row r="150" spans="5:26" s="110" customFormat="1" x14ac:dyDescent="0.3">
      <c r="E150" s="163"/>
      <c r="F150" s="161"/>
      <c r="G150" s="150"/>
      <c r="H150" s="150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  <c r="V150" s="151"/>
      <c r="W150" s="151"/>
      <c r="X150" s="151"/>
      <c r="Z150" s="109"/>
    </row>
    <row r="151" spans="5:26" s="110" customFormat="1" x14ac:dyDescent="0.3">
      <c r="E151" s="163"/>
      <c r="F151" s="161"/>
      <c r="G151" s="150"/>
      <c r="H151" s="150"/>
      <c r="I151" s="151"/>
      <c r="J151" s="151"/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/>
      <c r="V151" s="151"/>
      <c r="W151" s="151"/>
      <c r="X151" s="151"/>
      <c r="Z151" s="109"/>
    </row>
    <row r="152" spans="5:26" s="110" customFormat="1" x14ac:dyDescent="0.3">
      <c r="E152" s="163"/>
      <c r="F152" s="161"/>
      <c r="G152" s="150"/>
      <c r="H152" s="150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/>
      <c r="V152" s="151"/>
      <c r="W152" s="151"/>
      <c r="X152" s="151"/>
      <c r="Z152" s="109"/>
    </row>
    <row r="153" spans="5:26" s="110" customFormat="1" x14ac:dyDescent="0.3">
      <c r="E153" s="163"/>
      <c r="F153" s="161"/>
      <c r="G153" s="150"/>
      <c r="H153" s="150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Z153" s="109"/>
    </row>
    <row r="154" spans="5:26" s="110" customFormat="1" x14ac:dyDescent="0.3">
      <c r="E154" s="163"/>
      <c r="F154" s="161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Z154" s="109"/>
    </row>
    <row r="155" spans="5:26" s="110" customFormat="1" x14ac:dyDescent="0.3">
      <c r="E155" s="163"/>
      <c r="F155" s="161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Z155" s="109"/>
    </row>
    <row r="156" spans="5:26" s="110" customFormat="1" x14ac:dyDescent="0.3">
      <c r="E156" s="163"/>
      <c r="F156" s="161"/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Z156" s="109"/>
    </row>
    <row r="157" spans="5:26" s="110" customFormat="1" x14ac:dyDescent="0.3">
      <c r="E157" s="163"/>
      <c r="F157" s="161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2"/>
      <c r="Z157" s="109"/>
    </row>
    <row r="158" spans="5:26" s="110" customFormat="1" x14ac:dyDescent="0.3">
      <c r="E158" s="163"/>
      <c r="F158" s="161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52"/>
      <c r="Z158" s="109"/>
    </row>
    <row r="159" spans="5:26" s="110" customFormat="1" x14ac:dyDescent="0.3">
      <c r="E159" s="163"/>
      <c r="F159" s="161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Z159" s="109"/>
    </row>
    <row r="160" spans="5:26" s="110" customFormat="1" x14ac:dyDescent="0.3">
      <c r="E160" s="163"/>
      <c r="F160" s="161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Z160" s="109"/>
    </row>
    <row r="161" spans="5:26" s="110" customFormat="1" x14ac:dyDescent="0.3">
      <c r="E161" s="163"/>
      <c r="F161" s="161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Z161" s="109"/>
    </row>
    <row r="162" spans="5:26" s="110" customFormat="1" x14ac:dyDescent="0.3">
      <c r="E162" s="163"/>
      <c r="F162" s="161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Z162" s="109"/>
    </row>
    <row r="163" spans="5:26" s="110" customFormat="1" x14ac:dyDescent="0.3">
      <c r="E163" s="163"/>
      <c r="F163" s="161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Z163" s="109"/>
    </row>
    <row r="164" spans="5:26" s="110" customFormat="1" x14ac:dyDescent="0.3">
      <c r="Z164" s="109"/>
    </row>
    <row r="165" spans="5:26" s="110" customFormat="1" x14ac:dyDescent="0.3">
      <c r="Z165" s="109"/>
    </row>
    <row r="166" spans="5:26" s="110" customFormat="1" x14ac:dyDescent="0.3">
      <c r="F166" s="109"/>
      <c r="Z166" s="109"/>
    </row>
    <row r="167" spans="5:26" s="110" customFormat="1" x14ac:dyDescent="0.3">
      <c r="E167" s="112"/>
      <c r="F167" s="155"/>
      <c r="G167" s="156"/>
      <c r="Z167" s="109"/>
    </row>
    <row r="168" spans="5:26" s="110" customFormat="1" x14ac:dyDescent="0.3">
      <c r="E168" s="112"/>
      <c r="F168" s="157"/>
      <c r="G168" s="156"/>
      <c r="Z168" s="109"/>
    </row>
    <row r="169" spans="5:26" s="110" customFormat="1" x14ac:dyDescent="0.3">
      <c r="E169" s="112"/>
      <c r="F169" s="158"/>
      <c r="G169" s="156"/>
      <c r="Z169" s="109"/>
    </row>
    <row r="170" spans="5:26" s="110" customFormat="1" x14ac:dyDescent="0.3">
      <c r="E170" s="112"/>
      <c r="F170" s="162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Z170" s="109"/>
    </row>
    <row r="171" spans="5:26" s="110" customFormat="1" x14ac:dyDescent="0.3">
      <c r="E171" s="163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Z171" s="109"/>
    </row>
    <row r="172" spans="5:26" s="110" customFormat="1" x14ac:dyDescent="0.3">
      <c r="E172" s="163"/>
      <c r="F172" s="160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Z172" s="109"/>
    </row>
    <row r="173" spans="5:26" s="110" customFormat="1" x14ac:dyDescent="0.3">
      <c r="E173" s="163"/>
      <c r="F173" s="161"/>
      <c r="G173" s="150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4"/>
      <c r="S173" s="154"/>
      <c r="T173" s="154"/>
      <c r="U173" s="154"/>
      <c r="V173" s="154"/>
      <c r="W173" s="154"/>
      <c r="X173" s="154"/>
      <c r="Z173" s="109"/>
    </row>
    <row r="174" spans="5:26" s="110" customFormat="1" x14ac:dyDescent="0.3">
      <c r="E174" s="163"/>
      <c r="F174" s="161"/>
      <c r="G174" s="150"/>
      <c r="H174" s="152"/>
      <c r="I174" s="154"/>
      <c r="J174" s="153"/>
      <c r="K174" s="153"/>
      <c r="L174" s="153"/>
      <c r="M174" s="153"/>
      <c r="N174" s="153"/>
      <c r="O174" s="153"/>
      <c r="P174" s="153"/>
      <c r="Q174" s="153"/>
      <c r="R174" s="154"/>
      <c r="S174" s="154"/>
      <c r="T174" s="154"/>
      <c r="U174" s="154"/>
      <c r="V174" s="154"/>
      <c r="W174" s="154"/>
      <c r="X174" s="154"/>
      <c r="Z174" s="109"/>
    </row>
    <row r="175" spans="5:26" s="110" customFormat="1" x14ac:dyDescent="0.3">
      <c r="E175" s="163"/>
      <c r="F175" s="161"/>
      <c r="G175" s="150"/>
      <c r="H175" s="152"/>
      <c r="I175" s="151"/>
      <c r="J175" s="154"/>
      <c r="K175" s="153"/>
      <c r="L175" s="153"/>
      <c r="M175" s="153"/>
      <c r="N175" s="153"/>
      <c r="O175" s="153"/>
      <c r="P175" s="153"/>
      <c r="Q175" s="153"/>
      <c r="R175" s="154"/>
      <c r="S175" s="154"/>
      <c r="T175" s="154"/>
      <c r="U175" s="154"/>
      <c r="V175" s="154"/>
      <c r="W175" s="154"/>
      <c r="X175" s="154"/>
      <c r="Z175" s="109"/>
    </row>
    <row r="176" spans="5:26" s="110" customFormat="1" x14ac:dyDescent="0.3">
      <c r="E176" s="163"/>
      <c r="F176" s="161"/>
      <c r="G176" s="150"/>
      <c r="H176" s="152"/>
      <c r="I176" s="151"/>
      <c r="J176" s="151"/>
      <c r="K176" s="154"/>
      <c r="L176" s="153"/>
      <c r="M176" s="153"/>
      <c r="N176" s="153"/>
      <c r="O176" s="153"/>
      <c r="P176" s="153"/>
      <c r="Q176" s="153"/>
      <c r="R176" s="154"/>
      <c r="S176" s="154"/>
      <c r="T176" s="154"/>
      <c r="U176" s="154"/>
      <c r="V176" s="154"/>
      <c r="W176" s="154"/>
      <c r="X176" s="154"/>
      <c r="Z176" s="109"/>
    </row>
    <row r="177" spans="5:26" s="110" customFormat="1" x14ac:dyDescent="0.3">
      <c r="E177" s="163"/>
      <c r="F177" s="161"/>
      <c r="G177" s="150"/>
      <c r="H177" s="152"/>
      <c r="I177" s="151"/>
      <c r="J177" s="151"/>
      <c r="K177" s="151"/>
      <c r="L177" s="154"/>
      <c r="M177" s="153"/>
      <c r="N177" s="153"/>
      <c r="O177" s="153"/>
      <c r="P177" s="153"/>
      <c r="Q177" s="153"/>
      <c r="R177" s="154"/>
      <c r="S177" s="154"/>
      <c r="T177" s="154"/>
      <c r="U177" s="154"/>
      <c r="V177" s="154"/>
      <c r="W177" s="154"/>
      <c r="X177" s="154"/>
      <c r="Z177" s="109"/>
    </row>
    <row r="178" spans="5:26" s="110" customFormat="1" x14ac:dyDescent="0.3">
      <c r="E178" s="163"/>
      <c r="F178" s="161"/>
      <c r="G178" s="150"/>
      <c r="H178" s="152"/>
      <c r="I178" s="151"/>
      <c r="J178" s="151"/>
      <c r="K178" s="151"/>
      <c r="L178" s="151"/>
      <c r="M178" s="154"/>
      <c r="N178" s="153"/>
      <c r="O178" s="153"/>
      <c r="P178" s="153"/>
      <c r="Q178" s="153"/>
      <c r="R178" s="154"/>
      <c r="S178" s="154"/>
      <c r="T178" s="154"/>
      <c r="U178" s="154"/>
      <c r="V178" s="154"/>
      <c r="W178" s="154"/>
      <c r="X178" s="154"/>
      <c r="Z178" s="109"/>
    </row>
    <row r="179" spans="5:26" s="110" customFormat="1" x14ac:dyDescent="0.3">
      <c r="E179" s="163"/>
      <c r="F179" s="161"/>
      <c r="G179" s="150"/>
      <c r="H179" s="152"/>
      <c r="I179" s="151"/>
      <c r="J179" s="151"/>
      <c r="K179" s="151"/>
      <c r="L179" s="151"/>
      <c r="M179" s="151"/>
      <c r="N179" s="154"/>
      <c r="O179" s="153"/>
      <c r="P179" s="153"/>
      <c r="Q179" s="153"/>
      <c r="R179" s="154"/>
      <c r="S179" s="154"/>
      <c r="T179" s="154"/>
      <c r="U179" s="154"/>
      <c r="V179" s="154"/>
      <c r="W179" s="154"/>
      <c r="X179" s="154"/>
      <c r="Z179" s="109"/>
    </row>
    <row r="180" spans="5:26" s="110" customFormat="1" x14ac:dyDescent="0.3">
      <c r="E180" s="163"/>
      <c r="F180" s="161"/>
      <c r="G180" s="150"/>
      <c r="H180" s="152"/>
      <c r="I180" s="150"/>
      <c r="J180" s="150"/>
      <c r="K180" s="150"/>
      <c r="L180" s="150"/>
      <c r="M180" s="150"/>
      <c r="N180" s="150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Z180" s="109"/>
    </row>
    <row r="181" spans="5:26" s="110" customFormat="1" x14ac:dyDescent="0.3">
      <c r="E181" s="163"/>
      <c r="F181" s="161"/>
      <c r="G181" s="150"/>
      <c r="H181" s="152"/>
      <c r="I181" s="150"/>
      <c r="J181" s="150"/>
      <c r="K181" s="150"/>
      <c r="L181" s="150"/>
      <c r="M181" s="150"/>
      <c r="N181" s="150"/>
      <c r="O181" s="150"/>
      <c r="P181" s="153"/>
      <c r="Q181" s="153"/>
      <c r="R181" s="153"/>
      <c r="S181" s="153"/>
      <c r="T181" s="153"/>
      <c r="U181" s="153"/>
      <c r="V181" s="153"/>
      <c r="W181" s="153"/>
      <c r="X181" s="153"/>
      <c r="Z181" s="109"/>
    </row>
    <row r="182" spans="5:26" s="110" customFormat="1" x14ac:dyDescent="0.3">
      <c r="E182" s="163"/>
      <c r="F182" s="161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  <c r="Q182" s="153"/>
      <c r="R182" s="153"/>
      <c r="S182" s="153"/>
      <c r="T182" s="153"/>
      <c r="U182" s="153"/>
      <c r="V182" s="153"/>
      <c r="W182" s="153"/>
      <c r="X182" s="153"/>
      <c r="Z182" s="109"/>
    </row>
    <row r="183" spans="5:26" s="110" customFormat="1" x14ac:dyDescent="0.3">
      <c r="E183" s="163"/>
      <c r="F183" s="161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  <c r="Q183" s="152"/>
      <c r="R183" s="153"/>
      <c r="S183" s="153"/>
      <c r="T183" s="153"/>
      <c r="U183" s="153"/>
      <c r="V183" s="153"/>
      <c r="W183" s="153"/>
      <c r="X183" s="153"/>
      <c r="Z183" s="109"/>
    </row>
    <row r="184" spans="5:26" s="110" customFormat="1" x14ac:dyDescent="0.3">
      <c r="E184" s="163"/>
      <c r="F184" s="161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3"/>
      <c r="T184" s="153"/>
      <c r="U184" s="153"/>
      <c r="V184" s="153"/>
      <c r="W184" s="153"/>
      <c r="X184" s="153"/>
      <c r="Z184" s="109"/>
    </row>
    <row r="185" spans="5:26" s="110" customFormat="1" x14ac:dyDescent="0.3">
      <c r="E185" s="163"/>
      <c r="F185" s="161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  <c r="Q185" s="152"/>
      <c r="R185" s="152"/>
      <c r="S185" s="152"/>
      <c r="T185" s="153"/>
      <c r="U185" s="153"/>
      <c r="V185" s="153"/>
      <c r="W185" s="153"/>
      <c r="X185" s="153"/>
      <c r="Z185" s="109"/>
    </row>
    <row r="186" spans="5:26" s="110" customFormat="1" x14ac:dyDescent="0.3">
      <c r="E186" s="163"/>
      <c r="F186" s="161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  <c r="Q186" s="152"/>
      <c r="R186" s="152"/>
      <c r="S186" s="152"/>
      <c r="T186" s="152"/>
      <c r="U186" s="153"/>
      <c r="V186" s="153"/>
      <c r="W186" s="153"/>
      <c r="X186" s="153"/>
      <c r="Z186" s="109"/>
    </row>
    <row r="187" spans="5:26" s="110" customFormat="1" x14ac:dyDescent="0.3">
      <c r="E187" s="163"/>
      <c r="F187" s="161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  <c r="Q187" s="152"/>
      <c r="R187" s="152"/>
      <c r="S187" s="152"/>
      <c r="T187" s="152"/>
      <c r="U187" s="152"/>
      <c r="V187" s="153"/>
      <c r="W187" s="153"/>
      <c r="X187" s="153"/>
      <c r="Z187" s="109"/>
    </row>
    <row r="188" spans="5:26" s="110" customFormat="1" x14ac:dyDescent="0.3">
      <c r="E188" s="163"/>
      <c r="F188" s="161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  <c r="Q188" s="152"/>
      <c r="R188" s="152"/>
      <c r="S188" s="152"/>
      <c r="T188" s="152"/>
      <c r="U188" s="152"/>
      <c r="V188" s="152"/>
      <c r="W188" s="153"/>
      <c r="X188" s="153"/>
      <c r="Z188" s="109"/>
    </row>
    <row r="189" spans="5:26" s="110" customFormat="1" x14ac:dyDescent="0.3">
      <c r="E189" s="163"/>
      <c r="F189" s="161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  <c r="Q189" s="152"/>
      <c r="R189" s="152"/>
      <c r="S189" s="152"/>
      <c r="T189" s="152"/>
      <c r="U189" s="152"/>
      <c r="V189" s="152"/>
      <c r="W189" s="152"/>
      <c r="X189" s="153"/>
      <c r="Z189" s="109"/>
    </row>
    <row r="190" spans="5:26" s="110" customFormat="1" x14ac:dyDescent="0.3">
      <c r="E190" s="163"/>
      <c r="F190" s="161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  <c r="Q190" s="152"/>
      <c r="R190" s="152"/>
      <c r="S190" s="152"/>
      <c r="T190" s="152"/>
      <c r="U190" s="152"/>
      <c r="V190" s="152"/>
      <c r="W190" s="152"/>
      <c r="X190" s="152"/>
      <c r="Z190" s="109"/>
    </row>
    <row r="191" spans="5:26" s="110" customFormat="1" x14ac:dyDescent="0.3">
      <c r="Z191" s="109"/>
    </row>
    <row r="192" spans="5:26" s="110" customFormat="1" x14ac:dyDescent="0.3">
      <c r="Z192" s="109"/>
    </row>
    <row r="193" spans="26:26" s="110" customFormat="1" x14ac:dyDescent="0.3">
      <c r="Z193" s="109"/>
    </row>
    <row r="194" spans="26:26" s="110" customFormat="1" x14ac:dyDescent="0.3">
      <c r="Z194" s="109"/>
    </row>
    <row r="195" spans="26:26" s="110" customFormat="1" x14ac:dyDescent="0.3">
      <c r="Z195" s="109"/>
    </row>
    <row r="196" spans="26:26" s="110" customFormat="1" x14ac:dyDescent="0.3">
      <c r="Z196" s="109"/>
    </row>
    <row r="197" spans="26:26" s="110" customFormat="1" x14ac:dyDescent="0.3">
      <c r="Z197" s="109"/>
    </row>
    <row r="198" spans="26:26" s="110" customFormat="1" x14ac:dyDescent="0.3">
      <c r="Z198" s="109"/>
    </row>
    <row r="199" spans="26:26" s="110" customFormat="1" x14ac:dyDescent="0.3">
      <c r="Z199" s="109"/>
    </row>
    <row r="200" spans="26:26" s="110" customFormat="1" x14ac:dyDescent="0.3">
      <c r="Z200" s="109"/>
    </row>
    <row r="201" spans="26:26" s="110" customFormat="1" x14ac:dyDescent="0.3">
      <c r="Z201" s="109"/>
    </row>
    <row r="202" spans="26:26" s="110" customFormat="1" x14ac:dyDescent="0.3">
      <c r="Z202" s="109"/>
    </row>
    <row r="203" spans="26:26" s="110" customFormat="1" x14ac:dyDescent="0.3">
      <c r="Z203" s="109"/>
    </row>
    <row r="204" spans="26:26" s="110" customFormat="1" x14ac:dyDescent="0.3">
      <c r="Z204" s="109"/>
    </row>
    <row r="205" spans="26:26" s="110" customFormat="1" x14ac:dyDescent="0.3">
      <c r="Z205" s="109"/>
    </row>
    <row r="206" spans="26:26" s="110" customFormat="1" x14ac:dyDescent="0.3">
      <c r="Z206" s="109"/>
    </row>
    <row r="207" spans="26:26" s="110" customFormat="1" x14ac:dyDescent="0.3">
      <c r="Z207" s="109"/>
    </row>
    <row r="208" spans="26:26" s="110" customFormat="1" x14ac:dyDescent="0.3">
      <c r="Z208" s="109"/>
    </row>
    <row r="209" spans="26:26" s="110" customFormat="1" x14ac:dyDescent="0.3">
      <c r="Z209" s="109"/>
    </row>
    <row r="210" spans="26:26" s="110" customFormat="1" x14ac:dyDescent="0.3">
      <c r="Z210" s="109"/>
    </row>
    <row r="211" spans="26:26" s="110" customFormat="1" x14ac:dyDescent="0.3">
      <c r="Z211" s="109"/>
    </row>
    <row r="212" spans="26:26" s="110" customFormat="1" x14ac:dyDescent="0.3">
      <c r="Z212" s="109"/>
    </row>
    <row r="213" spans="26:26" s="110" customFormat="1" x14ac:dyDescent="0.3">
      <c r="Z213" s="109"/>
    </row>
    <row r="214" spans="26:26" s="110" customFormat="1" x14ac:dyDescent="0.3">
      <c r="Z214" s="109"/>
    </row>
    <row r="215" spans="26:26" s="110" customFormat="1" x14ac:dyDescent="0.3">
      <c r="Z215" s="109"/>
    </row>
    <row r="216" spans="26:26" s="110" customFormat="1" x14ac:dyDescent="0.3">
      <c r="Z216" s="109"/>
    </row>
    <row r="217" spans="26:26" s="110" customFormat="1" x14ac:dyDescent="0.3">
      <c r="Z217" s="109"/>
    </row>
    <row r="218" spans="26:26" s="110" customFormat="1" x14ac:dyDescent="0.3">
      <c r="Z218" s="109"/>
    </row>
    <row r="219" spans="26:26" s="110" customFormat="1" x14ac:dyDescent="0.3">
      <c r="Z219" s="109"/>
    </row>
    <row r="220" spans="26:26" s="110" customFormat="1" x14ac:dyDescent="0.3">
      <c r="Z220" s="109"/>
    </row>
    <row r="221" spans="26:26" s="110" customFormat="1" x14ac:dyDescent="0.3">
      <c r="Z221" s="109"/>
    </row>
    <row r="222" spans="26:26" s="110" customFormat="1" x14ac:dyDescent="0.3">
      <c r="Z222" s="109"/>
    </row>
    <row r="223" spans="26:26" s="110" customFormat="1" x14ac:dyDescent="0.3">
      <c r="Z223" s="109"/>
    </row>
    <row r="224" spans="26:26" s="110" customFormat="1" x14ac:dyDescent="0.3">
      <c r="Z224" s="109"/>
    </row>
    <row r="225" spans="26:26" s="110" customFormat="1" x14ac:dyDescent="0.3">
      <c r="Z225" s="109"/>
    </row>
    <row r="226" spans="26:26" s="110" customFormat="1" x14ac:dyDescent="0.3">
      <c r="Z226" s="109"/>
    </row>
    <row r="227" spans="26:26" s="110" customFormat="1" x14ac:dyDescent="0.3">
      <c r="Z227" s="109"/>
    </row>
    <row r="228" spans="26:26" s="110" customFormat="1" x14ac:dyDescent="0.3">
      <c r="Z228" s="109"/>
    </row>
    <row r="229" spans="26:26" s="110" customFormat="1" x14ac:dyDescent="0.3">
      <c r="Z229" s="109"/>
    </row>
    <row r="230" spans="26:26" s="110" customFormat="1" x14ac:dyDescent="0.3">
      <c r="Z230" s="109"/>
    </row>
    <row r="231" spans="26:26" s="110" customFormat="1" x14ac:dyDescent="0.3">
      <c r="Z231" s="109"/>
    </row>
    <row r="232" spans="26:26" s="110" customFormat="1" x14ac:dyDescent="0.3">
      <c r="Z232" s="109"/>
    </row>
    <row r="233" spans="26:26" s="110" customFormat="1" x14ac:dyDescent="0.3">
      <c r="Z233" s="109"/>
    </row>
    <row r="234" spans="26:26" s="110" customFormat="1" x14ac:dyDescent="0.3">
      <c r="Z234" s="109"/>
    </row>
  </sheetData>
  <mergeCells count="8">
    <mergeCell ref="E65:E83"/>
    <mergeCell ref="F65:X65"/>
    <mergeCell ref="G64:X64"/>
    <mergeCell ref="E6:E24"/>
    <mergeCell ref="F6:X6"/>
    <mergeCell ref="G38:X38"/>
    <mergeCell ref="E39:E57"/>
    <mergeCell ref="F39:X39"/>
  </mergeCells>
  <phoneticPr fontId="9" type="noConversion"/>
  <conditionalFormatting sqref="AB7:AC23">
    <cfRule type="dataBar" priority="1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{D2B1A6F3-1F29-41DD-9BC5-AD1B39F5EE36}</x14:id>
        </ext>
      </extLst>
    </cfRule>
  </conditionalFormatting>
  <conditionalFormatting sqref="AD7:AE23">
    <cfRule type="dataBar" priority="1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{26503BE1-5C46-4DAE-95E1-D29F4CD4C5EF}</x14:id>
        </ext>
      </extLst>
    </cfRule>
  </conditionalFormatting>
  <conditionalFormatting sqref="AF7:AI23">
    <cfRule type="dataBar" priority="1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{5E7C434F-1C06-4FF7-929B-8DA07FF07A01}</x14:id>
        </ext>
      </extLst>
    </cfRule>
  </conditionalFormatting>
  <conditionalFormatting sqref="H8:H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:N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P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Q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R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0:T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U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2:V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:W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X25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7:AK23">
    <cfRule type="dataBar" priority="1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{FEADA099-8AC2-4541-8617-63D8F2EC0389}</x14:id>
        </ext>
      </extLst>
    </cfRule>
  </conditionalFormatting>
  <conditionalFormatting sqref="AM7:AM23">
    <cfRule type="expression" dxfId="1" priority="121">
      <formula>AM7&lt;AK7</formula>
    </cfRule>
  </conditionalFormatting>
  <conditionalFormatting sqref="AP7:AP23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{CCA3201C-2FE1-4334-BF94-4C8DD7723819}</x14:id>
        </ext>
      </extLst>
    </cfRule>
  </conditionalFormatting>
  <conditionalFormatting sqref="AR7:AR23">
    <cfRule type="expression" dxfId="0" priority="118">
      <formula>AR7&lt;AP7</formula>
    </cfRule>
  </conditionalFormatting>
  <conditionalFormatting sqref="G38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6:X86 G60:X6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7:X8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:X16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:X5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X5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0:X190 G173 G174:H174 G175:I175 G176:J176 G177:K177 G178:L178 G179:M179 G180:N180 G181:O181 G182:P182 G186:T186 G189:W189 G188:V188 G187:U187 G185:S185 G184:R184 G183:Q1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promptTitle="Select Year" prompt="Pick the year of operation (range: 1-5)" sqref="C27" xr:uid="{E10C12A9-A833-4112-B789-467D46A126DC}">
      <formula1>$A$58:$A$62</formula1>
    </dataValidation>
  </dataValidations>
  <pageMargins left="0.7" right="0.7" top="0.75" bottom="0.75" header="0.3" footer="0.3"/>
  <pageSetup orientation="portrait" r:id="rId1"/>
  <ignoredErrors>
    <ignoredError sqref="U50:X50 R51:X51 O52:X52 J53:X53 I54:X55 H56:X57 I8:V19 W8:X23 U20:V2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B1A6F3-1F29-41DD-9BC5-AD1B39F5EE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AB7:AC23</xm:sqref>
        </x14:conditionalFormatting>
        <x14:conditionalFormatting xmlns:xm="http://schemas.microsoft.com/office/excel/2006/main">
          <x14:cfRule type="dataBar" id="{26503BE1-5C46-4DAE-95E1-D29F4CD4C5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AD7:AE23</xm:sqref>
        </x14:conditionalFormatting>
        <x14:conditionalFormatting xmlns:xm="http://schemas.microsoft.com/office/excel/2006/main">
          <x14:cfRule type="dataBar" id="{5E7C434F-1C06-4FF7-929B-8DA07FF07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AF7:AI23</xm:sqref>
        </x14:conditionalFormatting>
        <x14:conditionalFormatting xmlns:xm="http://schemas.microsoft.com/office/excel/2006/main">
          <x14:cfRule type="dataBar" id="{FEADA099-8AC2-4541-8617-63D8F2EC03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AK7:AK23</xm:sqref>
        </x14:conditionalFormatting>
        <x14:conditionalFormatting xmlns:xm="http://schemas.microsoft.com/office/excel/2006/main">
          <x14:cfRule type="dataBar" id="{CCA3201C-2FE1-4334-BF94-4C8DD7723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AP7:AP23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BDF7-BE42-4DEF-AF56-AD9FC318459F}">
  <dimension ref="A1"/>
  <sheetViews>
    <sheetView topLeftCell="A10" zoomScaleNormal="100" workbookViewId="0">
      <selection activeCell="Q45" sqref="Q4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Block Production</vt:lpstr>
      <vt:lpstr>rho</vt:lpstr>
      <vt:lpstr>Reward mechanism</vt:lpstr>
      <vt:lpstr>Rewards</vt:lpstr>
      <vt:lpstr>2020 Distributions Graph</vt:lpstr>
      <vt:lpstr>ada_price</vt:lpstr>
      <vt:lpstr>av_epoch_rewards</vt:lpstr>
      <vt:lpstr>epoch_length</vt:lpstr>
      <vt:lpstr>fixed_opex</vt:lpstr>
      <vt:lpstr>nOps</vt:lpstr>
      <vt:lpstr>op_year</vt:lpstr>
      <vt:lpstr>performance_fee</vt:lpstr>
      <vt:lpstr>pledge</vt:lpstr>
      <vt:lpstr>pool_rewards_AT</vt:lpstr>
      <vt:lpstr>pool_size</vt:lpstr>
      <vt:lpstr>poop_performance</vt:lpstr>
      <vt:lpstr>rho</vt:lpstr>
      <vt:lpstr>saturation_point</vt:lpstr>
      <vt:lpstr>staked_ada</vt:lpstr>
      <vt:lpstr>staking_ratio</vt:lpstr>
      <vt:lpstr>t.blocks</vt:lpstr>
      <vt:lpstr>total_supply</vt:lpstr>
      <vt:lpstr>tr_tax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</dc:creator>
  <cp:lastModifiedBy>uss</cp:lastModifiedBy>
  <dcterms:created xsi:type="dcterms:W3CDTF">2020-05-05T12:00:30Z</dcterms:created>
  <dcterms:modified xsi:type="dcterms:W3CDTF">2020-08-19T15:31:23Z</dcterms:modified>
</cp:coreProperties>
</file>