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7C9ED515-017F-4D1D-869F-69306142C2B7}" xr6:coauthVersionLast="45" xr6:coauthVersionMax="45" xr10:uidLastSave="{00000000-0000-0000-0000-000000000000}"/>
  <bookViews>
    <workbookView xWindow="-108" yWindow="-108" windowWidth="23256" windowHeight="12576" tabRatio="779" activeTab="1" xr2:uid="{0555CF38-D1C2-4BD8-9E20-82DC46488446}"/>
  </bookViews>
  <sheets>
    <sheet name="Model_SKY" sheetId="1" r:id="rId1"/>
    <sheet name="SKY" sheetId="33" r:id="rId2"/>
    <sheet name="SKY2" sheetId="36" r:id="rId3"/>
    <sheet name="rho" sheetId="22" r:id="rId4"/>
    <sheet name="Reward mechanism" sheetId="34" r:id="rId5"/>
    <sheet name="2020 Distributions Graph" sheetId="23" r:id="rId6"/>
    <sheet name="Epoch Dates" sheetId="37" r:id="rId7"/>
  </sheets>
  <externalReferences>
    <externalReference r:id="rId8"/>
  </externalReferences>
  <definedNames>
    <definedName name="ada_price" localSheetId="6">[1]Rewards_SKY!$C$39</definedName>
    <definedName name="ada_price">Model_SKY!$C$39</definedName>
    <definedName name="av_epoch_rewards">Model_SKY!$C$35</definedName>
    <definedName name="epoch_length">Model_SKY!$C$31</definedName>
    <definedName name="fixed_opex">Model_SKY!$C$38</definedName>
    <definedName name="nOps" localSheetId="6">[1]Rewards_SKY!$C$28</definedName>
    <definedName name="nOps">Model_SKY!$C$28</definedName>
    <definedName name="op_year">Model_SKY!$C$27</definedName>
    <definedName name="performance_fee">Model_SKY!$C$41</definedName>
    <definedName name="pledge">Model_SKY!$C$42</definedName>
    <definedName name="pool_rewards_AT">Model_SKY!$C$44</definedName>
    <definedName name="pool_size">Model_SKY!$C$43</definedName>
    <definedName name="poop_performance">Model_SKY!$C$40</definedName>
    <definedName name="rho">Model_SKY!$C$29</definedName>
    <definedName name="saturation_point" localSheetId="6">[1]Rewards_SKY!$C$36</definedName>
    <definedName name="saturation_point">Model_SKY!$C$36</definedName>
    <definedName name="staked_ada" localSheetId="6">[1]Rewards_SKY!$C$34</definedName>
    <definedName name="staked_ada">Model_SKY!$C$34</definedName>
    <definedName name="staking_ratio">Model_SKY!$C$33</definedName>
    <definedName name="t.blocks" localSheetId="2">'SKY2'!$D$30</definedName>
    <definedName name="t.blocks">SKY!$D$30</definedName>
    <definedName name="total_supply" localSheetId="6">[1]Rewards_SKY!$C$32</definedName>
    <definedName name="total_supply">Model_SKY!$C$32</definedName>
    <definedName name="tr_tax" localSheetId="6">[1]Rewards_SKY!$C$30</definedName>
    <definedName name="tr_tax">Model_SKY!$C$30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D26" i="36" l="1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4" i="36"/>
  <c r="D26" i="33"/>
  <c r="D27" i="33"/>
  <c r="I7" i="33"/>
  <c r="B79" i="33"/>
  <c r="B58" i="33"/>
  <c r="E28" i="33"/>
  <c r="D52" i="1"/>
  <c r="D53" i="1"/>
  <c r="D68" i="1" s="1"/>
  <c r="D54" i="1"/>
  <c r="D69" i="1" s="1"/>
  <c r="D55" i="1"/>
  <c r="D70" i="1" s="1"/>
  <c r="D56" i="1"/>
  <c r="D57" i="1"/>
  <c r="D58" i="1"/>
  <c r="D73" i="1" s="1"/>
  <c r="D59" i="1"/>
  <c r="D74" i="1" s="1"/>
  <c r="D60" i="1"/>
  <c r="D75" i="1" s="1"/>
  <c r="D61" i="1"/>
  <c r="D76" i="1" s="1"/>
  <c r="D62" i="1"/>
  <c r="D77" i="1" s="1"/>
  <c r="D63" i="1"/>
  <c r="D51" i="1"/>
  <c r="D66" i="1" s="1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4" i="36"/>
  <c r="F5" i="36"/>
  <c r="F6" i="36" s="1"/>
  <c r="F7" i="36" s="1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F22" i="36" s="1"/>
  <c r="F23" i="36" s="1"/>
  <c r="F5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4" i="33"/>
  <c r="D67" i="1"/>
  <c r="D71" i="1"/>
  <c r="D72" i="1"/>
  <c r="D78" i="1"/>
  <c r="B3" i="37"/>
  <c r="B4" i="37" s="1"/>
  <c r="B5" i="37" s="1"/>
  <c r="B6" i="37" s="1"/>
  <c r="B7" i="37" s="1"/>
  <c r="B8" i="37" s="1"/>
  <c r="B9" i="37" s="1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F6" i="33" l="1"/>
  <c r="F7" i="33" s="1"/>
  <c r="B71" i="1"/>
  <c r="B72" i="1"/>
  <c r="B73" i="1"/>
  <c r="B74" i="1"/>
  <c r="B75" i="1"/>
  <c r="B76" i="1"/>
  <c r="B77" i="1"/>
  <c r="B78" i="1"/>
  <c r="C81" i="1"/>
  <c r="A82" i="1"/>
  <c r="C82" i="1" s="1"/>
  <c r="F8" i="33" l="1"/>
  <c r="A83" i="1"/>
  <c r="B67" i="1"/>
  <c r="B68" i="1"/>
  <c r="B69" i="1"/>
  <c r="B70" i="1"/>
  <c r="B66" i="1"/>
  <c r="C51" i="1"/>
  <c r="F9" i="33" l="1"/>
  <c r="A84" i="1"/>
  <c r="C83" i="1"/>
  <c r="C34" i="1"/>
  <c r="F10" i="33" l="1"/>
  <c r="A85" i="1"/>
  <c r="C84" i="1"/>
  <c r="I6" i="33"/>
  <c r="F17" i="1"/>
  <c r="F11" i="33" l="1"/>
  <c r="A86" i="1"/>
  <c r="C85" i="1"/>
  <c r="D32" i="33"/>
  <c r="D97" i="33" s="1"/>
  <c r="F12" i="33" l="1"/>
  <c r="A87" i="1"/>
  <c r="C86" i="1"/>
  <c r="D50" i="33"/>
  <c r="D98" i="33"/>
  <c r="D39" i="33"/>
  <c r="D75" i="33"/>
  <c r="D52" i="33"/>
  <c r="D88" i="33"/>
  <c r="D41" i="33"/>
  <c r="D53" i="33"/>
  <c r="D65" i="33"/>
  <c r="D77" i="33"/>
  <c r="D89" i="33"/>
  <c r="D42" i="33"/>
  <c r="D54" i="33"/>
  <c r="D66" i="33"/>
  <c r="D78" i="33"/>
  <c r="D90" i="33"/>
  <c r="D43" i="33"/>
  <c r="D55" i="33"/>
  <c r="D67" i="33"/>
  <c r="D79" i="33"/>
  <c r="D91" i="33"/>
  <c r="D74" i="33"/>
  <c r="D51" i="33"/>
  <c r="D40" i="33"/>
  <c r="D76" i="33"/>
  <c r="D56" i="33"/>
  <c r="D92" i="33"/>
  <c r="D57" i="33"/>
  <c r="D70" i="33"/>
  <c r="D59" i="33"/>
  <c r="D95" i="33"/>
  <c r="D62" i="33"/>
  <c r="D86" i="33"/>
  <c r="D63" i="33"/>
  <c r="D87" i="33"/>
  <c r="D64" i="33"/>
  <c r="D44" i="33"/>
  <c r="D68" i="33"/>
  <c r="D80" i="33"/>
  <c r="D45" i="33"/>
  <c r="D69" i="33"/>
  <c r="D81" i="33"/>
  <c r="D93" i="33"/>
  <c r="D46" i="33"/>
  <c r="D58" i="33"/>
  <c r="D82" i="33"/>
  <c r="D94" i="33"/>
  <c r="D47" i="33"/>
  <c r="D71" i="33"/>
  <c r="D83" i="33"/>
  <c r="D48" i="33"/>
  <c r="D60" i="33"/>
  <c r="D72" i="33"/>
  <c r="D84" i="33"/>
  <c r="D96" i="33"/>
  <c r="D49" i="33"/>
  <c r="D61" i="33"/>
  <c r="D73" i="33"/>
  <c r="D85" i="33"/>
  <c r="D38" i="33"/>
  <c r="E4" i="36"/>
  <c r="F13" i="33" l="1"/>
  <c r="A88" i="1"/>
  <c r="C87" i="1"/>
  <c r="G4" i="33"/>
  <c r="D32" i="36"/>
  <c r="AC23" i="36"/>
  <c r="U23" i="36"/>
  <c r="V23" i="36" s="1"/>
  <c r="AC22" i="36"/>
  <c r="U22" i="36"/>
  <c r="V22" i="36" s="1"/>
  <c r="AC21" i="36"/>
  <c r="U21" i="36"/>
  <c r="V21" i="36" s="1"/>
  <c r="AC20" i="36"/>
  <c r="AC19" i="36"/>
  <c r="AC18" i="36"/>
  <c r="AC17" i="36"/>
  <c r="AC16" i="36"/>
  <c r="AC15" i="36"/>
  <c r="AC14" i="36"/>
  <c r="AC13" i="36"/>
  <c r="AC12" i="36"/>
  <c r="AC11" i="36"/>
  <c r="AC10" i="36"/>
  <c r="AC9" i="36"/>
  <c r="AC8" i="36"/>
  <c r="AC7" i="36"/>
  <c r="Z7" i="36"/>
  <c r="Z8" i="36" s="1"/>
  <c r="AC6" i="36"/>
  <c r="U6" i="36"/>
  <c r="V6" i="36" s="1"/>
  <c r="AC5" i="36"/>
  <c r="V5" i="36"/>
  <c r="U5" i="36"/>
  <c r="AC4" i="36"/>
  <c r="AA4" i="36"/>
  <c r="AE4" i="36" s="1"/>
  <c r="V4" i="36"/>
  <c r="U4" i="36"/>
  <c r="AB4" i="36"/>
  <c r="F14" i="33" l="1"/>
  <c r="C88" i="1"/>
  <c r="A89" i="1"/>
  <c r="AD4" i="36"/>
  <c r="U7" i="36"/>
  <c r="V7" i="36" s="1"/>
  <c r="Z9" i="36"/>
  <c r="U8" i="36"/>
  <c r="V8" i="36" s="1"/>
  <c r="D79" i="36"/>
  <c r="D59" i="36"/>
  <c r="D47" i="36"/>
  <c r="D33" i="36"/>
  <c r="D34" i="36" s="1"/>
  <c r="D35" i="36" s="1"/>
  <c r="D78" i="36"/>
  <c r="D68" i="36"/>
  <c r="D58" i="36"/>
  <c r="D46" i="36"/>
  <c r="D95" i="36"/>
  <c r="D91" i="36"/>
  <c r="D87" i="36"/>
  <c r="D77" i="36"/>
  <c r="D57" i="36"/>
  <c r="D45" i="36"/>
  <c r="D86" i="36"/>
  <c r="D76" i="36"/>
  <c r="D67" i="36"/>
  <c r="D56" i="36"/>
  <c r="D44" i="36"/>
  <c r="D75" i="36"/>
  <c r="D55" i="36"/>
  <c r="D43" i="36"/>
  <c r="D98" i="36"/>
  <c r="D94" i="36"/>
  <c r="D90" i="36"/>
  <c r="D85" i="36"/>
  <c r="D74" i="36"/>
  <c r="D66" i="36"/>
  <c r="D54" i="36"/>
  <c r="D42" i="36"/>
  <c r="D84" i="36"/>
  <c r="D65" i="36"/>
  <c r="D53" i="36"/>
  <c r="D41" i="36"/>
  <c r="D83" i="36"/>
  <c r="D73" i="36"/>
  <c r="D64" i="36"/>
  <c r="D52" i="36"/>
  <c r="D40" i="36"/>
  <c r="D97" i="36"/>
  <c r="D93" i="36"/>
  <c r="D89" i="36"/>
  <c r="D82" i="36"/>
  <c r="D72" i="36"/>
  <c r="D63" i="36"/>
  <c r="D51" i="36"/>
  <c r="D39" i="36"/>
  <c r="D81" i="36"/>
  <c r="D71" i="36"/>
  <c r="D62" i="36"/>
  <c r="D50" i="36"/>
  <c r="D38" i="36"/>
  <c r="D80" i="36"/>
  <c r="D70" i="36"/>
  <c r="D61" i="36"/>
  <c r="D49" i="36"/>
  <c r="D96" i="36"/>
  <c r="D92" i="36"/>
  <c r="D88" i="36"/>
  <c r="D69" i="36"/>
  <c r="D60" i="36"/>
  <c r="D48" i="36"/>
  <c r="F15" i="33" l="1"/>
  <c r="A90" i="1"/>
  <c r="C89" i="1"/>
  <c r="Z10" i="36"/>
  <c r="U9" i="36"/>
  <c r="V9" i="36" s="1"/>
  <c r="F16" i="33" l="1"/>
  <c r="A91" i="1"/>
  <c r="C91" i="1" s="1"/>
  <c r="C90" i="1"/>
  <c r="Z11" i="36"/>
  <c r="U10" i="36"/>
  <c r="V10" i="36" s="1"/>
  <c r="F17" i="33" l="1"/>
  <c r="Z12" i="36"/>
  <c r="U11" i="36"/>
  <c r="V11" i="36" s="1"/>
  <c r="F18" i="33" l="1"/>
  <c r="Z13" i="36"/>
  <c r="U12" i="36"/>
  <c r="V12" i="36" s="1"/>
  <c r="C7" i="1"/>
  <c r="F19" i="33" l="1"/>
  <c r="Z14" i="36"/>
  <c r="U13" i="36"/>
  <c r="V13" i="36" s="1"/>
  <c r="Z7" i="33"/>
  <c r="Z8" i="33" s="1"/>
  <c r="V4" i="33"/>
  <c r="V5" i="33"/>
  <c r="U6" i="33"/>
  <c r="V6" i="33" s="1"/>
  <c r="AC23" i="33"/>
  <c r="U21" i="33"/>
  <c r="V21" i="33" s="1"/>
  <c r="U22" i="33"/>
  <c r="V22" i="33" s="1"/>
  <c r="U23" i="33"/>
  <c r="V23" i="33" s="1"/>
  <c r="U5" i="33"/>
  <c r="U4" i="33"/>
  <c r="AC19" i="33"/>
  <c r="AC20" i="33"/>
  <c r="AC21" i="33"/>
  <c r="AC22" i="33"/>
  <c r="AB4" i="33"/>
  <c r="AC5" i="33"/>
  <c r="AC6" i="33"/>
  <c r="AC7" i="33"/>
  <c r="AC8" i="33"/>
  <c r="AC9" i="33"/>
  <c r="AC10" i="33"/>
  <c r="AC11" i="33"/>
  <c r="AC12" i="33"/>
  <c r="AC13" i="33"/>
  <c r="AC14" i="33"/>
  <c r="AC15" i="33"/>
  <c r="AC16" i="33"/>
  <c r="AC17" i="33"/>
  <c r="AC18" i="33"/>
  <c r="AC4" i="33"/>
  <c r="F20" i="33" l="1"/>
  <c r="Z15" i="36"/>
  <c r="U14" i="36"/>
  <c r="V14" i="36" s="1"/>
  <c r="U8" i="33"/>
  <c r="V8" i="33" s="1"/>
  <c r="Z9" i="33"/>
  <c r="U7" i="33"/>
  <c r="V7" i="33" s="1"/>
  <c r="AD4" i="33"/>
  <c r="AA4" i="33"/>
  <c r="AE4" i="33" s="1"/>
  <c r="F21" i="33" l="1"/>
  <c r="Z16" i="36"/>
  <c r="U15" i="36"/>
  <c r="V15" i="36" s="1"/>
  <c r="U9" i="33"/>
  <c r="V9" i="33" s="1"/>
  <c r="Z10" i="33"/>
  <c r="F22" i="33" l="1"/>
  <c r="U16" i="36"/>
  <c r="V16" i="36" s="1"/>
  <c r="Z17" i="36"/>
  <c r="Z11" i="33"/>
  <c r="U10" i="33"/>
  <c r="V10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F23" i="33" l="1"/>
  <c r="U17" i="36"/>
  <c r="V17" i="36" s="1"/>
  <c r="Z18" i="36"/>
  <c r="U11" i="33"/>
  <c r="V11" i="33" s="1"/>
  <c r="Z12" i="33"/>
  <c r="F64" i="1"/>
  <c r="F63" i="1"/>
  <c r="F60" i="1"/>
  <c r="F34" i="1"/>
  <c r="F1" i="1"/>
  <c r="U18" i="36" l="1"/>
  <c r="V18" i="36" s="1"/>
  <c r="Z19" i="36"/>
  <c r="Z13" i="33"/>
  <c r="U12" i="33"/>
  <c r="V12" i="33" s="1"/>
  <c r="F3" i="1"/>
  <c r="F4" i="1"/>
  <c r="F37" i="1"/>
  <c r="F36" i="1"/>
  <c r="F62" i="1"/>
  <c r="F38" i="1"/>
  <c r="F5" i="1"/>
  <c r="Z20" i="36" l="1"/>
  <c r="U20" i="36" s="1"/>
  <c r="V20" i="36" s="1"/>
  <c r="U19" i="36"/>
  <c r="V19" i="36" s="1"/>
  <c r="Z14" i="33"/>
  <c r="U13" i="33"/>
  <c r="V13" i="33" s="1"/>
  <c r="J88" i="22"/>
  <c r="J86" i="22"/>
  <c r="J87" i="22" s="1"/>
  <c r="J85" i="22"/>
  <c r="J84" i="22"/>
  <c r="K84" i="22"/>
  <c r="M84" i="22"/>
  <c r="U14" i="33" l="1"/>
  <c r="V14" i="33" s="1"/>
  <c r="Z15" i="33"/>
  <c r="K89" i="22"/>
  <c r="K94" i="22" s="1"/>
  <c r="Z16" i="33" l="1"/>
  <c r="U15" i="33"/>
  <c r="V15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H5" i="22" s="1"/>
  <c r="H6" i="22" s="1"/>
  <c r="H7" i="22" s="1"/>
  <c r="Z17" i="33" l="1"/>
  <c r="U16" i="33"/>
  <c r="V16" i="33" s="1"/>
  <c r="G5" i="22"/>
  <c r="U17" i="33" l="1"/>
  <c r="V17" i="33" s="1"/>
  <c r="Z18" i="33"/>
  <c r="B1" i="22"/>
  <c r="G25" i="1"/>
  <c r="A6" i="22"/>
  <c r="B7" i="22"/>
  <c r="U18" i="33" l="1"/>
  <c r="V18" i="33" s="1"/>
  <c r="Z19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U19" i="33" l="1"/>
  <c r="V19" i="33" s="1"/>
  <c r="Z20" i="33"/>
  <c r="U20" i="33" s="1"/>
  <c r="V20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D85" i="22"/>
  <c r="D4" i="33" l="1"/>
  <c r="E5" i="33" s="1"/>
  <c r="D4" i="36"/>
  <c r="D6" i="22"/>
  <c r="E7" i="22" s="1"/>
  <c r="D5" i="36" s="1"/>
  <c r="F8" i="22"/>
  <c r="G6" i="22"/>
  <c r="D86" i="22"/>
  <c r="D87" i="22"/>
  <c r="E88" i="22" s="1"/>
  <c r="C66" i="1" l="1"/>
  <c r="H8" i="22"/>
  <c r="T4" i="33"/>
  <c r="E5" i="36"/>
  <c r="T4" i="36"/>
  <c r="N4" i="36" s="1"/>
  <c r="O4" i="36" s="1"/>
  <c r="P4" i="36" s="1"/>
  <c r="AA5" i="33"/>
  <c r="AE5" i="33" s="1"/>
  <c r="AB5" i="33"/>
  <c r="AD5" i="33" s="1"/>
  <c r="D7" i="22"/>
  <c r="E8" i="22" s="1"/>
  <c r="D6" i="36" s="1"/>
  <c r="D5" i="33"/>
  <c r="E6" i="33" s="1"/>
  <c r="C52" i="1" s="1"/>
  <c r="E87" i="22"/>
  <c r="E86" i="22"/>
  <c r="G7" i="22"/>
  <c r="F9" i="22"/>
  <c r="C67" i="1" s="1"/>
  <c r="N4" i="33" l="1"/>
  <c r="O4" i="33" s="1"/>
  <c r="H9" i="22"/>
  <c r="R4" i="36"/>
  <c r="Q4" i="36"/>
  <c r="AA5" i="36"/>
  <c r="AE5" i="36" s="1"/>
  <c r="E6" i="36"/>
  <c r="AB5" i="36"/>
  <c r="AD5" i="36" s="1"/>
  <c r="T5" i="33"/>
  <c r="N5" i="33" s="1"/>
  <c r="AA6" i="33"/>
  <c r="AE6" i="33" s="1"/>
  <c r="AB6" i="33"/>
  <c r="AD6" i="33" s="1"/>
  <c r="D8" i="22"/>
  <c r="E9" i="22" s="1"/>
  <c r="D6" i="33"/>
  <c r="E7" i="33" s="1"/>
  <c r="C53" i="1" s="1"/>
  <c r="C32" i="1" s="1"/>
  <c r="C33" i="1" s="1"/>
  <c r="F10" i="22"/>
  <c r="C68" i="1" s="1"/>
  <c r="C35" i="1" s="1"/>
  <c r="G8" i="22"/>
  <c r="P4" i="33" l="1"/>
  <c r="Q4" i="33"/>
  <c r="R4" i="33"/>
  <c r="H10" i="22"/>
  <c r="E7" i="36"/>
  <c r="AA6" i="36"/>
  <c r="AE6" i="36" s="1"/>
  <c r="AB6" i="36"/>
  <c r="AD6" i="36" s="1"/>
  <c r="D7" i="33"/>
  <c r="E8" i="33" s="1"/>
  <c r="C54" i="1" s="1"/>
  <c r="D7" i="36"/>
  <c r="T5" i="36"/>
  <c r="N5" i="36" s="1"/>
  <c r="O5" i="36" s="1"/>
  <c r="P5" i="36" s="1"/>
  <c r="O5" i="33"/>
  <c r="P5" i="33" s="1"/>
  <c r="T6" i="33"/>
  <c r="N6" i="33" s="1"/>
  <c r="AA7" i="33"/>
  <c r="AE7" i="33" s="1"/>
  <c r="AB7" i="33"/>
  <c r="AD7" i="33" s="1"/>
  <c r="F11" i="22"/>
  <c r="C69" i="1" s="1"/>
  <c r="G9" i="22"/>
  <c r="D9" i="22"/>
  <c r="H11" i="22" l="1"/>
  <c r="R5" i="36"/>
  <c r="Q5" i="36"/>
  <c r="R5" i="33"/>
  <c r="Q5" i="33"/>
  <c r="O6" i="33"/>
  <c r="P6" i="33" s="1"/>
  <c r="T6" i="36"/>
  <c r="E8" i="36"/>
  <c r="AA7" i="36"/>
  <c r="AE7" i="36" s="1"/>
  <c r="AB7" i="36"/>
  <c r="AD7" i="36" s="1"/>
  <c r="T7" i="33"/>
  <c r="N7" i="33" s="1"/>
  <c r="AB8" i="33"/>
  <c r="AD8" i="33" s="1"/>
  <c r="AA8" i="33"/>
  <c r="AE8" i="33" s="1"/>
  <c r="E10" i="22"/>
  <c r="D8" i="36" s="1"/>
  <c r="Q6" i="33" l="1"/>
  <c r="R6" i="33"/>
  <c r="O7" i="33"/>
  <c r="P7" i="33" s="1"/>
  <c r="N6" i="36"/>
  <c r="O6" i="36" s="1"/>
  <c r="P6" i="36" s="1"/>
  <c r="T7" i="36"/>
  <c r="AA8" i="36"/>
  <c r="AE8" i="36" s="1"/>
  <c r="AB8" i="36"/>
  <c r="AD8" i="36" s="1"/>
  <c r="E9" i="36"/>
  <c r="D10" i="22"/>
  <c r="E11" i="22" s="1"/>
  <c r="D9" i="36" s="1"/>
  <c r="D8" i="33"/>
  <c r="E9" i="33" s="1"/>
  <c r="C55" i="1" s="1"/>
  <c r="F12" i="22"/>
  <c r="C70" i="1" s="1"/>
  <c r="G10" i="22"/>
  <c r="H12" i="22" l="1"/>
  <c r="R6" i="36"/>
  <c r="Q6" i="36"/>
  <c r="Q7" i="33"/>
  <c r="R7" i="33"/>
  <c r="N7" i="36"/>
  <c r="O7" i="36" s="1"/>
  <c r="P7" i="36" s="1"/>
  <c r="T8" i="36"/>
  <c r="E10" i="36"/>
  <c r="AB9" i="36"/>
  <c r="AD9" i="36" s="1"/>
  <c r="AA9" i="36"/>
  <c r="AE9" i="36" s="1"/>
  <c r="T8" i="33"/>
  <c r="N8" i="33" s="1"/>
  <c r="D11" i="22"/>
  <c r="E12" i="22" s="1"/>
  <c r="D10" i="36" s="1"/>
  <c r="D9" i="33"/>
  <c r="E10" i="33" s="1"/>
  <c r="C56" i="1" s="1"/>
  <c r="AB9" i="33"/>
  <c r="AD9" i="33" s="1"/>
  <c r="AA9" i="33"/>
  <c r="AE9" i="33" s="1"/>
  <c r="F13" i="22"/>
  <c r="C71" i="1" s="1"/>
  <c r="G11" i="22"/>
  <c r="H13" i="22" l="1"/>
  <c r="Q7" i="36"/>
  <c r="R7" i="36"/>
  <c r="N8" i="36"/>
  <c r="O8" i="36" s="1"/>
  <c r="P8" i="36" s="1"/>
  <c r="O8" i="33"/>
  <c r="P8" i="33" s="1"/>
  <c r="T9" i="36"/>
  <c r="AB10" i="36"/>
  <c r="AD10" i="36" s="1"/>
  <c r="E11" i="36"/>
  <c r="AA10" i="36"/>
  <c r="AE10" i="36" s="1"/>
  <c r="T9" i="33"/>
  <c r="N9" i="33" s="1"/>
  <c r="D12" i="22"/>
  <c r="E13" i="22" s="1"/>
  <c r="D10" i="33"/>
  <c r="E11" i="33" s="1"/>
  <c r="C57" i="1" s="1"/>
  <c r="AA10" i="33"/>
  <c r="AE10" i="33" s="1"/>
  <c r="AB10" i="33"/>
  <c r="AD10" i="33" s="1"/>
  <c r="G12" i="22"/>
  <c r="F14" i="22"/>
  <c r="C72" i="1" s="1"/>
  <c r="H14" i="22" l="1"/>
  <c r="Q8" i="33"/>
  <c r="R8" i="33"/>
  <c r="R8" i="36"/>
  <c r="Q8" i="36"/>
  <c r="N9" i="36"/>
  <c r="O9" i="36" s="1"/>
  <c r="P9" i="36" s="1"/>
  <c r="O9" i="33"/>
  <c r="P9" i="33" s="1"/>
  <c r="D11" i="33"/>
  <c r="E12" i="33" s="1"/>
  <c r="C58" i="1" s="1"/>
  <c r="D11" i="36"/>
  <c r="E12" i="36" s="1"/>
  <c r="AB11" i="36"/>
  <c r="AD11" i="36" s="1"/>
  <c r="AA11" i="36"/>
  <c r="AE11" i="36" s="1"/>
  <c r="T10" i="36"/>
  <c r="T10" i="33"/>
  <c r="N10" i="33" s="1"/>
  <c r="AA11" i="33"/>
  <c r="AE11" i="33" s="1"/>
  <c r="AB11" i="33"/>
  <c r="AD11" i="33" s="1"/>
  <c r="G13" i="22"/>
  <c r="F15" i="22"/>
  <c r="C73" i="1" s="1"/>
  <c r="D13" i="22"/>
  <c r="H15" i="22" l="1"/>
  <c r="Q9" i="33"/>
  <c r="R9" i="33"/>
  <c r="Q9" i="36"/>
  <c r="R9" i="36"/>
  <c r="O10" i="33"/>
  <c r="P10" i="33" s="1"/>
  <c r="N10" i="36"/>
  <c r="O10" i="36" s="1"/>
  <c r="P10" i="36" s="1"/>
  <c r="AB12" i="36"/>
  <c r="AD12" i="36" s="1"/>
  <c r="AA12" i="36"/>
  <c r="AE12" i="36" s="1"/>
  <c r="T11" i="36"/>
  <c r="T11" i="33"/>
  <c r="N11" i="33" s="1"/>
  <c r="AA12" i="33"/>
  <c r="AE12" i="33" s="1"/>
  <c r="AB12" i="33"/>
  <c r="AD12" i="33" s="1"/>
  <c r="E14" i="22"/>
  <c r="D12" i="36" s="1"/>
  <c r="E13" i="36" s="1"/>
  <c r="R10" i="36" l="1"/>
  <c r="Q10" i="36"/>
  <c r="Q10" i="33"/>
  <c r="R10" i="33"/>
  <c r="O11" i="33"/>
  <c r="P11" i="33" s="1"/>
  <c r="N11" i="36"/>
  <c r="O11" i="36" s="1"/>
  <c r="P11" i="36" s="1"/>
  <c r="T12" i="36"/>
  <c r="AB13" i="36"/>
  <c r="AD13" i="36" s="1"/>
  <c r="AA13" i="36"/>
  <c r="AE13" i="36" s="1"/>
  <c r="D14" i="22"/>
  <c r="E15" i="22" s="1"/>
  <c r="D13" i="36" s="1"/>
  <c r="E14" i="36" s="1"/>
  <c r="D12" i="33"/>
  <c r="E13" i="33" s="1"/>
  <c r="C59" i="1" s="1"/>
  <c r="F16" i="22"/>
  <c r="G14" i="22"/>
  <c r="H16" i="22" l="1"/>
  <c r="C74" i="1"/>
  <c r="Q11" i="33"/>
  <c r="R11" i="33"/>
  <c r="R11" i="36"/>
  <c r="Q11" i="36"/>
  <c r="N12" i="36"/>
  <c r="O12" i="36" s="1"/>
  <c r="P12" i="36" s="1"/>
  <c r="T13" i="36"/>
  <c r="AB14" i="36"/>
  <c r="AD14" i="36" s="1"/>
  <c r="AA14" i="36"/>
  <c r="AE14" i="36" s="1"/>
  <c r="T12" i="33"/>
  <c r="N12" i="33" s="1"/>
  <c r="D15" i="22"/>
  <c r="E16" i="22" s="1"/>
  <c r="D14" i="36" s="1"/>
  <c r="E15" i="36" s="1"/>
  <c r="D13" i="33"/>
  <c r="E14" i="33" s="1"/>
  <c r="C60" i="1" s="1"/>
  <c r="AB13" i="33"/>
  <c r="AD13" i="33" s="1"/>
  <c r="AA13" i="33"/>
  <c r="AE13" i="33" s="1"/>
  <c r="G15" i="22"/>
  <c r="F17" i="22"/>
  <c r="H17" i="22" l="1"/>
  <c r="C75" i="1"/>
  <c r="R12" i="36"/>
  <c r="Q12" i="36"/>
  <c r="O12" i="33"/>
  <c r="P12" i="33" s="1"/>
  <c r="N13" i="36"/>
  <c r="O13" i="36" s="1"/>
  <c r="P13" i="36" s="1"/>
  <c r="T14" i="36"/>
  <c r="AA15" i="36"/>
  <c r="AE15" i="36" s="1"/>
  <c r="AB15" i="36"/>
  <c r="AD15" i="36" s="1"/>
  <c r="T13" i="33"/>
  <c r="N13" i="33" s="1"/>
  <c r="D16" i="22"/>
  <c r="E17" i="22" s="1"/>
  <c r="D14" i="33"/>
  <c r="E15" i="33" s="1"/>
  <c r="C61" i="1" s="1"/>
  <c r="AA14" i="33"/>
  <c r="AE14" i="33" s="1"/>
  <c r="AB14" i="33"/>
  <c r="AD14" i="33" s="1"/>
  <c r="G16" i="22"/>
  <c r="F18" i="22"/>
  <c r="H18" i="22" l="1"/>
  <c r="C76" i="1"/>
  <c r="R13" i="36"/>
  <c r="Q13" i="36"/>
  <c r="Q12" i="33"/>
  <c r="R12" i="33"/>
  <c r="N14" i="36"/>
  <c r="O14" i="36" s="1"/>
  <c r="P14" i="36" s="1"/>
  <c r="O13" i="33"/>
  <c r="P13" i="33" s="1"/>
  <c r="D15" i="33"/>
  <c r="E16" i="33" s="1"/>
  <c r="C62" i="1" s="1"/>
  <c r="D15" i="36"/>
  <c r="E16" i="36" s="1"/>
  <c r="T14" i="33"/>
  <c r="N14" i="33" s="1"/>
  <c r="AA15" i="33"/>
  <c r="AE15" i="33" s="1"/>
  <c r="AB15" i="33"/>
  <c r="AD15" i="33" s="1"/>
  <c r="F19" i="22"/>
  <c r="G17" i="22"/>
  <c r="D17" i="22"/>
  <c r="H19" i="22" l="1"/>
  <c r="C77" i="1"/>
  <c r="Q13" i="33"/>
  <c r="R13" i="33"/>
  <c r="R14" i="36"/>
  <c r="Q14" i="36"/>
  <c r="O14" i="33"/>
  <c r="P14" i="33" s="1"/>
  <c r="T15" i="36"/>
  <c r="AA16" i="36"/>
  <c r="AE16" i="36" s="1"/>
  <c r="AB16" i="36"/>
  <c r="AD16" i="36" s="1"/>
  <c r="T15" i="33"/>
  <c r="N15" i="33" s="1"/>
  <c r="AA16" i="33"/>
  <c r="AE16" i="33" s="1"/>
  <c r="AB16" i="33"/>
  <c r="AD16" i="33" s="1"/>
  <c r="E18" i="22"/>
  <c r="D16" i="36" s="1"/>
  <c r="E17" i="36" s="1"/>
  <c r="Q14" i="33" l="1"/>
  <c r="R14" i="33"/>
  <c r="N15" i="36"/>
  <c r="O15" i="36" s="1"/>
  <c r="O15" i="33"/>
  <c r="P15" i="33" s="1"/>
  <c r="AB17" i="36"/>
  <c r="AD17" i="36" s="1"/>
  <c r="AA17" i="36"/>
  <c r="AE17" i="36" s="1"/>
  <c r="T16" i="36"/>
  <c r="D18" i="22"/>
  <c r="E19" i="22" s="1"/>
  <c r="D16" i="33"/>
  <c r="E17" i="33" s="1"/>
  <c r="C63" i="1" s="1"/>
  <c r="G18" i="22"/>
  <c r="F20" i="22"/>
  <c r="R15" i="36" l="1"/>
  <c r="P15" i="36"/>
  <c r="H20" i="22"/>
  <c r="C78" i="1"/>
  <c r="Q15" i="33"/>
  <c r="R15" i="33"/>
  <c r="Q15" i="36"/>
  <c r="N16" i="36"/>
  <c r="O16" i="36" s="1"/>
  <c r="P16" i="36" s="1"/>
  <c r="D17" i="33"/>
  <c r="E18" i="33" s="1"/>
  <c r="D17" i="36"/>
  <c r="E18" i="36" s="1"/>
  <c r="T16" i="33"/>
  <c r="N16" i="33" s="1"/>
  <c r="AB17" i="33"/>
  <c r="AD17" i="33" s="1"/>
  <c r="AA17" i="33"/>
  <c r="AE17" i="33" s="1"/>
  <c r="F21" i="22"/>
  <c r="G19" i="22"/>
  <c r="D19" i="22"/>
  <c r="H21" i="22" l="1"/>
  <c r="R16" i="36"/>
  <c r="Q16" i="36"/>
  <c r="O16" i="33"/>
  <c r="P16" i="33" s="1"/>
  <c r="T17" i="36"/>
  <c r="AB18" i="36"/>
  <c r="AD18" i="36" s="1"/>
  <c r="AA18" i="36"/>
  <c r="AE18" i="36" s="1"/>
  <c r="T17" i="33"/>
  <c r="N17" i="33" s="1"/>
  <c r="AA18" i="33"/>
  <c r="AE18" i="33" s="1"/>
  <c r="AB18" i="33"/>
  <c r="AD18" i="33" s="1"/>
  <c r="E20" i="22"/>
  <c r="Q16" i="33" l="1"/>
  <c r="R16" i="33"/>
  <c r="O17" i="33"/>
  <c r="P17" i="33" s="1"/>
  <c r="N17" i="36"/>
  <c r="O17" i="36" s="1"/>
  <c r="P17" i="36" s="1"/>
  <c r="D18" i="33"/>
  <c r="E19" i="33" s="1"/>
  <c r="AB19" i="33" s="1"/>
  <c r="AD19" i="33" s="1"/>
  <c r="D18" i="36"/>
  <c r="E19" i="36" s="1"/>
  <c r="F22" i="22"/>
  <c r="H22" i="22" s="1"/>
  <c r="G20" i="22"/>
  <c r="D20" i="22"/>
  <c r="Q17" i="33" l="1"/>
  <c r="R17" i="33"/>
  <c r="R17" i="36"/>
  <c r="Q17" i="36"/>
  <c r="AA19" i="33"/>
  <c r="AE19" i="33" s="1"/>
  <c r="T18" i="33"/>
  <c r="N18" i="33" s="1"/>
  <c r="AA19" i="36"/>
  <c r="AE19" i="36" s="1"/>
  <c r="AB19" i="36"/>
  <c r="AD19" i="36" s="1"/>
  <c r="T18" i="36"/>
  <c r="E21" i="22"/>
  <c r="D19" i="36" s="1"/>
  <c r="E20" i="36" s="1"/>
  <c r="O18" i="33" l="1"/>
  <c r="P18" i="33" s="1"/>
  <c r="N18" i="36"/>
  <c r="O18" i="36" s="1"/>
  <c r="P18" i="36" s="1"/>
  <c r="AB20" i="36"/>
  <c r="AD20" i="36" s="1"/>
  <c r="AA20" i="36"/>
  <c r="AE20" i="36" s="1"/>
  <c r="T19" i="36"/>
  <c r="D21" i="22"/>
  <c r="E22" i="22" s="1"/>
  <c r="D19" i="33"/>
  <c r="G21" i="22"/>
  <c r="F23" i="22"/>
  <c r="H23" i="22" s="1"/>
  <c r="R18" i="36" l="1"/>
  <c r="Q18" i="36"/>
  <c r="Q18" i="33"/>
  <c r="R18" i="33"/>
  <c r="N19" i="36"/>
  <c r="O19" i="36" s="1"/>
  <c r="P19" i="36" s="1"/>
  <c r="D20" i="33"/>
  <c r="D20" i="36"/>
  <c r="E21" i="36" s="1"/>
  <c r="E20" i="33"/>
  <c r="T19" i="33"/>
  <c r="N19" i="33" s="1"/>
  <c r="G22" i="22"/>
  <c r="F24" i="22"/>
  <c r="H24" i="22" s="1"/>
  <c r="D22" i="22"/>
  <c r="R19" i="36" l="1"/>
  <c r="Q19" i="36"/>
  <c r="O19" i="33"/>
  <c r="P19" i="33" s="1"/>
  <c r="T20" i="36"/>
  <c r="AB21" i="36"/>
  <c r="AD21" i="36" s="1"/>
  <c r="AA21" i="36"/>
  <c r="AE21" i="36" s="1"/>
  <c r="AA20" i="33"/>
  <c r="AE20" i="33" s="1"/>
  <c r="E21" i="33"/>
  <c r="AB20" i="33"/>
  <c r="AD20" i="33" s="1"/>
  <c r="E23" i="22"/>
  <c r="Q19" i="33" l="1"/>
  <c r="R19" i="33"/>
  <c r="N20" i="36"/>
  <c r="O20" i="36" s="1"/>
  <c r="P20" i="36" s="1"/>
  <c r="D21" i="33"/>
  <c r="E22" i="33" s="1"/>
  <c r="D21" i="36"/>
  <c r="E22" i="36" s="1"/>
  <c r="T20" i="33"/>
  <c r="N20" i="33" s="1"/>
  <c r="AA21" i="33"/>
  <c r="AE21" i="33" s="1"/>
  <c r="AB21" i="33"/>
  <c r="AD21" i="33" s="1"/>
  <c r="G23" i="22"/>
  <c r="F25" i="22"/>
  <c r="H25" i="22" s="1"/>
  <c r="D23" i="22"/>
  <c r="R20" i="36" l="1"/>
  <c r="Q20" i="36"/>
  <c r="O20" i="33"/>
  <c r="P20" i="33" s="1"/>
  <c r="T21" i="36"/>
  <c r="AB22" i="36"/>
  <c r="AD22" i="36" s="1"/>
  <c r="AA22" i="36"/>
  <c r="AE22" i="36" s="1"/>
  <c r="T21" i="33"/>
  <c r="N21" i="33" s="1"/>
  <c r="AB22" i="33"/>
  <c r="AD22" i="33" s="1"/>
  <c r="AA22" i="33"/>
  <c r="AE22" i="33" s="1"/>
  <c r="E24" i="22"/>
  <c r="Q20" i="33" l="1"/>
  <c r="R20" i="33"/>
  <c r="O21" i="33"/>
  <c r="P21" i="33" s="1"/>
  <c r="N21" i="36"/>
  <c r="O21" i="36" s="1"/>
  <c r="P21" i="36" s="1"/>
  <c r="D22" i="33"/>
  <c r="E23" i="33" s="1"/>
  <c r="AA23" i="33" s="1"/>
  <c r="AE23" i="33" s="1"/>
  <c r="D22" i="36"/>
  <c r="E23" i="36" s="1"/>
  <c r="F26" i="22"/>
  <c r="H26" i="22" s="1"/>
  <c r="G24" i="22"/>
  <c r="D24" i="22"/>
  <c r="R21" i="36" l="1"/>
  <c r="Q21" i="36"/>
  <c r="Q21" i="33"/>
  <c r="R21" i="33"/>
  <c r="T22" i="33"/>
  <c r="N22" i="33" s="1"/>
  <c r="AB23" i="33"/>
  <c r="AD23" i="33" s="1"/>
  <c r="T22" i="36"/>
  <c r="AB23" i="36"/>
  <c r="AD23" i="36" s="1"/>
  <c r="AA23" i="36"/>
  <c r="AE23" i="36" s="1"/>
  <c r="E25" i="22"/>
  <c r="N22" i="36" l="1"/>
  <c r="O22" i="36" s="1"/>
  <c r="P22" i="36" s="1"/>
  <c r="O22" i="33"/>
  <c r="P22" i="33" s="1"/>
  <c r="D23" i="33"/>
  <c r="T23" i="33" s="1"/>
  <c r="N23" i="33" s="1"/>
  <c r="D23" i="36"/>
  <c r="T23" i="36" s="1"/>
  <c r="F27" i="22"/>
  <c r="H27" i="22" s="1"/>
  <c r="G25" i="22"/>
  <c r="D25" i="22"/>
  <c r="Q22" i="33" l="1"/>
  <c r="R22" i="33"/>
  <c r="R22" i="36"/>
  <c r="Q22" i="36"/>
  <c r="O23" i="33"/>
  <c r="N23" i="36"/>
  <c r="O23" i="36" s="1"/>
  <c r="P23" i="36" s="1"/>
  <c r="E26" i="22"/>
  <c r="D26" i="22" s="1"/>
  <c r="Q23" i="33" l="1"/>
  <c r="P23" i="33"/>
  <c r="Q23" i="36"/>
  <c r="R23" i="36"/>
  <c r="R23" i="33"/>
  <c r="E27" i="22"/>
  <c r="D27" i="22" s="1"/>
  <c r="F28" i="22"/>
  <c r="H28" i="22" s="1"/>
  <c r="G26" i="22"/>
  <c r="E28" i="22" l="1"/>
  <c r="D28" i="22" s="1"/>
  <c r="F29" i="22"/>
  <c r="H29" i="22" s="1"/>
  <c r="G27" i="22"/>
  <c r="E29" i="22" l="1"/>
  <c r="G28" i="22"/>
  <c r="F30" i="22"/>
  <c r="H30" i="22" s="1"/>
  <c r="F31" i="22" l="1"/>
  <c r="H31" i="22" s="1"/>
  <c r="G29" i="22"/>
  <c r="D29" i="22"/>
  <c r="E30" i="22" l="1"/>
  <c r="D30" i="22" s="1"/>
  <c r="E31" i="22" l="1"/>
  <c r="F32" i="22"/>
  <c r="H32" i="22" s="1"/>
  <c r="G30" i="22"/>
  <c r="F33" i="22" l="1"/>
  <c r="H33" i="22" s="1"/>
  <c r="G31" i="22"/>
  <c r="D31" i="22"/>
  <c r="E32" i="22" l="1"/>
  <c r="D32" i="22" s="1"/>
  <c r="E33" i="22" l="1"/>
  <c r="D33" i="22" s="1"/>
  <c r="F34" i="22"/>
  <c r="H34" i="22" s="1"/>
  <c r="G32" i="22"/>
  <c r="E34" i="22" l="1"/>
  <c r="F35" i="22"/>
  <c r="H35" i="22" s="1"/>
  <c r="G33" i="22"/>
  <c r="F36" i="22" l="1"/>
  <c r="H36" i="22" s="1"/>
  <c r="G34" i="22"/>
  <c r="D34" i="22"/>
  <c r="E35" i="22" l="1"/>
  <c r="F37" i="22" l="1"/>
  <c r="H37" i="22" s="1"/>
  <c r="G35" i="22"/>
  <c r="D35" i="22"/>
  <c r="E36" i="22" l="1"/>
  <c r="D36" i="22" s="1"/>
  <c r="E37" i="22" l="1"/>
  <c r="D37" i="22" s="1"/>
  <c r="G36" i="22"/>
  <c r="F38" i="22"/>
  <c r="H38" i="22" s="1"/>
  <c r="E38" i="22" l="1"/>
  <c r="D38" i="22" s="1"/>
  <c r="G37" i="22"/>
  <c r="F39" i="22"/>
  <c r="H39" i="22" s="1"/>
  <c r="E39" i="22" l="1"/>
  <c r="G38" i="22"/>
  <c r="F40" i="22"/>
  <c r="H40" i="22" s="1"/>
  <c r="F41" i="22" l="1"/>
  <c r="H41" i="22" s="1"/>
  <c r="G39" i="22"/>
  <c r="D39" i="22"/>
  <c r="E40" i="22" l="1"/>
  <c r="D40" i="22" s="1"/>
  <c r="E41" i="22" l="1"/>
  <c r="G40" i="22"/>
  <c r="F42" i="22"/>
  <c r="H42" i="22" s="1"/>
  <c r="F43" i="22" l="1"/>
  <c r="H43" i="22" s="1"/>
  <c r="G41" i="22"/>
  <c r="D41" i="22"/>
  <c r="E42" i="22" l="1"/>
  <c r="F44" i="22" l="1"/>
  <c r="H44" i="22" s="1"/>
  <c r="G42" i="22"/>
  <c r="D42" i="22"/>
  <c r="E43" i="22" l="1"/>
  <c r="G43" i="22" l="1"/>
  <c r="F45" i="22"/>
  <c r="H45" i="22" s="1"/>
  <c r="D43" i="22"/>
  <c r="E44" i="22" l="1"/>
  <c r="D44" i="22" s="1"/>
  <c r="E45" i="22" l="1"/>
  <c r="D45" i="22" s="1"/>
  <c r="G44" i="22"/>
  <c r="F46" i="22"/>
  <c r="H46" i="22" s="1"/>
  <c r="E46" i="22" l="1"/>
  <c r="F47" i="22"/>
  <c r="H47" i="22" s="1"/>
  <c r="G45" i="22"/>
  <c r="F48" i="22" l="1"/>
  <c r="H48" i="22" s="1"/>
  <c r="G46" i="22"/>
  <c r="D46" i="22"/>
  <c r="E47" i="22" l="1"/>
  <c r="D47" i="22" s="1"/>
  <c r="E48" i="22" l="1"/>
  <c r="D48" i="22" s="1"/>
  <c r="G47" i="22"/>
  <c r="F49" i="22"/>
  <c r="H49" i="22" s="1"/>
  <c r="E49" i="22" l="1"/>
  <c r="F50" i="22"/>
  <c r="H50" i="22" s="1"/>
  <c r="G48" i="22"/>
  <c r="F51" i="22" l="1"/>
  <c r="H51" i="22" s="1"/>
  <c r="G49" i="22"/>
  <c r="D49" i="22"/>
  <c r="E50" i="22" l="1"/>
  <c r="D50" i="22" s="1"/>
  <c r="E51" i="22" l="1"/>
  <c r="D51" i="22" s="1"/>
  <c r="F52" i="22"/>
  <c r="H52" i="22" s="1"/>
  <c r="G50" i="22"/>
  <c r="E52" i="22" l="1"/>
  <c r="D52" i="22" s="1"/>
  <c r="F53" i="22"/>
  <c r="H53" i="22" s="1"/>
  <c r="G51" i="22"/>
  <c r="E53" i="22" l="1"/>
  <c r="G52" i="22"/>
  <c r="F54" i="22"/>
  <c r="H54" i="22" s="1"/>
  <c r="G53" i="22" l="1"/>
  <c r="F55" i="22"/>
  <c r="H55" i="22" s="1"/>
  <c r="D53" i="22"/>
  <c r="E54" i="22" l="1"/>
  <c r="D54" i="22" s="1"/>
  <c r="E55" i="22" l="1"/>
  <c r="F56" i="22"/>
  <c r="H56" i="22" s="1"/>
  <c r="G54" i="22"/>
  <c r="G55" i="22" l="1"/>
  <c r="F57" i="22"/>
  <c r="H57" i="22" s="1"/>
  <c r="D55" i="22"/>
  <c r="E56" i="22" l="1"/>
  <c r="F58" i="22" l="1"/>
  <c r="H58" i="22" s="1"/>
  <c r="G56" i="22"/>
  <c r="D56" i="22"/>
  <c r="E57" i="22" l="1"/>
  <c r="F59" i="22" l="1"/>
  <c r="H59" i="22" s="1"/>
  <c r="G57" i="22"/>
  <c r="D57" i="22"/>
  <c r="E58" i="22" l="1"/>
  <c r="G58" i="22" l="1"/>
  <c r="F60" i="22"/>
  <c r="H60" i="22" s="1"/>
  <c r="D58" i="22"/>
  <c r="E59" i="22" l="1"/>
  <c r="D59" i="22" s="1"/>
  <c r="E60" i="22" l="1"/>
  <c r="F61" i="22"/>
  <c r="H61" i="22" s="1"/>
  <c r="G59" i="22"/>
  <c r="G60" i="22" l="1"/>
  <c r="F62" i="22"/>
  <c r="H62" i="22" s="1"/>
  <c r="D60" i="22"/>
  <c r="E61" i="22" l="1"/>
  <c r="D61" i="22" s="1"/>
  <c r="E62" i="22" l="1"/>
  <c r="D62" i="22" s="1"/>
  <c r="G61" i="22"/>
  <c r="F63" i="22"/>
  <c r="H63" i="22" s="1"/>
  <c r="E63" i="22" l="1"/>
  <c r="D63" i="22" s="1"/>
  <c r="F64" i="22"/>
  <c r="H64" i="22" s="1"/>
  <c r="G62" i="22"/>
  <c r="E64" i="22" l="1"/>
  <c r="D64" i="22" s="1"/>
  <c r="F65" i="22"/>
  <c r="H65" i="22" s="1"/>
  <c r="G63" i="22"/>
  <c r="E65" i="22" l="1"/>
  <c r="G64" i="22"/>
  <c r="F66" i="22"/>
  <c r="H66" i="22" s="1"/>
  <c r="G65" i="22" l="1"/>
  <c r="F67" i="22"/>
  <c r="H67" i="22" s="1"/>
  <c r="D65" i="22"/>
  <c r="E66" i="22" l="1"/>
  <c r="F68" i="22" l="1"/>
  <c r="H68" i="22" s="1"/>
  <c r="G66" i="22"/>
  <c r="D66" i="22"/>
  <c r="E67" i="22" l="1"/>
  <c r="F69" i="22" l="1"/>
  <c r="H69" i="22" s="1"/>
  <c r="G67" i="22"/>
  <c r="D67" i="22"/>
  <c r="E68" i="22" l="1"/>
  <c r="G68" i="22" l="1"/>
  <c r="F70" i="22"/>
  <c r="H70" i="22" s="1"/>
  <c r="D68" i="22"/>
  <c r="E69" i="22" l="1"/>
  <c r="F71" i="22" l="1"/>
  <c r="H71" i="22" s="1"/>
  <c r="G69" i="22"/>
  <c r="D69" i="22"/>
  <c r="E70" i="22" l="1"/>
  <c r="G70" i="22" l="1"/>
  <c r="F72" i="22"/>
  <c r="H72" i="22" s="1"/>
  <c r="D70" i="22"/>
  <c r="E71" i="22" l="1"/>
  <c r="F73" i="22" l="1"/>
  <c r="H73" i="22" s="1"/>
  <c r="G71" i="22"/>
  <c r="D71" i="22"/>
  <c r="E72" i="22" l="1"/>
  <c r="F74" i="22" l="1"/>
  <c r="H74" i="22" s="1"/>
  <c r="G72" i="22"/>
  <c r="D72" i="22"/>
  <c r="E73" i="22" l="1"/>
  <c r="F75" i="22" l="1"/>
  <c r="H75" i="22" s="1"/>
  <c r="G73" i="22"/>
  <c r="D73" i="22"/>
  <c r="E74" i="22" l="1"/>
  <c r="D74" i="22" s="1"/>
  <c r="E75" i="22" l="1"/>
  <c r="D75" i="22" s="1"/>
  <c r="G74" i="22"/>
  <c r="F76" i="22"/>
  <c r="H76" i="22" s="1"/>
  <c r="E76" i="22" l="1"/>
  <c r="D76" i="22" s="1"/>
  <c r="G75" i="22"/>
  <c r="F77" i="22"/>
  <c r="H77" i="22" s="1"/>
  <c r="E77" i="22" l="1"/>
  <c r="G77" i="22" s="1"/>
  <c r="G76" i="22"/>
  <c r="F78" i="22"/>
  <c r="H78" i="22" s="1"/>
  <c r="F79" i="22" l="1"/>
  <c r="D77" i="22"/>
  <c r="E78" i="22" s="1"/>
  <c r="G78" i="22" l="1"/>
  <c r="E79" i="22"/>
  <c r="D78" i="22"/>
  <c r="D84" i="22" s="1"/>
  <c r="E85" i="22" s="1"/>
  <c r="E84" i="22" l="1"/>
  <c r="I84" i="22" l="1"/>
  <c r="F85" i="22"/>
  <c r="G84" i="22"/>
  <c r="F86" i="22" l="1"/>
  <c r="I85" i="22"/>
  <c r="G85" i="22"/>
  <c r="I86" i="22" l="1"/>
  <c r="G86" i="22"/>
  <c r="F87" i="22"/>
  <c r="G87" i="22" l="1"/>
  <c r="F88" i="22"/>
  <c r="I87" i="22"/>
  <c r="I88" i="22" l="1"/>
  <c r="G88" i="22"/>
  <c r="C36" i="1"/>
  <c r="K7" i="1" l="1"/>
  <c r="W7" i="1"/>
  <c r="P7" i="1"/>
  <c r="T7" i="1"/>
  <c r="J7" i="1"/>
  <c r="L7" i="1"/>
  <c r="X7" i="1"/>
  <c r="M7" i="1"/>
  <c r="N7" i="1"/>
  <c r="O7" i="1"/>
  <c r="Q7" i="1"/>
  <c r="V7" i="1"/>
  <c r="R7" i="1"/>
  <c r="S7" i="1"/>
  <c r="H7" i="1"/>
  <c r="I7" i="1"/>
  <c r="U7" i="1"/>
  <c r="F20" i="1"/>
  <c r="F22" i="1"/>
  <c r="F14" i="1"/>
  <c r="F21" i="1"/>
  <c r="F23" i="1"/>
  <c r="F13" i="1"/>
  <c r="F15" i="1"/>
  <c r="F19" i="1"/>
  <c r="F18" i="1"/>
  <c r="F11" i="1"/>
  <c r="F24" i="1"/>
  <c r="C11" i="1" l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7" i="1" l="1"/>
  <c r="F7" i="1" s="1"/>
  <c r="C46" i="1"/>
  <c r="F66" i="1"/>
  <c r="F40" i="1" l="1"/>
  <c r="C48" i="1"/>
  <c r="D33" i="33"/>
  <c r="D34" i="33" s="1"/>
  <c r="D35" i="33" s="1"/>
  <c r="F2" i="1"/>
  <c r="F61" i="1"/>
  <c r="F35" i="1"/>
</calcChain>
</file>

<file path=xl/sharedStrings.xml><?xml version="1.0" encoding="utf-8"?>
<sst xmlns="http://schemas.openxmlformats.org/spreadsheetml/2006/main" count="228" uniqueCount="156">
  <si>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</si>
  <si>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</si>
  <si>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</si>
  <si>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</si>
  <si>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</si>
  <si>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</si>
  <si>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</si>
  <si>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</si>
  <si>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</si>
  <si>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</si>
  <si>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</si>
  <si>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</si>
  <si>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</si>
  <si>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</si>
  <si>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</si>
  <si>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</si>
  <si>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</si>
  <si>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</si>
  <si>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</si>
  <si>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</si>
  <si>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</si>
  <si>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</si>
  <si>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</si>
  <si>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</si>
  <si>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</si>
  <si>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</si>
  <si>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</si>
  <si>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</si>
  <si>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</si>
  <si>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</si>
  <si>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</si>
  <si>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</si>
  <si>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</si>
  <si>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</si>
  <si>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</si>
  <si>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</si>
  <si>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</si>
  <si>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</si>
  <si>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</si>
  <si>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</si>
  <si>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</si>
  <si>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</si>
  <si>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</si>
  <si>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</si>
  <si>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</si>
  <si>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</si>
  <si>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</si>
  <si>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</si>
  <si>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</si>
  <si>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</si>
  <si>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</si>
  <si>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</si>
  <si>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</si>
  <si>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</si>
  <si>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</si>
  <si>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</si>
  <si>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</si>
  <si>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</si>
  <si>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</si>
  <si>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</si>
  <si>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</si>
  <si>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</si>
  <si>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</si>
  <si>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</si>
  <si>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</si>
  <si>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</si>
  <si>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rho: The Reserve Decay Parameter</t>
  </si>
  <si>
    <t>k: The Desired Number of Pools</t>
  </si>
  <si>
    <t>tau: Treasury Tax Rate</t>
  </si>
  <si>
    <t>ADA In Circulation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</si>
  <si>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</si>
  <si>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</si>
  <si>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</si>
  <si>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</si>
  <si>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</si>
  <si>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</si>
  <si>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</si>
  <si>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</si>
  <si>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</si>
  <si>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</si>
  <si>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</si>
  <si>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</si>
  <si>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</si>
  <si>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</si>
  <si>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</si>
  <si>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</si>
  <si>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</si>
  <si>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</si>
  <si>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</si>
  <si>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</si>
  <si>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</si>
  <si>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st.deviation</t>
  </si>
  <si>
    <t>3 standard deviations</t>
  </si>
  <si>
    <t>Pool's Stake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</si>
  <si>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</si>
  <si>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</si>
  <si>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</si>
  <si>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</si>
  <si>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</si>
  <si>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</si>
  <si>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</si>
  <si>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</si>
  <si>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</si>
  <si>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</si>
  <si>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</si>
  <si>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</si>
  <si>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</si>
  <si>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</si>
  <si>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d</t>
  </si>
  <si>
    <t>Chart Inputs</t>
  </si>
  <si>
    <t xml:space="preserve">Rewards After Tr.Tax </t>
  </si>
  <si>
    <t>Opt. Rewards</t>
  </si>
  <si>
    <t>Exp. Blocks</t>
  </si>
  <si>
    <t>fixed fee</t>
  </si>
  <si>
    <t>op. fees</t>
  </si>
  <si>
    <t>Pool fees</t>
  </si>
  <si>
    <t>n (number of trials)</t>
  </si>
  <si>
    <t>p (pool probability of success )</t>
  </si>
  <si>
    <t>k factor (number of desired pools)</t>
  </si>
  <si>
    <t>Stakeholder ROS</t>
  </si>
  <si>
    <t>stakeholder ROS</t>
  </si>
  <si>
    <t>Epoch 212</t>
  </si>
  <si>
    <t>Epoch 213</t>
  </si>
  <si>
    <t>Epoch 214</t>
  </si>
  <si>
    <t>Epoch 215</t>
  </si>
  <si>
    <t>Net Stakeholder Returns= f( Pledge Amount, Pool Size)</t>
  </si>
  <si>
    <t>Epoch 211</t>
  </si>
  <si>
    <t>Blocks per Epoch at d=0.1</t>
  </si>
  <si>
    <t>Blocks per Epoch at d=0.2</t>
  </si>
  <si>
    <t>Blocks per Epoch at d=0.3</t>
  </si>
  <si>
    <t>Blocks per Epoch at d=0.4</t>
  </si>
  <si>
    <t>Blocks per Epoch at d=0.5</t>
  </si>
  <si>
    <t>Blocks per Epoch at d=0.6</t>
  </si>
  <si>
    <t>Blocks per Epoch at d=0.72</t>
  </si>
  <si>
    <t>Blocks per Epoch at d=0.70</t>
  </si>
  <si>
    <t>Blocks per Epoch at d=0.74</t>
  </si>
  <si>
    <t>Blocks per Epoch at d=0.76</t>
  </si>
  <si>
    <t>Blocks per Epoch at d=0.78</t>
  </si>
  <si>
    <t>Epoch 216</t>
  </si>
  <si>
    <t>Epoch 217</t>
  </si>
  <si>
    <t>Epoch 218</t>
  </si>
  <si>
    <t>Epoch 219</t>
  </si>
  <si>
    <t>Epoch 220</t>
  </si>
  <si>
    <t>Epoch 221</t>
  </si>
  <si>
    <t>Epoch 222</t>
  </si>
  <si>
    <t>Epoch 223</t>
  </si>
  <si>
    <t>Your Stake</t>
  </si>
  <si>
    <t>Your Rewards</t>
  </si>
  <si>
    <t>Reward Date</t>
  </si>
  <si>
    <t xml:space="preserve">Total ADA </t>
  </si>
  <si>
    <t>Total Stakeholder Rewards</t>
  </si>
  <si>
    <t>REWARDS</t>
  </si>
  <si>
    <t>BLOCK PRODUCTION</t>
  </si>
  <si>
    <t>STAKING/POOL PARAMETERS</t>
  </si>
  <si>
    <t>Epoch Rewards</t>
  </si>
  <si>
    <t>Reward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</si>
</sst>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  <numFmt numFmtId="176" formatCode="0.0000"/>
    <numFmt numFmtId="177" formatCode="0.000"/>
    <numFmt numFmtId="178" formatCode="#,##0.0000000"/>
    <numFmt numFmtId="179" formatCode="#,##0.000000000"/>
    <numFmt numFmtId="180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98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3" fontId="0" fillId="0" borderId="0" xfId="0" applyNumberForma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2" fillId="4" borderId="0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10" fontId="6" fillId="4" borderId="0" xfId="2" applyNumberFormat="1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10" fontId="2" fillId="5" borderId="0" xfId="0" applyNumberFormat="1" applyFont="1" applyFill="1" applyBorder="1" applyAlignment="1">
      <alignment horizontal="center"/>
    </xf>
    <xf numFmtId="175" fontId="0" fillId="4" borderId="0" xfId="0" applyNumberFormat="1" applyFill="1" applyBorder="1" applyAlignment="1">
      <alignment horizontal="center"/>
    </xf>
    <xf numFmtId="175" fontId="0" fillId="4" borderId="7" xfId="0" applyNumberFormat="1" applyFill="1" applyBorder="1" applyAlignment="1">
      <alignment horizontal="center"/>
    </xf>
    <xf numFmtId="4" fontId="18" fillId="0" borderId="0" xfId="0" applyNumberFormat="1" applyFont="1"/>
    <xf numFmtId="178" fontId="0" fillId="4" borderId="0" xfId="0" applyNumberFormat="1" applyFill="1" applyAlignment="1">
      <alignment horizontal="center"/>
    </xf>
    <xf numFmtId="179" fontId="0" fillId="4" borderId="0" xfId="0" applyNumberFormat="1" applyFill="1" applyAlignment="1">
      <alignment horizontal="center"/>
    </xf>
    <xf numFmtId="10" fontId="2" fillId="4" borderId="27" xfId="2" applyNumberFormat="1" applyFont="1" applyFill="1" applyBorder="1" applyAlignment="1">
      <alignment horizontal="center"/>
    </xf>
    <xf numFmtId="10" fontId="2" fillId="4" borderId="26" xfId="2" applyNumberFormat="1" applyFont="1" applyFill="1" applyBorder="1" applyAlignment="1">
      <alignment horizontal="center"/>
    </xf>
    <xf numFmtId="10" fontId="2" fillId="4" borderId="28" xfId="2" applyNumberFormat="1" applyFont="1" applyFill="1" applyBorder="1" applyAlignment="1">
      <alignment horizontal="center"/>
    </xf>
    <xf numFmtId="176" fontId="3" fillId="4" borderId="0" xfId="0" applyNumberFormat="1" applyFont="1" applyFill="1"/>
    <xf numFmtId="177" fontId="3" fillId="4" borderId="0" xfId="0" applyNumberFormat="1" applyFont="1" applyFill="1"/>
    <xf numFmtId="6" fontId="12" fillId="4" borderId="0" xfId="0" applyNumberFormat="1" applyFont="1" applyFill="1" applyAlignment="1">
      <alignment horizontal="center"/>
    </xf>
    <xf numFmtId="22" fontId="0" fillId="4" borderId="0" xfId="0" applyNumberForma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0" fontId="15" fillId="4" borderId="0" xfId="0" applyNumberFormat="1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center"/>
    </xf>
    <xf numFmtId="22" fontId="3" fillId="4" borderId="0" xfId="0" applyNumberFormat="1" applyFont="1" applyFill="1" applyBorder="1" applyAlignment="1">
      <alignment horizontal="center"/>
    </xf>
    <xf numFmtId="9" fontId="5" fillId="4" borderId="0" xfId="0" applyNumberFormat="1" applyFont="1" applyFill="1" applyBorder="1" applyAlignment="1">
      <alignment horizontal="center"/>
    </xf>
    <xf numFmtId="2" fontId="0" fillId="4" borderId="0" xfId="0" applyNumberFormat="1" applyFill="1"/>
    <xf numFmtId="10" fontId="6" fillId="4" borderId="10" xfId="2" applyNumberFormat="1" applyFont="1" applyFill="1" applyBorder="1" applyAlignment="1">
      <alignment horizontal="center"/>
    </xf>
    <xf numFmtId="180" fontId="0" fillId="4" borderId="0" xfId="0" applyNumberFormat="1" applyFill="1" applyAlignment="1">
      <alignment horizontal="center"/>
    </xf>
    <xf numFmtId="15" fontId="0" fillId="0" borderId="0" xfId="0" applyNumberFormat="1"/>
    <xf numFmtId="15" fontId="0" fillId="4" borderId="0" xfId="0" applyNumberFormat="1" applyFill="1"/>
    <xf numFmtId="15" fontId="0" fillId="4" borderId="0" xfId="0" applyNumberFormat="1" applyFill="1" applyAlignment="1">
      <alignment horizontal="left"/>
    </xf>
    <xf numFmtId="3" fontId="15" fillId="2" borderId="0" xfId="0" applyNumberFormat="1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3" fontId="17" fillId="5" borderId="30" xfId="0" applyNumberFormat="1" applyFont="1" applyFill="1" applyBorder="1" applyAlignment="1">
      <alignment horizontal="center"/>
    </xf>
    <xf numFmtId="3" fontId="2" fillId="5" borderId="31" xfId="0" applyNumberFormat="1" applyFont="1" applyFill="1" applyBorder="1" applyAlignment="1">
      <alignment horizontal="center"/>
    </xf>
    <xf numFmtId="3" fontId="17" fillId="5" borderId="17" xfId="0" applyNumberFormat="1" applyFont="1" applyFill="1" applyBorder="1" applyAlignment="1">
      <alignment horizontal="center"/>
    </xf>
    <xf numFmtId="3" fontId="2" fillId="5" borderId="18" xfId="0" applyNumberFormat="1" applyFont="1" applyFill="1" applyBorder="1" applyAlignment="1">
      <alignment horizontal="center"/>
    </xf>
    <xf numFmtId="3" fontId="17" fillId="5" borderId="19" xfId="0" applyNumberFormat="1" applyFont="1" applyFill="1" applyBorder="1" applyAlignment="1">
      <alignment horizontal="center"/>
    </xf>
    <xf numFmtId="3" fontId="2" fillId="5" borderId="32" xfId="0" applyNumberFormat="1" applyFont="1" applyFill="1" applyBorder="1" applyAlignment="1">
      <alignment horizontal="center"/>
    </xf>
    <xf numFmtId="10" fontId="2" fillId="5" borderId="32" xfId="0" applyNumberFormat="1" applyFont="1" applyFill="1" applyBorder="1" applyAlignment="1">
      <alignment horizontal="center"/>
    </xf>
    <xf numFmtId="3" fontId="2" fillId="5" borderId="20" xfId="0" applyNumberFormat="1" applyFont="1" applyFill="1" applyBorder="1" applyAlignment="1">
      <alignment horizontal="center"/>
    </xf>
    <xf numFmtId="3" fontId="0" fillId="4" borderId="30" xfId="0" applyNumberFormat="1" applyFill="1" applyBorder="1" applyAlignment="1">
      <alignment horizontal="center"/>
    </xf>
    <xf numFmtId="2" fontId="0" fillId="4" borderId="31" xfId="0" applyNumberFormat="1" applyFill="1" applyBorder="1" applyAlignment="1">
      <alignment horizontal="center"/>
    </xf>
    <xf numFmtId="3" fontId="0" fillId="4" borderId="17" xfId="0" applyNumberFormat="1" applyFill="1" applyBorder="1" applyAlignment="1">
      <alignment horizontal="center"/>
    </xf>
    <xf numFmtId="2" fontId="0" fillId="4" borderId="18" xfId="0" applyNumberFormat="1" applyFill="1" applyBorder="1" applyAlignment="1">
      <alignment horizontal="center"/>
    </xf>
    <xf numFmtId="3" fontId="0" fillId="4" borderId="19" xfId="0" applyNumberFormat="1" applyFill="1" applyBorder="1" applyAlignment="1">
      <alignment horizontal="center"/>
    </xf>
    <xf numFmtId="3" fontId="0" fillId="4" borderId="32" xfId="0" applyNumberFormat="1" applyFill="1" applyBorder="1" applyAlignment="1">
      <alignment horizontal="center"/>
    </xf>
    <xf numFmtId="2" fontId="0" fillId="4" borderId="20" xfId="0" applyNumberForma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9" fontId="15" fillId="2" borderId="18" xfId="0" applyNumberFormat="1" applyFont="1" applyFill="1" applyBorder="1" applyAlignment="1">
      <alignment horizontal="center"/>
    </xf>
    <xf numFmtId="3" fontId="0" fillId="2" borderId="17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15" fillId="2" borderId="32" xfId="0" applyNumberFormat="1" applyFont="1" applyFill="1" applyBorder="1" applyAlignment="1">
      <alignment horizontal="center"/>
    </xf>
    <xf numFmtId="0" fontId="15" fillId="2" borderId="32" xfId="0" applyFont="1" applyFill="1" applyBorder="1" applyAlignment="1">
      <alignment horizontal="center"/>
    </xf>
    <xf numFmtId="9" fontId="15" fillId="2" borderId="20" xfId="0" applyNumberFormat="1" applyFont="1" applyFill="1" applyBorder="1" applyAlignment="1">
      <alignment horizontal="center"/>
    </xf>
    <xf numFmtId="4" fontId="17" fillId="5" borderId="17" xfId="0" applyNumberFormat="1" applyFont="1" applyFill="1" applyBorder="1" applyAlignment="1">
      <alignment horizontal="center"/>
    </xf>
    <xf numFmtId="4" fontId="17" fillId="5" borderId="19" xfId="0" applyNumberFormat="1" applyFont="1" applyFill="1" applyBorder="1" applyAlignment="1">
      <alignment horizontal="center"/>
    </xf>
    <xf numFmtId="0" fontId="0" fillId="4" borderId="15" xfId="0" applyFill="1" applyBorder="1"/>
    <xf numFmtId="3" fontId="0" fillId="4" borderId="16" xfId="0" applyNumberFormat="1" applyFill="1" applyBorder="1" applyAlignment="1">
      <alignment horizontal="center"/>
    </xf>
    <xf numFmtId="0" fontId="0" fillId="4" borderId="17" xfId="0" applyFill="1" applyBorder="1"/>
    <xf numFmtId="173" fontId="0" fillId="4" borderId="18" xfId="0" applyNumberForma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0" fillId="4" borderId="19" xfId="0" applyFill="1" applyBorder="1"/>
    <xf numFmtId="166" fontId="0" fillId="4" borderId="20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6" borderId="16" xfId="0" applyNumberFormat="1" applyFill="1" applyBorder="1" applyAlignment="1">
      <alignment horizontal="center"/>
    </xf>
    <xf numFmtId="10" fontId="0" fillId="6" borderId="18" xfId="0" applyNumberFormat="1" applyFill="1" applyBorder="1" applyAlignment="1">
      <alignment horizontal="center"/>
    </xf>
    <xf numFmtId="10" fontId="0" fillId="6" borderId="2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6" borderId="3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0" fontId="2" fillId="7" borderId="3" xfId="0" applyNumberFormat="1" applyFont="1" applyFill="1" applyBorder="1" applyAlignment="1">
      <alignment horizontal="center"/>
    </xf>
    <xf numFmtId="2" fontId="0" fillId="4" borderId="0" xfId="0" applyNumberFormat="1" applyFill="1" applyAlignment="1">
      <alignment horizontal="left"/>
    </xf>
    <xf numFmtId="180" fontId="2" fillId="4" borderId="0" xfId="0" applyNumberFormat="1" applyFont="1" applyFill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3" fontId="2" fillId="8" borderId="7" xfId="0" applyNumberFormat="1" applyFont="1" applyFill="1" applyBorder="1" applyAlignment="1">
      <alignment horizontal="center"/>
    </xf>
    <xf numFmtId="3" fontId="2" fillId="8" borderId="0" xfId="0" applyNumberFormat="1" applyFont="1" applyFill="1" applyBorder="1" applyAlignment="1">
      <alignment horizontal="center"/>
    </xf>
    <xf numFmtId="3" fontId="2" fillId="8" borderId="32" xfId="0" applyNumberFormat="1" applyFont="1" applyFill="1" applyBorder="1" applyAlignment="1">
      <alignment horizontal="center"/>
    </xf>
    <xf numFmtId="3" fontId="15" fillId="8" borderId="1" xfId="0" applyNumberFormat="1" applyFont="1" applyFill="1" applyBorder="1" applyAlignment="1">
      <alignment horizontal="center"/>
    </xf>
    <xf numFmtId="3" fontId="15" fillId="8" borderId="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Distribution</a:t>
            </a:r>
            <a:r>
              <a:rPr lang="en-US"/>
              <a:t> </a:t>
            </a:r>
            <a:br>
              <a:rPr lang="en-US"/>
            </a:br>
            <a:r>
              <a:rPr lang="en-US"/>
              <a:t>EPOCH 214: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49955352277951681"/>
          <c:y val="2.6974730835050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SKY!$C$38:$C$85</c15:sqref>
                  </c15:fullRef>
                </c:ext>
              </c:extLst>
              <c:f>(SKY!$C$38:$C$47,SKY!$C$50:$C$85)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SKY!$D$38:$D$85</c15:sqref>
                  </c15:fullRef>
                </c:ext>
              </c:extLst>
              <c:f>(SKY!$D$38:$D$47,SKY!$D$50:$D$85)</c:f>
              <c:numCache>
                <c:formatCode>0.00%</c:formatCode>
                <c:ptCount val="46"/>
                <c:pt idx="0">
                  <c:v>2.7456245281221036E-13</c:v>
                </c:pt>
                <c:pt idx="1">
                  <c:v>7.9415997666695762E-12</c:v>
                </c:pt>
                <c:pt idx="2">
                  <c:v>1.1485339713225773E-10</c:v>
                </c:pt>
                <c:pt idx="3">
                  <c:v>1.1073564256485668E-9</c:v>
                </c:pt>
                <c:pt idx="4">
                  <c:v>8.0073953765088586E-9</c:v>
                </c:pt>
                <c:pt idx="5">
                  <c:v>4.6321658181536908E-8</c:v>
                </c:pt>
                <c:pt idx="6">
                  <c:v>2.2330305807543394E-7</c:v>
                </c:pt>
                <c:pt idx="7">
                  <c:v>9.22693473830937E-7</c:v>
                </c:pt>
                <c:pt idx="8">
                  <c:v>3.3360094698685551E-6</c:v>
                </c:pt>
                <c:pt idx="9">
                  <c:v>1.0721204326044631E-5</c:v>
                </c:pt>
                <c:pt idx="10">
                  <c:v>1.9653505855205203E-4</c:v>
                </c:pt>
                <c:pt idx="11">
                  <c:v>4.3727179610843529E-4</c:v>
                </c:pt>
                <c:pt idx="12">
                  <c:v>9.0339402037942012E-4</c:v>
                </c:pt>
                <c:pt idx="13">
                  <c:v>1.7419622055561638E-3</c:v>
                </c:pt>
                <c:pt idx="14">
                  <c:v>3.1489844472173669E-3</c:v>
                </c:pt>
                <c:pt idx="15">
                  <c:v>5.3576255760580255E-3</c:v>
                </c:pt>
                <c:pt idx="16">
                  <c:v>8.6089386629740229E-3</c:v>
                </c:pt>
                <c:pt idx="17">
                  <c:v>1.3105233604497205E-2</c:v>
                </c:pt>
                <c:pt idx="18">
                  <c:v>1.8952326079207864E-2</c:v>
                </c:pt>
                <c:pt idx="19">
                  <c:v>2.6102972668068141E-2</c:v>
                </c:pt>
                <c:pt idx="20">
                  <c:v>3.4317293251440326E-2</c:v>
                </c:pt>
                <c:pt idx="21">
                  <c:v>4.3154880924521681E-2</c:v>
                </c:pt>
                <c:pt idx="22">
                  <c:v>5.2007072551307321E-2</c:v>
                </c:pt>
                <c:pt idx="23">
                  <c:v>6.0167937092457137E-2</c:v>
                </c:pt>
                <c:pt idx="24">
                  <c:v>6.6931951897153064E-2</c:v>
                </c:pt>
                <c:pt idx="25">
                  <c:v>7.1698560663301297E-2</c:v>
                </c:pt>
                <c:pt idx="26">
                  <c:v>7.4061433177320862E-2</c:v>
                </c:pt>
                <c:pt idx="27">
                  <c:v>7.3863998635052538E-2</c:v>
                </c:pt>
                <c:pt idx="28">
                  <c:v>7.121135588521478E-2</c:v>
                </c:pt>
                <c:pt idx="29">
                  <c:v>6.6439178036528657E-2</c:v>
                </c:pt>
                <c:pt idx="30">
                  <c:v>6.0049577610847123E-2</c:v>
                </c:pt>
                <c:pt idx="31">
                  <c:v>5.2629675953768849E-2</c:v>
                </c:pt>
                <c:pt idx="32">
                  <c:v>4.4769830753247017E-2</c:v>
                </c:pt>
                <c:pt idx="33">
                  <c:v>3.6995600109682836E-2</c:v>
                </c:pt>
                <c:pt idx="34">
                  <c:v>2.9722082717915117E-2</c:v>
                </c:pt>
                <c:pt idx="35">
                  <c:v>2.3233154039180019E-2</c:v>
                </c:pt>
                <c:pt idx="36">
                  <c:v>1.7682929981981402E-2</c:v>
                </c:pt>
                <c:pt idx="37">
                  <c:v>1.3113489320134073E-2</c:v>
                </c:pt>
                <c:pt idx="38">
                  <c:v>9.4816935948932764E-3</c:v>
                </c:pt>
                <c:pt idx="39">
                  <c:v>6.6884994532029254E-3</c:v>
                </c:pt>
                <c:pt idx="40">
                  <c:v>4.6057995808687861E-3</c:v>
                </c:pt>
                <c:pt idx="41">
                  <c:v>3.0978558509920655E-3</c:v>
                </c:pt>
                <c:pt idx="42">
                  <c:v>2.0362549285323716E-3</c:v>
                </c:pt>
                <c:pt idx="43">
                  <c:v>1.3087064682174437E-3</c:v>
                </c:pt>
                <c:pt idx="44">
                  <c:v>8.2282224814498228E-4</c:v>
                </c:pt>
                <c:pt idx="45">
                  <c:v>5.063243005297962E-4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55486045730679234"/>
              <c:y val="0.9630321905591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Probatility of Block Production  </a:t>
            </a:r>
          </a:p>
          <a:p>
            <a:pPr>
              <a:defRPr/>
            </a:pPr>
            <a:r>
              <a:rPr lang="en-US"/>
              <a:t>Epoch</a:t>
            </a:r>
            <a:r>
              <a:rPr lang="en-US" baseline="0"/>
              <a:t> 214: SKY2</a:t>
            </a:r>
            <a:endParaRPr lang="en-US"/>
          </a:p>
        </c:rich>
      </c:tx>
      <c:layout>
        <c:manualLayout>
          <c:xMode val="edge"/>
          <c:yMode val="edge"/>
          <c:x val="0.31701609838117972"/>
          <c:y val="1.8397131341485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'SKY2'!$C$38:$C$52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'SKY2'!$D$38:$D$52</c:f>
              <c:numCache>
                <c:formatCode>0.00%</c:formatCode>
                <c:ptCount val="15"/>
                <c:pt idx="0">
                  <c:v>1.2565512580495753E-2</c:v>
                </c:pt>
                <c:pt idx="1">
                  <c:v>5.4997005448830051E-2</c:v>
                </c:pt>
                <c:pt idx="2">
                  <c:v>0.1203557589636734</c:v>
                </c:pt>
                <c:pt idx="3">
                  <c:v>0.17559107768575449</c:v>
                </c:pt>
                <c:pt idx="4">
                  <c:v>0.19213136615003229</c:v>
                </c:pt>
                <c:pt idx="5">
                  <c:v>0.16818338104401748</c:v>
                </c:pt>
                <c:pt idx="6">
                  <c:v>0.12268335266967945</c:v>
                </c:pt>
                <c:pt idx="7">
                  <c:v>7.6707953736580986E-2</c:v>
                </c:pt>
                <c:pt idx="8">
                  <c:v>4.1966447487756575E-2</c:v>
                </c:pt>
                <c:pt idx="9">
                  <c:v>2.0408471954843268E-2</c:v>
                </c:pt>
                <c:pt idx="10">
                  <c:v>8.9322377633105042E-3</c:v>
                </c:pt>
                <c:pt idx="11">
                  <c:v>3.553991380985643E-3</c:v>
                </c:pt>
                <c:pt idx="12">
                  <c:v>1.2962324797785505E-3</c:v>
                </c:pt>
                <c:pt idx="13">
                  <c:v>4.3640158268549447E-4</c:v>
                </c:pt>
                <c:pt idx="14">
                  <c:v>1.3642816752477242E-4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D-42C2-AD46-15641D9DC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9876656"/>
        <c:axId val="1119673408"/>
      </c:barChart>
      <c:catAx>
        <c:axId val="14498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</a:t>
                </a:r>
              </a:p>
            </c:rich>
          </c:tx>
          <c:layout>
            <c:manualLayout>
              <c:xMode val="edge"/>
              <c:yMode val="edge"/>
              <c:x val="0.38111781018708735"/>
              <c:y val="0.96689524650727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73408"/>
        <c:crosses val="autoZero"/>
        <c:auto val="1"/>
        <c:lblAlgn val="ctr"/>
        <c:lblOffset val="100"/>
        <c:noMultiLvlLbl val="0"/>
      </c:catAx>
      <c:valAx>
        <c:axId val="11196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6.9383078554574647E-3"/>
              <c:y val="0.38695952177373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119002804.07398814</c:v>
                </c:pt>
                <c:pt idx="1">
                  <c:v>158432638.18680978</c:v>
                </c:pt>
                <c:pt idx="2">
                  <c:v>197744182.79729295</c:v>
                </c:pt>
                <c:pt idx="3">
                  <c:v>236937792.77394468</c:v>
                </c:pt>
                <c:pt idx="4">
                  <c:v>276013821.92066646</c:v>
                </c:pt>
                <c:pt idx="5">
                  <c:v>314972622.97994804</c:v>
                </c:pt>
                <c:pt idx="6">
                  <c:v>353814547.63605177</c:v>
                </c:pt>
                <c:pt idx="7">
                  <c:v>392539946.51818722</c:v>
                </c:pt>
                <c:pt idx="8">
                  <c:v>431149169.20367628</c:v>
                </c:pt>
                <c:pt idx="9">
                  <c:v>469642564.22110885</c:v>
                </c:pt>
                <c:pt idx="10">
                  <c:v>508020479.05348915</c:v>
                </c:pt>
                <c:pt idx="11">
                  <c:v>546283260.14137232</c:v>
                </c:pt>
                <c:pt idx="12">
                  <c:v>584431252.88599181</c:v>
                </c:pt>
                <c:pt idx="13">
                  <c:v>622464801.65237749</c:v>
                </c:pt>
                <c:pt idx="14">
                  <c:v>660384249.77246392</c:v>
                </c:pt>
                <c:pt idx="15">
                  <c:v>698189939.54819012</c:v>
                </c:pt>
                <c:pt idx="16">
                  <c:v>735882212.2545892</c:v>
                </c:pt>
                <c:pt idx="17">
                  <c:v>773461408.142869</c:v>
                </c:pt>
                <c:pt idx="18">
                  <c:v>810927866.44348395</c:v>
                </c:pt>
                <c:pt idx="19">
                  <c:v>848281925.36919713</c:v>
                </c:pt>
                <c:pt idx="20">
                  <c:v>885523922.11813319</c:v>
                </c:pt>
                <c:pt idx="21">
                  <c:v>922654192.87682235</c:v>
                </c:pt>
                <c:pt idx="22">
                  <c:v>959673072.82323551</c:v>
                </c:pt>
                <c:pt idx="23">
                  <c:v>996580896.12980938</c:v>
                </c:pt>
                <c:pt idx="24">
                  <c:v>1033377995.9664636</c:v>
                </c:pt>
                <c:pt idx="25">
                  <c:v>1070064704.5036077</c:v>
                </c:pt>
                <c:pt idx="26">
                  <c:v>1106641352.9151406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39786842.525043599</c:v>
                </c:pt>
                <c:pt idx="1">
                  <c:v>39667481.997468472</c:v>
                </c:pt>
                <c:pt idx="2">
                  <c:v>39548479.551476061</c:v>
                </c:pt>
                <c:pt idx="3">
                  <c:v>39429834.112821639</c:v>
                </c:pt>
                <c:pt idx="4">
                  <c:v>39311544.61048317</c:v>
                </c:pt>
                <c:pt idx="5">
                  <c:v>39193609.976651721</c:v>
                </c:pt>
                <c:pt idx="6">
                  <c:v>39076029.146721765</c:v>
                </c:pt>
                <c:pt idx="7">
                  <c:v>38958801.059281603</c:v>
                </c:pt>
                <c:pt idx="8">
                  <c:v>38841924.65610376</c:v>
                </c:pt>
                <c:pt idx="9">
                  <c:v>38725398.882135451</c:v>
                </c:pt>
                <c:pt idx="10">
                  <c:v>38609222.685489044</c:v>
                </c:pt>
                <c:pt idx="11">
                  <c:v>38493395.01743257</c:v>
                </c:pt>
                <c:pt idx="12">
                  <c:v>38377914.832380272</c:v>
                </c:pt>
                <c:pt idx="13">
                  <c:v>38262781.08788313</c:v>
                </c:pt>
                <c:pt idx="14">
                  <c:v>38147992.744619481</c:v>
                </c:pt>
                <c:pt idx="15">
                  <c:v>38033548.766385622</c:v>
                </c:pt>
                <c:pt idx="16">
                  <c:v>37919448.120086469</c:v>
                </c:pt>
                <c:pt idx="17">
                  <c:v>37805689.775726207</c:v>
                </c:pt>
                <c:pt idx="18">
                  <c:v>37692272.706399031</c:v>
                </c:pt>
                <c:pt idx="19">
                  <c:v>37579195.888279825</c:v>
                </c:pt>
                <c:pt idx="20">
                  <c:v>37466458.30061499</c:v>
                </c:pt>
                <c:pt idx="21">
                  <c:v>37354058.925713144</c:v>
                </c:pt>
                <c:pt idx="22">
                  <c:v>37241996.748936005</c:v>
                </c:pt>
                <c:pt idx="23">
                  <c:v>37130270.758689202</c:v>
                </c:pt>
                <c:pt idx="24">
                  <c:v>37018879.94641313</c:v>
                </c:pt>
                <c:pt idx="25">
                  <c:v>36907823.30657389</c:v>
                </c:pt>
                <c:pt idx="26">
                  <c:v>36797099.836654171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13262280841.6812</c:v>
                      </c:pt>
                      <c:pt idx="1">
                        <c:v>13222493999.156157</c:v>
                      </c:pt>
                      <c:pt idx="2">
                        <c:v>13182826517.158688</c:v>
                      </c:pt>
                      <c:pt idx="3">
                        <c:v>13143278037.607212</c:v>
                      </c:pt>
                      <c:pt idx="4">
                        <c:v>13103848203.49439</c:v>
                      </c:pt>
                      <c:pt idx="5">
                        <c:v>13064536658.883907</c:v>
                      </c:pt>
                      <c:pt idx="6">
                        <c:v>13025343048.907255</c:v>
                      </c:pt>
                      <c:pt idx="7">
                        <c:v>12986267019.760534</c:v>
                      </c:pt>
                      <c:pt idx="8">
                        <c:v>12947308218.701252</c:v>
                      </c:pt>
                      <c:pt idx="9">
                        <c:v>12908466294.045149</c:v>
                      </c:pt>
                      <c:pt idx="10">
                        <c:v>12869740895.163013</c:v>
                      </c:pt>
                      <c:pt idx="11">
                        <c:v>12831131672.477524</c:v>
                      </c:pt>
                      <c:pt idx="12">
                        <c:v>12792638277.460091</c:v>
                      </c:pt>
                      <c:pt idx="13">
                        <c:v>12754260362.62771</c:v>
                      </c:pt>
                      <c:pt idx="14">
                        <c:v>12715997581.539827</c:v>
                      </c:pt>
                      <c:pt idx="15">
                        <c:v>12677849588.795208</c:v>
                      </c:pt>
                      <c:pt idx="16">
                        <c:v>12639816040.028822</c:v>
                      </c:pt>
                      <c:pt idx="17">
                        <c:v>12601896591.908735</c:v>
                      </c:pt>
                      <c:pt idx="18">
                        <c:v>12564090902.133009</c:v>
                      </c:pt>
                      <c:pt idx="19">
                        <c:v>12526398629.426609</c:v>
                      </c:pt>
                      <c:pt idx="20">
                        <c:v>12488819433.53833</c:v>
                      </c:pt>
                      <c:pt idx="21">
                        <c:v>12451352975.237715</c:v>
                      </c:pt>
                      <c:pt idx="22">
                        <c:v>12413998916.312002</c:v>
                      </c:pt>
                      <c:pt idx="23">
                        <c:v>12376756919.563066</c:v>
                      </c:pt>
                      <c:pt idx="24">
                        <c:v>12339626648.804377</c:v>
                      </c:pt>
                      <c:pt idx="25">
                        <c:v>12302607768.857964</c:v>
                      </c:pt>
                      <c:pt idx="26">
                        <c:v>12265699945.55139</c:v>
                      </c:pt>
                      <c:pt idx="27">
                        <c:v>12228902845.714735</c:v>
                      </c:pt>
                      <c:pt idx="28">
                        <c:v>12192216137.177591</c:v>
                      </c:pt>
                      <c:pt idx="29">
                        <c:v>12155639488.766058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406215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178742</xdr:colOff>
      <xdr:row>36</xdr:row>
      <xdr:rowOff>150516</xdr:rowOff>
    </xdr:from>
    <xdr:to>
      <xdr:col>24</xdr:col>
      <xdr:colOff>9407</xdr:colOff>
      <xdr:row>75</xdr:row>
      <xdr:rowOff>65851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122297</xdr:colOff>
      <xdr:row>36</xdr:row>
      <xdr:rowOff>175918</xdr:rowOff>
    </xdr:from>
    <xdr:to>
      <xdr:col>19</xdr:col>
      <xdr:colOff>305741</xdr:colOff>
      <xdr:row>68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8ECF6-C990-4F53-8CC7-2C3C13EF9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39.667M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31.733M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4752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lley_rewards_priv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Y"/>
      <sheetName val="SKY2"/>
      <sheetName val="rho"/>
      <sheetName val="Epoch Start Times"/>
      <sheetName val="Rewards_SKY"/>
      <sheetName val="Rewards_SKY2"/>
      <sheetName val="Revenue"/>
      <sheetName val="Reward mechanism"/>
      <sheetName val="2020 Distributions Graph"/>
    </sheetNames>
    <sheetDataSet>
      <sheetData sheetId="0"/>
      <sheetData sheetId="1"/>
      <sheetData sheetId="2"/>
      <sheetData sheetId="3"/>
      <sheetData sheetId="4">
        <row r="28">
          <cell r="C28">
            <v>150</v>
          </cell>
        </row>
        <row r="30">
          <cell r="C30">
            <v>0.2</v>
          </cell>
        </row>
        <row r="32">
          <cell r="C32">
            <v>31744610633.902542</v>
          </cell>
        </row>
        <row r="34">
          <cell r="C34">
            <v>12100000000</v>
          </cell>
        </row>
        <row r="36">
          <cell r="C36">
            <v>211630737.55935028</v>
          </cell>
        </row>
        <row r="39">
          <cell r="C39">
            <v>0.12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opLeftCell="A44" zoomScale="85" zoomScaleNormal="85" workbookViewId="0">
      <selection activeCell="C66" sqref="C66"/>
    </sheetView>
  </sheetViews>
  <sheetFormatPr defaultRowHeight="14.4" x14ac:dyDescent="0.3"/>
  <cols>
    <col min="1" max="1" width="4.6640625" style="6" bestFit="1" customWidth="1"/>
    <col min="2" max="2" width="40.88671875" bestFit="1" customWidth="1"/>
    <col min="3" max="3" width="14.88671875" bestFit="1" customWidth="1"/>
    <col min="4" max="4" width="41" style="6" bestFit="1" customWidth="1"/>
    <col min="5" max="5" width="10.44140625" customWidth="1"/>
    <col min="6" max="6" width="12" customWidth="1"/>
    <col min="7" max="24" width="13.109375" customWidth="1"/>
    <col min="25" max="25" width="8.109375" bestFit="1" customWidth="1"/>
    <col min="26" max="26" width="15.44140625" style="1" bestFit="1" customWidth="1"/>
    <col min="27" max="27" width="5.33203125" style="6" customWidth="1"/>
    <col min="28" max="28" width="21.109375" bestFit="1" customWidth="1"/>
    <col min="29" max="29" width="2.5546875" customWidth="1"/>
    <col min="30" max="30" width="21.6640625" bestFit="1" customWidth="1"/>
    <col min="31" max="31" width="2" style="6" customWidth="1"/>
    <col min="32" max="32" width="20.6640625" bestFit="1" customWidth="1"/>
    <col min="33" max="33" width="1.6640625" style="6" customWidth="1"/>
    <col min="34" max="34" width="20.6640625" bestFit="1" customWidth="1"/>
    <col min="35" max="35" width="6.6640625" customWidth="1"/>
    <col min="36" max="36" width="11.6640625" customWidth="1"/>
    <col min="37" max="37" width="22.33203125" customWidth="1"/>
    <col min="38" max="38" width="1.88671875" customWidth="1"/>
    <col min="39" max="39" width="20.88671875" customWidth="1"/>
    <col min="41" max="41" width="8.88671875" customWidth="1"/>
    <col min="42" max="42" width="24.88671875" customWidth="1"/>
    <col min="43" max="43" width="1.6640625" customWidth="1"/>
    <col min="44" max="44" width="20.44140625" customWidth="1"/>
    <col min="57" max="57" width="11.33203125" bestFit="1" customWidth="1"/>
  </cols>
  <sheetData>
    <row r="1" spans="1:46" x14ac:dyDescent="0.3">
      <c r="B1" s="6"/>
      <c r="C1" s="6"/>
      <c r="E1" s="17" t="s">
        <v>55</v>
      </c>
      <c r="F1" s="31">
        <f>$C$27</f>
        <v>213</v>
      </c>
      <c r="G1" s="88">
        <v>0</v>
      </c>
      <c r="H1" s="212">
        <v>7.0967118909265596E-4</v>
      </c>
      <c r="I1" s="212">
        <v>1.1827853151544266E-3</v>
      </c>
      <c r="J1" s="213">
        <v>9.4622825212354114E-3</v>
      </c>
      <c r="K1" s="213">
        <v>1.8924565042470826E-2</v>
      </c>
      <c r="L1" s="88">
        <v>0.04</v>
      </c>
      <c r="M1" s="88">
        <v>0.06</v>
      </c>
      <c r="N1" s="88">
        <v>0.08</v>
      </c>
      <c r="O1" s="88">
        <v>0.1</v>
      </c>
      <c r="P1" s="88">
        <v>0.2</v>
      </c>
      <c r="Q1" s="88">
        <v>0.3</v>
      </c>
      <c r="R1" s="88">
        <v>0.4</v>
      </c>
      <c r="S1" s="88">
        <v>0.45</v>
      </c>
      <c r="T1" s="88">
        <v>0.5</v>
      </c>
      <c r="U1" s="88">
        <v>0.75</v>
      </c>
      <c r="V1" s="88">
        <v>0.8</v>
      </c>
      <c r="W1" s="88">
        <v>0.95</v>
      </c>
      <c r="X1" s="88">
        <v>1</v>
      </c>
      <c r="AC1" s="6"/>
    </row>
    <row r="2" spans="1:46" x14ac:dyDescent="0.3">
      <c r="B2" s="6"/>
      <c r="C2" s="6"/>
      <c r="E2" s="17" t="s">
        <v>72</v>
      </c>
      <c r="F2" s="70">
        <f>$C$39</f>
        <v>0.108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7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</row>
    <row r="3" spans="1:46" x14ac:dyDescent="0.3">
      <c r="B3" s="6"/>
      <c r="C3" s="6"/>
      <c r="E3" s="17" t="s">
        <v>71</v>
      </c>
      <c r="F3" s="71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7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</row>
    <row r="4" spans="1:46" x14ac:dyDescent="0.3">
      <c r="B4" s="6"/>
      <c r="C4" s="6"/>
      <c r="E4" s="17" t="s">
        <v>46</v>
      </c>
      <c r="F4" s="100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7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</row>
    <row r="5" spans="1:46" ht="18" x14ac:dyDescent="0.35">
      <c r="B5" s="6"/>
      <c r="C5" s="6"/>
      <c r="E5" s="93" t="s">
        <v>87</v>
      </c>
      <c r="F5" s="101">
        <f>$C$28</f>
        <v>150</v>
      </c>
      <c r="G5" s="5"/>
      <c r="H5" s="5"/>
      <c r="I5" s="5"/>
      <c r="J5" s="5"/>
      <c r="K5" s="5"/>
      <c r="L5" s="5"/>
      <c r="M5" s="5"/>
      <c r="N5" s="5"/>
      <c r="O5" s="214" t="s">
        <v>125</v>
      </c>
      <c r="P5" s="5"/>
      <c r="Q5" s="5"/>
      <c r="R5" s="5"/>
      <c r="S5" s="5"/>
      <c r="T5" s="5"/>
      <c r="U5" s="5"/>
      <c r="V5" s="5"/>
      <c r="W5" s="5"/>
      <c r="X5" s="5"/>
      <c r="Z5" s="107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</row>
    <row r="6" spans="1:46" ht="15" customHeight="1" x14ac:dyDescent="0.3">
      <c r="B6" s="3" t="s">
        <v>26</v>
      </c>
      <c r="C6" s="3" t="s">
        <v>4</v>
      </c>
      <c r="D6" s="17" t="s">
        <v>27</v>
      </c>
      <c r="E6" s="283" t="s">
        <v>28</v>
      </c>
      <c r="F6" s="284" t="s">
        <v>31</v>
      </c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Z6" s="109"/>
      <c r="AA6" s="108"/>
      <c r="AB6" s="109"/>
      <c r="AC6" s="109"/>
      <c r="AD6" s="110"/>
      <c r="AE6" s="110"/>
      <c r="AF6" s="110"/>
      <c r="AG6" s="110"/>
      <c r="AH6" s="110"/>
      <c r="AI6" s="110"/>
      <c r="AJ6" s="109"/>
      <c r="AK6" s="110"/>
      <c r="AL6" s="108"/>
      <c r="AM6" s="110"/>
      <c r="AN6" s="108"/>
      <c r="AO6" s="109"/>
      <c r="AP6" s="110"/>
      <c r="AQ6" s="108"/>
      <c r="AR6" s="110"/>
      <c r="AS6" s="108"/>
      <c r="AT6" s="108"/>
    </row>
    <row r="7" spans="1:46" x14ac:dyDescent="0.3">
      <c r="A7" s="6">
        <v>1</v>
      </c>
      <c r="B7" s="31" t="s">
        <v>0</v>
      </c>
      <c r="C7" s="104">
        <f>nOps</f>
        <v>150</v>
      </c>
      <c r="D7" s="6" t="s">
        <v>1</v>
      </c>
      <c r="E7" s="283"/>
      <c r="F7" s="9">
        <f>C47</f>
        <v>5.3300982113963613E-2</v>
      </c>
      <c r="G7" s="10">
        <v>100000</v>
      </c>
      <c r="H7" s="10">
        <f t="shared" ref="H7:X7" si="0">H1*saturation_point</f>
        <v>150563.01907648364</v>
      </c>
      <c r="I7" s="10">
        <f t="shared" si="0"/>
        <v>250938.36512747276</v>
      </c>
      <c r="J7" s="10">
        <f t="shared" si="0"/>
        <v>2007506.9210197816</v>
      </c>
      <c r="K7" s="10">
        <f t="shared" si="0"/>
        <v>4015013.8420395642</v>
      </c>
      <c r="L7" s="10">
        <f t="shared" si="0"/>
        <v>8486353.7587870639</v>
      </c>
      <c r="M7" s="10">
        <f t="shared" si="0"/>
        <v>12729530.638180595</v>
      </c>
      <c r="N7" s="10">
        <f t="shared" si="0"/>
        <v>16972707.517574128</v>
      </c>
      <c r="O7" s="10">
        <f t="shared" si="0"/>
        <v>21215884.396967661</v>
      </c>
      <c r="P7" s="10">
        <f t="shared" si="0"/>
        <v>42431768.793935321</v>
      </c>
      <c r="Q7" s="10">
        <f t="shared" si="0"/>
        <v>63647653.190902971</v>
      </c>
      <c r="R7" s="10">
        <f t="shared" si="0"/>
        <v>84863537.587870643</v>
      </c>
      <c r="S7" s="10">
        <f t="shared" si="0"/>
        <v>95471479.786354467</v>
      </c>
      <c r="T7" s="10">
        <f t="shared" si="0"/>
        <v>106079421.98483829</v>
      </c>
      <c r="U7" s="10">
        <f t="shared" si="0"/>
        <v>159119132.97725743</v>
      </c>
      <c r="V7" s="10">
        <f t="shared" si="0"/>
        <v>169727075.17574129</v>
      </c>
      <c r="W7" s="10">
        <f t="shared" si="0"/>
        <v>201550901.77119276</v>
      </c>
      <c r="X7" s="11">
        <f t="shared" si="0"/>
        <v>212158843.96967658</v>
      </c>
      <c r="Z7" s="111"/>
      <c r="AA7" s="112"/>
      <c r="AB7" s="113"/>
      <c r="AC7" s="113"/>
      <c r="AD7" s="113"/>
      <c r="AE7" s="114"/>
      <c r="AF7" s="113"/>
      <c r="AG7" s="113"/>
      <c r="AH7" s="113"/>
      <c r="AI7" s="114"/>
      <c r="AJ7" s="115"/>
      <c r="AK7" s="116"/>
      <c r="AL7" s="112"/>
      <c r="AM7" s="116"/>
      <c r="AN7" s="108"/>
      <c r="AO7" s="115"/>
      <c r="AP7" s="116"/>
      <c r="AQ7" s="112"/>
      <c r="AR7" s="116"/>
      <c r="AS7" s="108"/>
      <c r="AT7" s="108"/>
    </row>
    <row r="8" spans="1:46" ht="15" thickBot="1" x14ac:dyDescent="0.35">
      <c r="A8" s="6">
        <v>2</v>
      </c>
      <c r="B8" s="31" t="s">
        <v>37</v>
      </c>
      <c r="C8" s="105">
        <v>0.3</v>
      </c>
      <c r="D8" s="23" t="s">
        <v>35</v>
      </c>
      <c r="E8" s="283"/>
      <c r="F8" s="12">
        <v>150000</v>
      </c>
      <c r="G8" s="13">
        <f t="dataTable" ref="G8:X24" dt2D="1" dtr="1" r1="C42" r2="C43"/>
        <v>-9.9698844825904742E-2</v>
      </c>
      <c r="H8" s="13">
        <v>-9.970109851105935E-2</v>
      </c>
      <c r="I8" s="60">
        <v>-9.9712294473857876E-2</v>
      </c>
      <c r="J8" s="62">
        <v>-0.10135397779468103</v>
      </c>
      <c r="K8" s="60">
        <v>-0.10656020144411371</v>
      </c>
      <c r="L8" s="60">
        <v>-0.13055602169119873</v>
      </c>
      <c r="M8" s="60">
        <v>-0.16805367800939941</v>
      </c>
      <c r="N8" s="60">
        <v>-0.21798260318902807</v>
      </c>
      <c r="O8" s="60">
        <v>-0.27792010408114154</v>
      </c>
      <c r="P8" s="60">
        <v>-0.63012787460399777</v>
      </c>
      <c r="Q8" s="60">
        <v>-0.88050063269143053</v>
      </c>
      <c r="R8" s="60">
        <v>-0.97617108746943348</v>
      </c>
      <c r="S8" s="60">
        <v>-0.99120579986655422</v>
      </c>
      <c r="T8" s="60">
        <v>-0.99716067794826668</v>
      </c>
      <c r="U8" s="60">
        <v>-0.99999895826724572</v>
      </c>
      <c r="V8" s="60">
        <v>-0.99999987271775781</v>
      </c>
      <c r="W8" s="60">
        <v>-0.99999999993676636</v>
      </c>
      <c r="X8" s="61">
        <v>-0.9999999999969772</v>
      </c>
      <c r="Z8" s="111"/>
      <c r="AA8" s="112"/>
      <c r="AB8" s="113"/>
      <c r="AC8" s="113"/>
      <c r="AD8" s="113"/>
      <c r="AE8" s="114"/>
      <c r="AF8" s="113"/>
      <c r="AG8" s="113"/>
      <c r="AH8" s="113"/>
      <c r="AI8" s="114"/>
      <c r="AJ8" s="115"/>
      <c r="AK8" s="116"/>
      <c r="AL8" s="112"/>
      <c r="AM8" s="116"/>
      <c r="AN8" s="108"/>
      <c r="AO8" s="115"/>
      <c r="AP8" s="116"/>
      <c r="AQ8" s="112"/>
      <c r="AR8" s="116"/>
      <c r="AS8" s="108"/>
      <c r="AT8" s="108"/>
    </row>
    <row r="9" spans="1:46" ht="15" thickBot="1" x14ac:dyDescent="0.35">
      <c r="A9" s="6">
        <v>3</v>
      </c>
      <c r="B9" s="31" t="s">
        <v>2</v>
      </c>
      <c r="C9" s="106">
        <v>1</v>
      </c>
      <c r="D9" s="6" t="s">
        <v>11</v>
      </c>
      <c r="E9" s="283"/>
      <c r="F9" s="12">
        <v>250000</v>
      </c>
      <c r="G9" s="13">
        <v>-4.1210055986598992E-2</v>
      </c>
      <c r="H9" s="13">
        <v>-4.1210059824442147E-2</v>
      </c>
      <c r="I9" s="201">
        <v>-4.1214357018875103E-2</v>
      </c>
      <c r="J9" s="62">
        <v>-4.2212573956571631E-2</v>
      </c>
      <c r="K9" s="60">
        <v>-4.5484535297705464E-2</v>
      </c>
      <c r="L9" s="60">
        <v>-6.0803383931854804E-2</v>
      </c>
      <c r="M9" s="60">
        <v>-8.5166129898076592E-2</v>
      </c>
      <c r="N9" s="60">
        <v>-0.11834071395946377</v>
      </c>
      <c r="O9" s="60">
        <v>-0.15933078087764818</v>
      </c>
      <c r="P9" s="60">
        <v>-0.43591515500802769</v>
      </c>
      <c r="Q9" s="60">
        <v>-0.71162322664510513</v>
      </c>
      <c r="R9" s="60">
        <v>-0.88852187367151358</v>
      </c>
      <c r="S9" s="60">
        <v>-0.93779063550722075</v>
      </c>
      <c r="T9" s="60">
        <v>-0.9677700588750926</v>
      </c>
      <c r="U9" s="60">
        <v>-0.99963547000275033</v>
      </c>
      <c r="V9" s="60">
        <v>-0.99988523112989325</v>
      </c>
      <c r="W9" s="60">
        <v>-0.99999801355527684</v>
      </c>
      <c r="X9" s="61">
        <v>-0.99999958514223719</v>
      </c>
      <c r="Z9" s="111"/>
      <c r="AA9" s="112"/>
      <c r="AB9" s="113"/>
      <c r="AC9" s="113"/>
      <c r="AD9" s="113"/>
      <c r="AE9" s="114"/>
      <c r="AF9" s="113"/>
      <c r="AG9" s="113"/>
      <c r="AH9" s="113"/>
      <c r="AI9" s="114"/>
      <c r="AJ9" s="115"/>
      <c r="AK9" s="116"/>
      <c r="AL9" s="112"/>
      <c r="AM9" s="116"/>
      <c r="AN9" s="108"/>
      <c r="AO9" s="115"/>
      <c r="AP9" s="116"/>
      <c r="AQ9" s="112"/>
      <c r="AR9" s="116"/>
      <c r="AS9" s="108"/>
      <c r="AT9" s="108"/>
    </row>
    <row r="10" spans="1:46" x14ac:dyDescent="0.3">
      <c r="A10" s="6">
        <v>4</v>
      </c>
      <c r="B10" s="32" t="s">
        <v>3</v>
      </c>
      <c r="C10" s="128">
        <f>C42/C32</f>
        <v>7.8557491900025622E-6</v>
      </c>
      <c r="D10" s="6" t="s">
        <v>50</v>
      </c>
      <c r="E10" s="283"/>
      <c r="F10" s="12">
        <v>2000000</v>
      </c>
      <c r="G10" s="13">
        <v>4.1275851490998106E-2</v>
      </c>
      <c r="H10" s="13">
        <v>4.1279256199889813E-2</v>
      </c>
      <c r="I10" s="13">
        <v>4.1285438229865523E-2</v>
      </c>
      <c r="J10" s="13">
        <v>4.126942568623404E-2</v>
      </c>
      <c r="K10" s="60">
        <v>4.0963455937579107E-2</v>
      </c>
      <c r="L10" s="60">
        <v>3.9180877322618546E-2</v>
      </c>
      <c r="M10" s="60">
        <v>3.6090089345646392E-2</v>
      </c>
      <c r="N10" s="60">
        <v>3.1648915377739284E-2</v>
      </c>
      <c r="O10" s="60">
        <v>2.5874570608434011E-2</v>
      </c>
      <c r="P10" s="60">
        <v>-2.2044173268375711E-2</v>
      </c>
      <c r="Q10" s="60">
        <v>-9.7993803558025894E-2</v>
      </c>
      <c r="R10" s="60">
        <v>-0.19514538142037896</v>
      </c>
      <c r="S10" s="60">
        <v>-0.24914214621617936</v>
      </c>
      <c r="T10" s="60">
        <v>-0.30533472751385105</v>
      </c>
      <c r="U10" s="60">
        <v>-0.58497061210348245</v>
      </c>
      <c r="V10" s="60">
        <v>-0.63501574712567899</v>
      </c>
      <c r="W10" s="60">
        <v>-0.76428316153651099</v>
      </c>
      <c r="X10" s="61">
        <v>-0.79976867845080213</v>
      </c>
      <c r="Z10" s="111"/>
      <c r="AA10" s="112"/>
      <c r="AB10" s="113"/>
      <c r="AC10" s="113"/>
      <c r="AD10" s="113"/>
      <c r="AE10" s="114"/>
      <c r="AF10" s="113"/>
      <c r="AG10" s="113"/>
      <c r="AH10" s="113"/>
      <c r="AI10" s="114"/>
      <c r="AJ10" s="115"/>
      <c r="AK10" s="116"/>
      <c r="AL10" s="112"/>
      <c r="AM10" s="116"/>
      <c r="AN10" s="108"/>
      <c r="AO10" s="115"/>
      <c r="AP10" s="116"/>
      <c r="AQ10" s="112"/>
      <c r="AR10" s="116"/>
      <c r="AS10" s="108"/>
      <c r="AT10" s="108"/>
    </row>
    <row r="11" spans="1:46" ht="19.5" customHeight="1" x14ac:dyDescent="0.3">
      <c r="A11" s="6">
        <v>5</v>
      </c>
      <c r="B11" s="32" t="s">
        <v>5</v>
      </c>
      <c r="C11" s="129">
        <f>C43/C32</f>
        <v>2.379663544635576E-3</v>
      </c>
      <c r="D11" s="6" t="s">
        <v>36</v>
      </c>
      <c r="E11" s="283"/>
      <c r="F11" s="12">
        <f t="shared" ref="F11:F24" si="1">Y68*$C$36</f>
        <v>9929058.6900923289</v>
      </c>
      <c r="G11" s="13">
        <v>5.1119690828626663E-2</v>
      </c>
      <c r="H11" s="13">
        <v>5.1123519797477313E-2</v>
      </c>
      <c r="I11" s="13">
        <v>5.1131008071222173E-2</v>
      </c>
      <c r="J11" s="13">
        <v>5.1237760876686078E-2</v>
      </c>
      <c r="K11" s="13">
        <v>5.1303478259944857E-2</v>
      </c>
      <c r="L11" s="60">
        <v>5.1234029606883169E-2</v>
      </c>
      <c r="M11" s="60">
        <v>5.0892708387957786E-2</v>
      </c>
      <c r="N11" s="60">
        <v>5.0283441227365167E-2</v>
      </c>
      <c r="O11" s="60">
        <v>4.9406687916264902E-2</v>
      </c>
      <c r="P11" s="60">
        <v>4.1040778464821459E-2</v>
      </c>
      <c r="Q11" s="60">
        <v>2.6171211790901427E-2</v>
      </c>
      <c r="R11" s="60">
        <v>5.074939294840819E-3</v>
      </c>
      <c r="S11" s="60">
        <v>-7.6908607253941552E-3</v>
      </c>
      <c r="T11" s="60">
        <v>-2.1859533925569941E-2</v>
      </c>
      <c r="U11" s="60">
        <v>-0.11132746915930514</v>
      </c>
      <c r="V11" s="60">
        <v>-0.13239929575809983</v>
      </c>
      <c r="W11" s="60">
        <v>-0.20041906315309621</v>
      </c>
      <c r="X11" s="61">
        <v>-0.22439003462478413</v>
      </c>
      <c r="Z11" s="111"/>
      <c r="AA11" s="112"/>
      <c r="AB11" s="113"/>
      <c r="AC11" s="113"/>
      <c r="AD11" s="113"/>
      <c r="AE11" s="114"/>
      <c r="AF11" s="113"/>
      <c r="AG11" s="113"/>
      <c r="AH11" s="113"/>
      <c r="AI11" s="114"/>
      <c r="AJ11" s="115"/>
      <c r="AK11" s="116"/>
      <c r="AL11" s="112"/>
      <c r="AM11" s="116"/>
      <c r="AN11" s="108"/>
      <c r="AO11" s="115"/>
      <c r="AP11" s="116"/>
      <c r="AQ11" s="112"/>
      <c r="AR11" s="116"/>
      <c r="AS11" s="108"/>
      <c r="AT11" s="108"/>
    </row>
    <row r="12" spans="1:46" x14ac:dyDescent="0.3">
      <c r="A12" s="6">
        <v>6</v>
      </c>
      <c r="B12" s="31" t="s">
        <v>38</v>
      </c>
      <c r="C12" s="94">
        <f>1/C7</f>
        <v>6.6666666666666671E-3</v>
      </c>
      <c r="D12" s="6" t="s">
        <v>8</v>
      </c>
      <c r="E12" s="283"/>
      <c r="F12" s="12">
        <v>11000000</v>
      </c>
      <c r="G12" s="13">
        <v>5.1362580444856087E-2</v>
      </c>
      <c r="H12" s="13">
        <v>5.1366419927723062E-2</v>
      </c>
      <c r="I12" s="13">
        <v>5.1373940577577493E-2</v>
      </c>
      <c r="J12" s="13">
        <v>5.1483737041102318E-2</v>
      </c>
      <c r="K12" s="13">
        <v>5.155867195981334E-2</v>
      </c>
      <c r="L12" s="13">
        <v>5.1531751015373883E-2</v>
      </c>
      <c r="M12" s="60">
        <v>5.1258833154909977E-2</v>
      </c>
      <c r="N12" s="60">
        <v>5.0745207372703938E-2</v>
      </c>
      <c r="O12" s="60">
        <v>4.9991221726261026E-2</v>
      </c>
      <c r="P12" s="60">
        <v>4.2639428529967383E-2</v>
      </c>
      <c r="Q12" s="60">
        <v>2.9423425764247613E-2</v>
      </c>
      <c r="R12" s="60">
        <v>1.0564578240011224E-2</v>
      </c>
      <c r="S12" s="60">
        <v>-8.8653680993333595E-4</v>
      </c>
      <c r="T12" s="60">
        <v>-1.3624388134293453E-2</v>
      </c>
      <c r="U12" s="60">
        <v>-9.4645364192519232E-2</v>
      </c>
      <c r="V12" s="60">
        <v>-0.11386743004416677</v>
      </c>
      <c r="W12" s="60">
        <v>-0.17628230118612342</v>
      </c>
      <c r="X12" s="61">
        <v>-0.19841520251247391</v>
      </c>
      <c r="Z12" s="111"/>
      <c r="AA12" s="112"/>
      <c r="AB12" s="113"/>
      <c r="AC12" s="113"/>
      <c r="AD12" s="113"/>
      <c r="AE12" s="114"/>
      <c r="AF12" s="113"/>
      <c r="AG12" s="113"/>
      <c r="AH12" s="113"/>
      <c r="AI12" s="114"/>
      <c r="AJ12" s="115"/>
      <c r="AK12" s="116"/>
      <c r="AL12" s="112"/>
      <c r="AM12" s="116"/>
      <c r="AN12" s="108"/>
      <c r="AO12" s="115"/>
      <c r="AP12" s="116"/>
      <c r="AQ12" s="112"/>
      <c r="AR12" s="116"/>
      <c r="AS12" s="108"/>
      <c r="AT12" s="108"/>
    </row>
    <row r="13" spans="1:46" x14ac:dyDescent="0.3">
      <c r="A13" s="6">
        <v>7</v>
      </c>
      <c r="B13" s="32" t="s">
        <v>6</v>
      </c>
      <c r="C13" s="95">
        <f>MIN(C11,C12)</f>
        <v>2.379663544635576E-3</v>
      </c>
      <c r="D13" s="6" t="s">
        <v>7</v>
      </c>
      <c r="E13" s="283"/>
      <c r="F13" s="12">
        <f t="shared" si="1"/>
        <v>31823826.595451485</v>
      </c>
      <c r="G13" s="13">
        <v>5.2837299248110092E-2</v>
      </c>
      <c r="H13" s="13">
        <v>5.2841202614526406E-2</v>
      </c>
      <c r="I13" s="13">
        <v>5.2848919987724008E-2</v>
      </c>
      <c r="J13" s="13">
        <v>5.2977211151445269E-2</v>
      </c>
      <c r="K13" s="13">
        <v>5.3108158716588694E-2</v>
      </c>
      <c r="L13" s="13">
        <v>5.3339712748225576E-2</v>
      </c>
      <c r="M13" s="13">
        <v>5.3482690492691942E-2</v>
      </c>
      <c r="N13" s="60">
        <v>5.3550886619826876E-2</v>
      </c>
      <c r="O13" s="60">
        <v>5.354428680432255E-2</v>
      </c>
      <c r="P13" s="60">
        <v>5.2389946840020185E-2</v>
      </c>
      <c r="Q13" s="60">
        <v>4.9372584160987776E-2</v>
      </c>
      <c r="R13" s="60">
        <v>4.4508008337352134E-2</v>
      </c>
      <c r="S13" s="60">
        <v>4.1390591238047891E-2</v>
      </c>
      <c r="T13" s="60">
        <v>3.7821646614560445E-2</v>
      </c>
      <c r="U13" s="60">
        <v>1.3386285568000922E-2</v>
      </c>
      <c r="V13" s="60">
        <v>7.2252441672930878E-3</v>
      </c>
      <c r="W13" s="60">
        <v>-1.3668867674458518E-2</v>
      </c>
      <c r="X13" s="61">
        <v>-2.1407829725514027E-2</v>
      </c>
      <c r="Z13" s="111"/>
      <c r="AA13" s="112"/>
      <c r="AB13" s="113"/>
      <c r="AC13" s="113"/>
      <c r="AD13" s="113"/>
      <c r="AE13" s="114"/>
      <c r="AF13" s="113"/>
      <c r="AG13" s="113"/>
      <c r="AH13" s="113"/>
      <c r="AI13" s="114"/>
      <c r="AJ13" s="115"/>
      <c r="AK13" s="116"/>
      <c r="AL13" s="112"/>
      <c r="AM13" s="116"/>
      <c r="AN13" s="108"/>
      <c r="AO13" s="115"/>
      <c r="AP13" s="116"/>
      <c r="AQ13" s="112"/>
      <c r="AR13" s="116"/>
      <c r="AS13" s="108"/>
      <c r="AT13" s="108"/>
    </row>
    <row r="14" spans="1:46" x14ac:dyDescent="0.3">
      <c r="A14" s="6">
        <v>8</v>
      </c>
      <c r="B14" s="31" t="s">
        <v>9</v>
      </c>
      <c r="C14" s="96">
        <f>MIN(C10,C12)</f>
        <v>7.8557491900025622E-6</v>
      </c>
      <c r="D14" s="6" t="s">
        <v>10</v>
      </c>
      <c r="E14" s="283"/>
      <c r="F14" s="12">
        <f t="shared" si="1"/>
        <v>42431768.793935321</v>
      </c>
      <c r="G14" s="13">
        <v>5.3032203442958892E-2</v>
      </c>
      <c r="H14" s="13">
        <v>5.3036115258494831E-2</v>
      </c>
      <c r="I14" s="13">
        <v>5.3043858650611453E-2</v>
      </c>
      <c r="J14" s="13">
        <v>5.3174596060405754E-2</v>
      </c>
      <c r="K14" s="13">
        <v>5.331295260158786E-2</v>
      </c>
      <c r="L14" s="13">
        <v>5.3578701712884813E-2</v>
      </c>
      <c r="M14" s="13">
        <v>5.3776720296595082E-2</v>
      </c>
      <c r="N14" s="13">
        <v>5.3921957253854513E-2</v>
      </c>
      <c r="O14" s="60">
        <v>5.4014391051401267E-2</v>
      </c>
      <c r="P14" s="60">
        <v>5.3684307056565794E-2</v>
      </c>
      <c r="Q14" s="60">
        <v>5.2035415805385288E-2</v>
      </c>
      <c r="R14" s="60">
        <v>4.9073822418962632E-2</v>
      </c>
      <c r="S14" s="60">
        <v>4.7103996727188679E-2</v>
      </c>
      <c r="T14" s="60">
        <v>4.4810477116911551E-2</v>
      </c>
      <c r="U14" s="60">
        <v>2.8571664808439978E-2</v>
      </c>
      <c r="V14" s="60">
        <v>2.4390510488347061E-2</v>
      </c>
      <c r="W14" s="60">
        <v>1.0046318596583781E-2</v>
      </c>
      <c r="X14" s="61">
        <v>4.6791143893789577E-3</v>
      </c>
      <c r="Z14" s="111"/>
      <c r="AA14" s="110"/>
      <c r="AB14" s="25"/>
      <c r="AC14" s="25"/>
      <c r="AD14" s="25"/>
      <c r="AE14" s="25"/>
      <c r="AF14" s="25"/>
      <c r="AG14" s="25"/>
      <c r="AH14" s="25"/>
      <c r="AI14" s="114"/>
      <c r="AJ14" s="115"/>
      <c r="AK14" s="117"/>
      <c r="AL14" s="110"/>
      <c r="AM14" s="117"/>
      <c r="AN14" s="108"/>
      <c r="AO14" s="115"/>
      <c r="AP14" s="117"/>
      <c r="AQ14" s="110"/>
      <c r="AR14" s="117"/>
      <c r="AS14" s="108"/>
      <c r="AT14" s="108"/>
    </row>
    <row r="15" spans="1:46" x14ac:dyDescent="0.3">
      <c r="B15" s="6"/>
      <c r="C15" s="6"/>
      <c r="E15" s="283"/>
      <c r="F15" s="12">
        <f t="shared" si="1"/>
        <v>53039710.992419146</v>
      </c>
      <c r="G15" s="13">
        <v>5.3149163041160463E-2</v>
      </c>
      <c r="H15" s="13">
        <v>5.3153079927588998E-2</v>
      </c>
      <c r="I15" s="13">
        <v>5.3160838935475407E-2</v>
      </c>
      <c r="J15" s="13">
        <v>5.3293044522312538E-2</v>
      </c>
      <c r="K15" s="13">
        <v>5.3435847786424295E-2</v>
      </c>
      <c r="L15" s="13">
        <v>5.3722120761564573E-2</v>
      </c>
      <c r="M15" s="13">
        <v>5.3953177028733146E-2</v>
      </c>
      <c r="N15" s="13">
        <v>5.4144661505203251E-2</v>
      </c>
      <c r="O15" s="13">
        <v>5.429655290178026E-2</v>
      </c>
      <c r="P15" s="60">
        <v>5.4461676729314235E-2</v>
      </c>
      <c r="Q15" s="60">
        <v>5.3636312587475254E-2</v>
      </c>
      <c r="R15" s="60">
        <v>5.1822753730837112E-2</v>
      </c>
      <c r="S15" s="60">
        <v>5.0546868144831114E-2</v>
      </c>
      <c r="T15" s="60">
        <v>4.9026035083251207E-2</v>
      </c>
      <c r="U15" s="60">
        <v>3.7790389742646147E-2</v>
      </c>
      <c r="V15" s="60">
        <v>3.4827826096012648E-2</v>
      </c>
      <c r="W15" s="60">
        <v>2.4544456170819684E-2</v>
      </c>
      <c r="X15" s="61">
        <v>2.0659261183624933E-2</v>
      </c>
      <c r="Z15" s="111"/>
      <c r="AA15" s="108"/>
      <c r="AB15" s="113"/>
      <c r="AC15" s="113"/>
      <c r="AD15" s="113"/>
      <c r="AE15" s="114"/>
      <c r="AF15" s="113"/>
      <c r="AG15" s="113"/>
      <c r="AH15" s="113"/>
      <c r="AI15" s="114"/>
      <c r="AJ15" s="115"/>
      <c r="AK15" s="116"/>
      <c r="AL15" s="112"/>
      <c r="AM15" s="116"/>
      <c r="AN15" s="118"/>
      <c r="AO15" s="115"/>
      <c r="AP15" s="116"/>
      <c r="AQ15" s="112"/>
      <c r="AR15" s="116"/>
      <c r="AS15" s="108"/>
      <c r="AT15" s="108"/>
    </row>
    <row r="16" spans="1:46" x14ac:dyDescent="0.3">
      <c r="A16" s="17" t="s">
        <v>12</v>
      </c>
      <c r="B16" s="31" t="s">
        <v>42</v>
      </c>
      <c r="C16" s="33">
        <f>(1-C13/C12)</f>
        <v>0.64305046830466361</v>
      </c>
      <c r="E16" s="283"/>
      <c r="F16" s="12">
        <v>77590000</v>
      </c>
      <c r="G16" s="13">
        <v>5.3297210381014981E-2</v>
      </c>
      <c r="H16" s="13">
        <v>5.3301133686903368E-2</v>
      </c>
      <c r="I16" s="13">
        <v>5.3308912463565061E-2</v>
      </c>
      <c r="J16" s="13">
        <v>5.3442976698608424E-2</v>
      </c>
      <c r="K16" s="13">
        <v>5.3591409359991182E-2</v>
      </c>
      <c r="L16" s="13">
        <v>5.3903665528557854E-2</v>
      </c>
      <c r="M16" s="13">
        <v>5.4176549849237698E-2</v>
      </c>
      <c r="N16" s="13">
        <v>5.4426591888215636E-2</v>
      </c>
      <c r="O16" s="13">
        <v>5.465377558284179E-2</v>
      </c>
      <c r="P16" s="13">
        <v>5.5446359422809621E-2</v>
      </c>
      <c r="Q16" s="60">
        <v>5.5665919944253073E-2</v>
      </c>
      <c r="R16" s="60">
        <v>5.5312104342567503E-2</v>
      </c>
      <c r="S16" s="60">
        <v>5.4920322190963766E-2</v>
      </c>
      <c r="T16" s="60">
        <v>5.4385481129525015E-2</v>
      </c>
      <c r="U16" s="60">
        <v>4.9574909373894194E-2</v>
      </c>
      <c r="V16" s="60">
        <v>4.8188222188397134E-2</v>
      </c>
      <c r="W16" s="60">
        <v>4.3188494436134039E-2</v>
      </c>
      <c r="X16" s="61">
        <v>4.1244248532441352E-2</v>
      </c>
      <c r="Z16" s="111"/>
      <c r="AA16" s="108"/>
      <c r="AB16" s="113"/>
      <c r="AC16" s="113"/>
      <c r="AD16" s="113"/>
      <c r="AE16" s="114"/>
      <c r="AF16" s="113"/>
      <c r="AG16" s="113"/>
      <c r="AH16" s="113"/>
      <c r="AI16" s="114"/>
      <c r="AJ16" s="115"/>
      <c r="AK16" s="116"/>
      <c r="AL16" s="112"/>
      <c r="AM16" s="116"/>
      <c r="AN16" s="108"/>
      <c r="AO16" s="115"/>
      <c r="AP16" s="116"/>
      <c r="AQ16" s="112"/>
      <c r="AR16" s="116"/>
      <c r="AS16" s="108"/>
      <c r="AT16" s="108"/>
    </row>
    <row r="17" spans="1:46" x14ac:dyDescent="0.3">
      <c r="A17" s="17" t="s">
        <v>13</v>
      </c>
      <c r="B17" s="31" t="s">
        <v>14</v>
      </c>
      <c r="C17" s="34">
        <f>C14 *C16</f>
        <v>5.0516431955151292E-6</v>
      </c>
      <c r="E17" s="283"/>
      <c r="F17" s="12">
        <f>SKY!D27</f>
        <v>75730000</v>
      </c>
      <c r="G17" s="210">
        <v>5.3289354070450434E-2</v>
      </c>
      <c r="H17" s="209">
        <v>5.3293277035652453E-2</v>
      </c>
      <c r="I17" s="209">
        <v>5.3301054763211786E-2</v>
      </c>
      <c r="J17" s="211">
        <v>5.343502036035197E-2</v>
      </c>
      <c r="K17" s="13">
        <v>5.3583154270217204E-2</v>
      </c>
      <c r="L17" s="13">
        <v>5.3894031493987304E-2</v>
      </c>
      <c r="M17" s="13">
        <v>5.4164695906276705E-2</v>
      </c>
      <c r="N17" s="13">
        <v>5.4411630026336644E-2</v>
      </c>
      <c r="O17" s="13">
        <v>5.4634817376067568E-2</v>
      </c>
      <c r="P17" s="13">
        <v>5.5394086700833123E-2</v>
      </c>
      <c r="Q17" s="13">
        <v>5.5558126641155781E-2</v>
      </c>
      <c r="R17" s="60">
        <v>5.5126663398986864E-2</v>
      </c>
      <c r="S17" s="60">
        <v>5.4687804325526557E-2</v>
      </c>
      <c r="T17" s="60">
        <v>5.4100417069036233E-2</v>
      </c>
      <c r="U17" s="60">
        <v>4.8946288050287556E-2</v>
      </c>
      <c r="V17" s="60">
        <v>4.7475028406348319E-2</v>
      </c>
      <c r="W17" s="60">
        <v>4.2190837859840791E-2</v>
      </c>
      <c r="X17" s="61">
        <v>4.0141738460927279E-2</v>
      </c>
      <c r="Z17" s="111"/>
      <c r="AA17" s="108"/>
      <c r="AB17" s="113"/>
      <c r="AC17" s="113"/>
      <c r="AD17" s="113"/>
      <c r="AE17" s="114"/>
      <c r="AF17" s="113"/>
      <c r="AG17" s="113"/>
      <c r="AH17" s="113"/>
      <c r="AI17" s="114"/>
      <c r="AJ17" s="115"/>
      <c r="AK17" s="116"/>
      <c r="AL17" s="112"/>
      <c r="AM17" s="116"/>
      <c r="AN17" s="108"/>
      <c r="AO17" s="115"/>
      <c r="AP17" s="116"/>
      <c r="AQ17" s="112"/>
      <c r="AR17" s="116"/>
      <c r="AS17" s="108"/>
      <c r="AT17" s="108"/>
    </row>
    <row r="18" spans="1:46" x14ac:dyDescent="0.3">
      <c r="A18" s="17" t="s">
        <v>15</v>
      </c>
      <c r="B18" s="31" t="s">
        <v>16</v>
      </c>
      <c r="C18" s="34">
        <f>C13-C17</f>
        <v>2.374611901440061E-3</v>
      </c>
      <c r="E18" s="283"/>
      <c r="F18" s="12">
        <f t="shared" si="1"/>
        <v>106079421.98483829</v>
      </c>
      <c r="G18" s="13">
        <v>5.3383120676887108E-2</v>
      </c>
      <c r="H18" s="13">
        <v>5.3387047708286728E-2</v>
      </c>
      <c r="I18" s="13">
        <v>5.3394837957732477E-2</v>
      </c>
      <c r="J18" s="13">
        <v>5.352998086500671E-2</v>
      </c>
      <c r="K18" s="13">
        <v>5.3681680584739766E-2</v>
      </c>
      <c r="L18" s="13">
        <v>5.4009016628076445E-2</v>
      </c>
      <c r="M18" s="13">
        <v>5.4306177927211374E-2</v>
      </c>
      <c r="N18" s="13">
        <v>5.4590209261988987E-2</v>
      </c>
      <c r="O18" s="13">
        <v>5.4861100122889805E-2</v>
      </c>
      <c r="P18" s="13">
        <v>5.601811343903762E-2</v>
      </c>
      <c r="Q18" s="13">
        <v>5.6845317763388747E-2</v>
      </c>
      <c r="R18" s="13">
        <v>5.734194708804341E-2</v>
      </c>
      <c r="S18" s="60">
        <v>5.7466140380113773E-2</v>
      </c>
      <c r="T18" s="60">
        <v>5.7507541341321744E-2</v>
      </c>
      <c r="U18" s="60">
        <v>5.6472996759663552E-2</v>
      </c>
      <c r="V18" s="60">
        <v>5.601811343903762E-2</v>
      </c>
      <c r="W18" s="60">
        <v>5.4159237847437591E-2</v>
      </c>
      <c r="X18" s="61">
        <v>5.3375348593370342E-2</v>
      </c>
      <c r="Z18" s="111"/>
      <c r="AA18" s="108"/>
      <c r="AB18" s="113"/>
      <c r="AC18" s="113"/>
      <c r="AD18" s="113"/>
      <c r="AE18" s="114"/>
      <c r="AF18" s="113"/>
      <c r="AG18" s="113"/>
      <c r="AH18" s="113"/>
      <c r="AI18" s="114"/>
      <c r="AJ18" s="115"/>
      <c r="AK18" s="116"/>
      <c r="AL18" s="112"/>
      <c r="AM18" s="116"/>
      <c r="AN18" s="108"/>
      <c r="AO18" s="115"/>
      <c r="AP18" s="116"/>
      <c r="AQ18" s="112"/>
      <c r="AR18" s="116"/>
      <c r="AS18" s="108"/>
      <c r="AT18" s="108"/>
    </row>
    <row r="19" spans="1:46" x14ac:dyDescent="0.3">
      <c r="A19" s="17" t="s">
        <v>17</v>
      </c>
      <c r="B19" s="31" t="s">
        <v>41</v>
      </c>
      <c r="C19" s="34">
        <f>C18/C12</f>
        <v>0.35619178521600914</v>
      </c>
      <c r="E19" s="283"/>
      <c r="F19" s="12">
        <f t="shared" si="1"/>
        <v>127295306.38180594</v>
      </c>
      <c r="G19" s="13">
        <v>5.3422118599650181E-2</v>
      </c>
      <c r="H19" s="13">
        <v>5.3426047322284287E-2</v>
      </c>
      <c r="I19" s="13">
        <v>5.343384277996388E-2</v>
      </c>
      <c r="J19" s="13">
        <v>5.3569475365943031E-2</v>
      </c>
      <c r="K19" s="13">
        <v>5.3722658218505082E-2</v>
      </c>
      <c r="L19" s="13">
        <v>5.4056840095529246E-2</v>
      </c>
      <c r="M19" s="13">
        <v>5.436502274641053E-2</v>
      </c>
      <c r="N19" s="13">
        <v>5.4664485277016839E-2</v>
      </c>
      <c r="O19" s="13">
        <v>5.4955220309656827E-2</v>
      </c>
      <c r="P19" s="13">
        <v>5.62777397614318E-2</v>
      </c>
      <c r="Q19" s="13">
        <v>5.7381088335165309E-2</v>
      </c>
      <c r="R19" s="13">
        <v>5.8264585571990102E-2</v>
      </c>
      <c r="S19" s="13">
        <v>5.8623714265193971E-2</v>
      </c>
      <c r="T19" s="60">
        <v>5.8927686274620417E-2</v>
      </c>
      <c r="U19" s="60">
        <v>5.9618851943785023E-2</v>
      </c>
      <c r="V19" s="60">
        <v>5.9591196776003441E-2</v>
      </c>
      <c r="W19" s="60">
        <v>5.9176454675927692E-2</v>
      </c>
      <c r="X19" s="61">
        <v>5.8927686274620417E-2</v>
      </c>
      <c r="Z19" s="111"/>
      <c r="AA19" s="108"/>
      <c r="AB19" s="113"/>
      <c r="AC19" s="113"/>
      <c r="AD19" s="113"/>
      <c r="AE19" s="114"/>
      <c r="AF19" s="113"/>
      <c r="AG19" s="113"/>
      <c r="AH19" s="113"/>
      <c r="AI19" s="114"/>
      <c r="AJ19" s="115"/>
      <c r="AK19" s="116"/>
      <c r="AL19" s="112"/>
      <c r="AM19" s="116"/>
      <c r="AN19" s="108"/>
      <c r="AO19" s="115"/>
      <c r="AP19" s="116"/>
      <c r="AQ19" s="112"/>
      <c r="AR19" s="116"/>
      <c r="AS19" s="108"/>
      <c r="AT19" s="108"/>
    </row>
    <row r="20" spans="1:46" x14ac:dyDescent="0.3">
      <c r="A20" s="17" t="s">
        <v>18</v>
      </c>
      <c r="B20" s="31" t="s">
        <v>40</v>
      </c>
      <c r="C20" s="34">
        <f>C14 * C8 *C19</f>
        <v>8.3944599845886904E-7</v>
      </c>
      <c r="E20" s="283"/>
      <c r="F20" s="12">
        <f t="shared" si="1"/>
        <v>148511190.77877361</v>
      </c>
      <c r="G20" s="13">
        <v>5.3449975130578586E-2</v>
      </c>
      <c r="H20" s="13">
        <v>5.3453905061334739E-2</v>
      </c>
      <c r="I20" s="13">
        <v>5.3461704239395225E-2</v>
      </c>
      <c r="J20" s="13">
        <v>5.3597686617798068E-2</v>
      </c>
      <c r="K20" s="13">
        <v>5.3751928919199221E-2</v>
      </c>
      <c r="L20" s="13">
        <v>5.4091001025427854E-2</v>
      </c>
      <c r="M20" s="13">
        <v>5.4407056743396742E-2</v>
      </c>
      <c r="N20" s="13">
        <v>5.4717542732443114E-2</v>
      </c>
      <c r="O20" s="13">
        <v>5.5022454085578598E-2</v>
      </c>
      <c r="P20" s="13">
        <v>5.6463225677919171E-2</v>
      </c>
      <c r="Q20" s="13">
        <v>5.7763945605955325E-2</v>
      </c>
      <c r="R20" s="13">
        <v>5.8924099179070488E-2</v>
      </c>
      <c r="S20" s="13">
        <v>5.9451317849346097E-2</v>
      </c>
      <c r="T20" s="13">
        <v>5.9943226988167675E-2</v>
      </c>
      <c r="U20" s="60">
        <v>6.1871546150832346E-2</v>
      </c>
      <c r="V20" s="60">
        <v>6.2150696987663734E-2</v>
      </c>
      <c r="W20" s="60">
        <v>6.2774593332964201E-2</v>
      </c>
      <c r="X20" s="61">
        <v>6.2911304593287865E-2</v>
      </c>
      <c r="Z20" s="111"/>
      <c r="AA20" s="108"/>
      <c r="AB20" s="113"/>
      <c r="AC20" s="113"/>
      <c r="AD20" s="113"/>
      <c r="AE20" s="114"/>
      <c r="AF20" s="113"/>
      <c r="AG20" s="113"/>
      <c r="AH20" s="113"/>
      <c r="AI20" s="114"/>
      <c r="AJ20" s="115"/>
      <c r="AK20" s="116"/>
      <c r="AL20" s="112"/>
      <c r="AM20" s="116"/>
      <c r="AN20" s="108"/>
      <c r="AO20" s="115"/>
      <c r="AP20" s="116"/>
      <c r="AQ20" s="112"/>
      <c r="AR20" s="116"/>
      <c r="AS20" s="108"/>
      <c r="AT20" s="108"/>
    </row>
    <row r="21" spans="1:46" x14ac:dyDescent="0.3">
      <c r="A21" s="17" t="s">
        <v>19</v>
      </c>
      <c r="B21" s="31" t="s">
        <v>21</v>
      </c>
      <c r="C21" s="35">
        <f>C13+C20</f>
        <v>2.3805029906340349E-3</v>
      </c>
      <c r="E21" s="283"/>
      <c r="F21" s="12">
        <f t="shared" si="1"/>
        <v>169727075.17574129</v>
      </c>
      <c r="G21" s="13">
        <v>5.3470868005587757E-2</v>
      </c>
      <c r="H21" s="13">
        <v>5.347479884244577E-2</v>
      </c>
      <c r="I21" s="13">
        <v>5.3482600810904835E-2</v>
      </c>
      <c r="J21" s="13">
        <v>5.3618845545626792E-2</v>
      </c>
      <c r="K21" s="13">
        <v>5.3773882471019441E-2</v>
      </c>
      <c r="L21" s="13">
        <v>5.4116622439439155E-2</v>
      </c>
      <c r="M21" s="13">
        <v>5.4438583325765677E-2</v>
      </c>
      <c r="N21" s="13">
        <v>5.4757337551666785E-2</v>
      </c>
      <c r="O21" s="13">
        <v>5.5072882190932315E-2</v>
      </c>
      <c r="P21" s="13">
        <v>5.6602361197479745E-2</v>
      </c>
      <c r="Q21" s="13">
        <v>5.8051178282555682E-2</v>
      </c>
      <c r="R21" s="13">
        <v>5.9419000399651312E-2</v>
      </c>
      <c r="S21" s="13">
        <v>6.0072439282698786E-2</v>
      </c>
      <c r="T21" s="13">
        <v>6.070551285315684E-2</v>
      </c>
      <c r="U21" s="13">
        <v>6.3564165982762155E-2</v>
      </c>
      <c r="V21" s="60">
        <v>6.407432299040372E-2</v>
      </c>
      <c r="W21" s="60">
        <v>6.5481106420155033E-2</v>
      </c>
      <c r="X21" s="61">
        <v>6.59087147974462E-2</v>
      </c>
      <c r="Z21" s="111"/>
      <c r="AA21" s="108"/>
      <c r="AB21" s="113"/>
      <c r="AC21" s="113"/>
      <c r="AD21" s="113"/>
      <c r="AE21" s="114"/>
      <c r="AF21" s="113"/>
      <c r="AG21" s="113"/>
      <c r="AH21" s="113"/>
      <c r="AI21" s="114"/>
      <c r="AJ21" s="115"/>
      <c r="AK21" s="116"/>
      <c r="AL21" s="112"/>
      <c r="AM21" s="116"/>
      <c r="AN21" s="108"/>
      <c r="AO21" s="115"/>
      <c r="AP21" s="116"/>
      <c r="AQ21" s="112"/>
      <c r="AR21" s="116"/>
      <c r="AS21" s="108"/>
      <c r="AT21" s="108"/>
    </row>
    <row r="22" spans="1:46" ht="15" thickBot="1" x14ac:dyDescent="0.35">
      <c r="A22" s="17" t="s">
        <v>20</v>
      </c>
      <c r="B22" s="31" t="s">
        <v>39</v>
      </c>
      <c r="C22" s="34">
        <f>C9/(1+C8)</f>
        <v>0.76923076923076916</v>
      </c>
      <c r="E22" s="283"/>
      <c r="F22" s="12">
        <f t="shared" si="1"/>
        <v>180335017.37422508</v>
      </c>
      <c r="G22" s="13">
        <v>5.3479471072908957E-2</v>
      </c>
      <c r="H22" s="13">
        <v>5.3483402282880066E-2</v>
      </c>
      <c r="I22" s="13">
        <v>5.349120540037422E-2</v>
      </c>
      <c r="J22" s="13">
        <v>5.362755816714504E-2</v>
      </c>
      <c r="K22" s="13">
        <v>5.3782922299941083E-2</v>
      </c>
      <c r="L22" s="13">
        <v>5.41271726119954E-2</v>
      </c>
      <c r="M22" s="13">
        <v>5.4451565129921775E-2</v>
      </c>
      <c r="N22" s="13">
        <v>5.4773724084130171E-2</v>
      </c>
      <c r="O22" s="13">
        <v>5.509364739590672E-2</v>
      </c>
      <c r="P22" s="13">
        <v>5.6659657546688225E-2</v>
      </c>
      <c r="Q22" s="13">
        <v>5.8169472919827214E-2</v>
      </c>
      <c r="R22" s="13">
        <v>5.9622849556463464E-2</v>
      </c>
      <c r="S22" s="13">
        <v>6.0328299545532538E-2</v>
      </c>
      <c r="T22" s="13">
        <v>6.1019552405861877E-2</v>
      </c>
      <c r="U22" s="13">
        <v>6.4261900298325569E-2</v>
      </c>
      <c r="V22" s="13">
        <v>6.4867402641881178E-2</v>
      </c>
      <c r="W22" s="60">
        <v>6.6597527881679719E-2</v>
      </c>
      <c r="X22" s="61">
        <v>6.714536431750151E-2</v>
      </c>
      <c r="Y22" s="6"/>
      <c r="Z22" s="111"/>
      <c r="AA22" s="108"/>
      <c r="AB22" s="113"/>
      <c r="AC22" s="113"/>
      <c r="AD22" s="113"/>
      <c r="AE22" s="114"/>
      <c r="AF22" s="113"/>
      <c r="AG22" s="113"/>
      <c r="AH22" s="113"/>
      <c r="AI22" s="114"/>
      <c r="AJ22" s="115"/>
      <c r="AK22" s="116"/>
      <c r="AL22" s="112"/>
      <c r="AM22" s="116"/>
      <c r="AN22" s="108"/>
      <c r="AO22" s="115"/>
      <c r="AP22" s="116"/>
      <c r="AQ22" s="112"/>
      <c r="AR22" s="116"/>
      <c r="AS22" s="108"/>
      <c r="AT22" s="108"/>
    </row>
    <row r="23" spans="1:46" ht="15.75" customHeight="1" thickBot="1" x14ac:dyDescent="0.35">
      <c r="A23" s="123" t="s">
        <v>22</v>
      </c>
      <c r="B23" s="36" t="s">
        <v>23</v>
      </c>
      <c r="C23" s="120">
        <f>C22 * C21</f>
        <v>1.8311561466415652E-3</v>
      </c>
      <c r="E23" s="283"/>
      <c r="F23" s="12">
        <f t="shared" si="1"/>
        <v>190942959.57270893</v>
      </c>
      <c r="G23" s="13">
        <v>5.3487118302025127E-2</v>
      </c>
      <c r="H23" s="13">
        <v>5.3491049843666039E-2</v>
      </c>
      <c r="I23" s="13">
        <v>5.3498853982533401E-2</v>
      </c>
      <c r="J23" s="13">
        <v>5.3635302779247773E-2</v>
      </c>
      <c r="K23" s="13">
        <v>5.3790957767641867E-2</v>
      </c>
      <c r="L23" s="13">
        <v>5.4136550630559555E-2</v>
      </c>
      <c r="M23" s="13">
        <v>5.4463104643732718E-2</v>
      </c>
      <c r="N23" s="13">
        <v>5.4788290101557058E-2</v>
      </c>
      <c r="O23" s="13">
        <v>5.5112105694269165E-2</v>
      </c>
      <c r="P23" s="13">
        <v>5.6710590207477152E-2</v>
      </c>
      <c r="Q23" s="13">
        <v>5.827463465953886E-2</v>
      </c>
      <c r="R23" s="13">
        <v>5.9804081284213773E-2</v>
      </c>
      <c r="S23" s="13">
        <v>6.0555782022930549E-2</v>
      </c>
      <c r="T23" s="13">
        <v>6.1298775659023974E-2</v>
      </c>
      <c r="U23" s="13">
        <v>6.4882487575896208E-2</v>
      </c>
      <c r="V23" s="13">
        <v>6.5572851749125194E-2</v>
      </c>
      <c r="W23" s="201">
        <v>6.7590871062966018E-2</v>
      </c>
      <c r="X23" s="61">
        <v>6.8245796240407941E-2</v>
      </c>
      <c r="Y23" s="6"/>
      <c r="Z23" s="111"/>
      <c r="AA23" s="108"/>
      <c r="AB23" s="113"/>
      <c r="AC23" s="113"/>
      <c r="AD23" s="113"/>
      <c r="AE23" s="114"/>
      <c r="AF23" s="113"/>
      <c r="AG23" s="113"/>
      <c r="AH23" s="113"/>
      <c r="AI23" s="114"/>
      <c r="AJ23" s="115"/>
      <c r="AK23" s="116"/>
      <c r="AL23" s="112"/>
      <c r="AM23" s="116"/>
      <c r="AN23" s="108"/>
      <c r="AO23" s="115"/>
      <c r="AP23" s="116"/>
      <c r="AQ23" s="112"/>
      <c r="AR23" s="116"/>
      <c r="AS23" s="108"/>
      <c r="AT23" s="108"/>
    </row>
    <row r="24" spans="1:46" x14ac:dyDescent="0.3">
      <c r="A24" s="124"/>
      <c r="B24" s="3"/>
      <c r="C24" s="97"/>
      <c r="E24" s="283"/>
      <c r="F24" s="27">
        <f t="shared" si="1"/>
        <v>212158843.96967658</v>
      </c>
      <c r="G24" s="14">
        <v>5.3500118717175971E-2</v>
      </c>
      <c r="H24" s="14">
        <v>5.3504050822661631E-2</v>
      </c>
      <c r="I24" s="14">
        <v>5.3511856697878502E-2</v>
      </c>
      <c r="J24" s="14">
        <v>5.3648468748697553E-2</v>
      </c>
      <c r="K24" s="14">
        <v>5.3804618201419796E-2</v>
      </c>
      <c r="L24" s="14">
        <v>5.4152493451003814E-2</v>
      </c>
      <c r="M24" s="14">
        <v>5.4482722103042391E-2</v>
      </c>
      <c r="N24" s="14">
        <v>5.4813052786492955E-2</v>
      </c>
      <c r="O24" s="14">
        <v>5.514348553242332E-2</v>
      </c>
      <c r="P24" s="14">
        <v>5.6797181288029241E-2</v>
      </c>
      <c r="Q24" s="14">
        <v>5.8453433274148869E-2</v>
      </c>
      <c r="R24" s="14">
        <v>6.0112245387165197E-2</v>
      </c>
      <c r="S24" s="28">
        <v>6.0942612710468858E-2</v>
      </c>
      <c r="T24" s="14">
        <v>6.177362152929522E-2</v>
      </c>
      <c r="U24" s="14">
        <v>6.5938305173404155E-2</v>
      </c>
      <c r="V24" s="14">
        <v>6.677317324079679E-2</v>
      </c>
      <c r="W24" s="14">
        <v>6.9281648953055663E-2</v>
      </c>
      <c r="X24" s="15">
        <v>7.0119099665954199E-2</v>
      </c>
      <c r="Y24" s="6"/>
      <c r="Z24" s="107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</row>
    <row r="25" spans="1:46" ht="15" customHeight="1" x14ac:dyDescent="0.3">
      <c r="B25" s="6"/>
      <c r="C25" s="99"/>
      <c r="D25" s="98"/>
      <c r="E25" s="7" t="s">
        <v>44</v>
      </c>
      <c r="F25" s="6"/>
      <c r="G25" s="8">
        <f>G24-G8</f>
        <v>0.15319896354308071</v>
      </c>
      <c r="H25" s="8">
        <f>H24-H8</f>
        <v>0.15320514933372098</v>
      </c>
      <c r="I25" s="8">
        <f>I24-I9</f>
        <v>9.4726213716753604E-2</v>
      </c>
      <c r="J25" s="8">
        <f>J24-J10</f>
        <v>1.2379043062463513E-2</v>
      </c>
      <c r="K25" s="8">
        <f>K24-K11</f>
        <v>2.5011399414749391E-3</v>
      </c>
      <c r="L25" s="8">
        <f>L24-L12</f>
        <v>2.6207424356299303E-3</v>
      </c>
      <c r="M25" s="8">
        <f>M24-M13</f>
        <v>1.0000316103504492E-3</v>
      </c>
      <c r="N25" s="8">
        <f>N24-N14</f>
        <v>8.9109553263844177E-4</v>
      </c>
      <c r="O25" s="8">
        <f>O24-O15</f>
        <v>8.4693263064306024E-4</v>
      </c>
      <c r="P25" s="8">
        <f>P24-P16</f>
        <v>1.3508218652196202E-3</v>
      </c>
      <c r="Q25" s="8">
        <f>Q24-Q17</f>
        <v>2.8953066329930888E-3</v>
      </c>
      <c r="R25" s="8">
        <f>R24-R18</f>
        <v>2.7702982991217873E-3</v>
      </c>
      <c r="S25" s="25">
        <f>S24-S19</f>
        <v>2.3188984452748862E-3</v>
      </c>
      <c r="T25" s="25">
        <f>T24-T20</f>
        <v>1.8303945411275446E-3</v>
      </c>
      <c r="U25" s="8">
        <f>U24-U21</f>
        <v>2.3741391906419995E-3</v>
      </c>
      <c r="V25" s="8">
        <f>V24-V22</f>
        <v>1.9057705989156126E-3</v>
      </c>
      <c r="W25" s="8">
        <f>W24-W23</f>
        <v>1.6907778900896453E-3</v>
      </c>
      <c r="X25" s="8">
        <f>0</f>
        <v>0</v>
      </c>
      <c r="Y25" s="6"/>
      <c r="Z25" s="107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</row>
    <row r="26" spans="1:46" ht="15" thickBot="1" x14ac:dyDescent="0.35">
      <c r="B26" s="19" t="s">
        <v>75</v>
      </c>
      <c r="C26" s="6"/>
      <c r="E26" s="17" t="s">
        <v>45</v>
      </c>
      <c r="F26" s="6"/>
      <c r="G26" s="24"/>
      <c r="H26" s="4">
        <f t="shared" ref="H26:X26" si="2">H7/$X$7</f>
        <v>7.0967118909265596E-4</v>
      </c>
      <c r="I26" s="4">
        <f t="shared" si="2"/>
        <v>1.1827853151544266E-3</v>
      </c>
      <c r="J26" s="4">
        <f t="shared" si="2"/>
        <v>9.4622825212354114E-3</v>
      </c>
      <c r="K26" s="4">
        <f t="shared" si="2"/>
        <v>1.8924565042470826E-2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0.95000000000000007</v>
      </c>
      <c r="X26" s="4">
        <f t="shared" si="2"/>
        <v>1</v>
      </c>
      <c r="Y26" s="6"/>
      <c r="Z26" s="107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</row>
    <row r="27" spans="1:46" x14ac:dyDescent="0.3">
      <c r="B27" s="6" t="s">
        <v>55</v>
      </c>
      <c r="C27" s="103">
        <v>213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" thickBot="1" x14ac:dyDescent="0.35">
      <c r="B28" s="6" t="s">
        <v>67</v>
      </c>
      <c r="C28" s="126">
        <v>150</v>
      </c>
      <c r="E28" s="6"/>
      <c r="F28" s="6" t="s">
        <v>47</v>
      </c>
      <c r="G28" s="77"/>
      <c r="H28" s="77">
        <v>33</v>
      </c>
      <c r="I28" s="77">
        <v>25</v>
      </c>
      <c r="J28" s="77">
        <v>22</v>
      </c>
      <c r="K28" s="77">
        <v>18</v>
      </c>
      <c r="L28" s="77">
        <v>10</v>
      </c>
      <c r="M28" s="77">
        <v>8</v>
      </c>
      <c r="N28" s="77">
        <v>7</v>
      </c>
      <c r="O28" s="77">
        <v>7</v>
      </c>
      <c r="P28" s="77">
        <v>6</v>
      </c>
      <c r="Q28" s="77">
        <v>5</v>
      </c>
      <c r="R28" s="77">
        <v>4</v>
      </c>
      <c r="S28" s="77">
        <v>3</v>
      </c>
      <c r="T28" s="77">
        <v>1</v>
      </c>
      <c r="U28" s="77">
        <v>1</v>
      </c>
      <c r="V28" s="77">
        <v>0</v>
      </c>
      <c r="W28" s="77">
        <v>0</v>
      </c>
      <c r="X28" s="77">
        <v>0</v>
      </c>
      <c r="Y28" s="6"/>
    </row>
    <row r="29" spans="1:46" x14ac:dyDescent="0.3">
      <c r="B29" s="20" t="s">
        <v>66</v>
      </c>
      <c r="C29" s="122">
        <v>3.0000000000000001E-3</v>
      </c>
      <c r="E29" s="6"/>
      <c r="F29" s="6" t="s">
        <v>48</v>
      </c>
      <c r="G29" s="79">
        <f t="shared" ref="G29:X29" si="3">G24</f>
        <v>5.3500118717175971E-2</v>
      </c>
      <c r="H29" s="79">
        <f t="shared" si="3"/>
        <v>5.3504050822661631E-2</v>
      </c>
      <c r="I29" s="79">
        <f t="shared" si="3"/>
        <v>5.3511856697878502E-2</v>
      </c>
      <c r="J29" s="79">
        <f t="shared" si="3"/>
        <v>5.3648468748697553E-2</v>
      </c>
      <c r="K29" s="79">
        <f t="shared" si="3"/>
        <v>5.3804618201419796E-2</v>
      </c>
      <c r="L29" s="79">
        <f t="shared" si="3"/>
        <v>5.4152493451003814E-2</v>
      </c>
      <c r="M29" s="79">
        <f t="shared" si="3"/>
        <v>5.4482722103042391E-2</v>
      </c>
      <c r="N29" s="79">
        <f t="shared" si="3"/>
        <v>5.4813052786492955E-2</v>
      </c>
      <c r="O29" s="79">
        <f t="shared" si="3"/>
        <v>5.514348553242332E-2</v>
      </c>
      <c r="P29" s="79">
        <f t="shared" si="3"/>
        <v>5.6797181288029241E-2</v>
      </c>
      <c r="Q29" s="79">
        <f t="shared" si="3"/>
        <v>5.8453433274148869E-2</v>
      </c>
      <c r="R29" s="79">
        <f t="shared" si="3"/>
        <v>6.0112245387165197E-2</v>
      </c>
      <c r="S29" s="79">
        <f t="shared" si="3"/>
        <v>6.0942612710468858E-2</v>
      </c>
      <c r="T29" s="79">
        <f t="shared" si="3"/>
        <v>6.177362152929522E-2</v>
      </c>
      <c r="U29" s="79">
        <f t="shared" si="3"/>
        <v>6.5938305173404155E-2</v>
      </c>
      <c r="V29" s="79">
        <f t="shared" si="3"/>
        <v>6.677317324079679E-2</v>
      </c>
      <c r="W29" s="79">
        <f t="shared" si="3"/>
        <v>6.9281648953055663E-2</v>
      </c>
      <c r="X29" s="76">
        <f t="shared" si="3"/>
        <v>7.0119099665954199E-2</v>
      </c>
      <c r="Y29" s="6"/>
    </row>
    <row r="30" spans="1:46" x14ac:dyDescent="0.3">
      <c r="B30" t="s">
        <v>68</v>
      </c>
      <c r="C30" s="48">
        <v>0.2</v>
      </c>
      <c r="E30" s="6"/>
      <c r="F30" s="6" t="s">
        <v>46</v>
      </c>
      <c r="G30" s="78">
        <v>0</v>
      </c>
      <c r="H30" s="80">
        <f t="shared" ref="H30:X30" si="4">H7</f>
        <v>150563.01907648364</v>
      </c>
      <c r="I30" s="80">
        <f t="shared" si="4"/>
        <v>250938.36512747276</v>
      </c>
      <c r="J30" s="80">
        <f t="shared" si="4"/>
        <v>2007506.9210197816</v>
      </c>
      <c r="K30" s="80">
        <f t="shared" si="4"/>
        <v>4015013.8420395642</v>
      </c>
      <c r="L30" s="80">
        <f t="shared" si="4"/>
        <v>8486353.7587870639</v>
      </c>
      <c r="M30" s="80">
        <f t="shared" si="4"/>
        <v>12729530.638180595</v>
      </c>
      <c r="N30" s="80">
        <f t="shared" si="4"/>
        <v>16972707.517574128</v>
      </c>
      <c r="O30" s="80">
        <f t="shared" si="4"/>
        <v>21215884.396967661</v>
      </c>
      <c r="P30" s="80">
        <f t="shared" si="4"/>
        <v>42431768.793935321</v>
      </c>
      <c r="Q30" s="80">
        <f t="shared" si="4"/>
        <v>63647653.190902971</v>
      </c>
      <c r="R30" s="80">
        <f t="shared" si="4"/>
        <v>84863537.587870643</v>
      </c>
      <c r="S30" s="80">
        <f t="shared" si="4"/>
        <v>95471479.786354467</v>
      </c>
      <c r="T30" s="80">
        <f t="shared" si="4"/>
        <v>106079421.98483829</v>
      </c>
      <c r="U30" s="80">
        <f t="shared" si="4"/>
        <v>159119132.97725743</v>
      </c>
      <c r="V30" s="80">
        <f t="shared" si="4"/>
        <v>169727075.17574129</v>
      </c>
      <c r="W30" s="80">
        <f t="shared" si="4"/>
        <v>201550901.77119276</v>
      </c>
      <c r="X30" s="80">
        <f t="shared" si="4"/>
        <v>212158843.96967658</v>
      </c>
      <c r="Y30" s="6"/>
    </row>
    <row r="31" spans="1:46" x14ac:dyDescent="0.3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x14ac:dyDescent="0.3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CHOOSE(C27,,,,,,,,,,,,,,,,,,,,,,,,,,,,,,,,,,,,,,,,,,,,,,,,,,,,,,,,,,,,,,,,,,,,,,,,,,,,,,,,,,,,,,,,,,,,,,,,,,,,,,,,,,,,,,,,,,,,,,,,,,,,,,,,,,,,,,,,,,,,,,,,,,,,,,,,,,,,,,,,,,,,,,,,,,,,,,,,,,,,,,,,,,,,,,,,,,,,,,,,,,,,,,,,,,,C51,C52,C53,C54,C55)</f>
        <v>31823826595.451485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1"/>
    </row>
    <row r="33" spans="2:26" x14ac:dyDescent="0.3">
      <c r="B33" s="21" t="s">
        <v>32</v>
      </c>
      <c r="C33" s="221">
        <f>staked_ada/total_supply</f>
        <v>0.38021826079612403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3">
      <c r="B34" s="21" t="s">
        <v>49</v>
      </c>
      <c r="C34" s="30">
        <f>SKY!H5</f>
        <v>12100000000</v>
      </c>
      <c r="E34" s="17" t="s">
        <v>55</v>
      </c>
      <c r="F34" s="31">
        <f>$C$27</f>
        <v>213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3">
      <c r="B35" s="6" t="s">
        <v>101</v>
      </c>
      <c r="C35" s="29">
        <f>CHOOSE(C27,,,,,,,,,,,,,,,,,,,,,,,,,,,,,,,,,,,,,,,,,,,,,,,,,,,,,,,,,,,,,,,,,,,,,,,,,,,,,,,,,,,,,,,,,,,,,,,,,,,,,,,,,,,,,,,,,,,,,,,,,,,,,,,,,,,,,,,,,,,,,,,,,,,,,,,,,,,,,,,,,,,,,,,,,,,,,,,,,,,,,,,,,,,,,,,,,,,,,,,,,,,,,,,,,,,C66,C67,C68,C69,C70)</f>
        <v>39548479.551476061</v>
      </c>
      <c r="E35" s="17" t="s">
        <v>72</v>
      </c>
      <c r="F35" s="70">
        <f>$C$39</f>
        <v>0.108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3">
      <c r="B36" s="6" t="s">
        <v>25</v>
      </c>
      <c r="C36" s="29">
        <f>C12 * C32</f>
        <v>212158843.96967658</v>
      </c>
      <c r="E36" s="17" t="s">
        <v>71</v>
      </c>
      <c r="F36" s="71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" thickBot="1" x14ac:dyDescent="0.35">
      <c r="B37" s="6"/>
      <c r="C37" s="6"/>
      <c r="E37" s="17" t="s">
        <v>46</v>
      </c>
      <c r="F37" s="100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3">
      <c r="B38" t="s">
        <v>53</v>
      </c>
      <c r="C38" s="67">
        <v>340</v>
      </c>
      <c r="E38" s="93" t="s">
        <v>87</v>
      </c>
      <c r="F38" s="101">
        <f>$C$28</f>
        <v>150</v>
      </c>
      <c r="G38" s="285" t="s">
        <v>76</v>
      </c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6"/>
    </row>
    <row r="39" spans="2:26" x14ac:dyDescent="0.3">
      <c r="B39" s="20" t="s">
        <v>33</v>
      </c>
      <c r="C39" s="125">
        <v>0.108</v>
      </c>
      <c r="E39" s="277" t="s">
        <v>65</v>
      </c>
      <c r="F39" s="280" t="s">
        <v>118</v>
      </c>
      <c r="G39" s="280"/>
      <c r="H39" s="280"/>
      <c r="I39" s="280"/>
      <c r="J39" s="280"/>
      <c r="K39" s="280"/>
      <c r="L39" s="280"/>
      <c r="M39" s="280"/>
      <c r="N39" s="280"/>
      <c r="O39" s="280"/>
      <c r="P39" s="280"/>
      <c r="Q39" s="280"/>
      <c r="R39" s="280"/>
      <c r="S39" s="280"/>
      <c r="T39" s="280"/>
      <c r="U39" s="280"/>
      <c r="V39" s="280"/>
      <c r="W39" s="280"/>
      <c r="X39" s="281"/>
      <c r="Y39" s="6"/>
    </row>
    <row r="40" spans="2:26" x14ac:dyDescent="0.3">
      <c r="B40" s="22" t="s">
        <v>61</v>
      </c>
      <c r="C40" s="68">
        <v>0.98499999999999999</v>
      </c>
      <c r="E40" s="278"/>
      <c r="F40" s="9">
        <f>C46</f>
        <v>5.6528576641853956E-2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3">
      <c r="B41" s="20" t="s">
        <v>34</v>
      </c>
      <c r="C41" s="68">
        <v>0.05</v>
      </c>
      <c r="E41" s="278"/>
      <c r="F41" s="12">
        <v>500000</v>
      </c>
      <c r="G41" s="13">
        <f t="dataTable" ref="G41:X57" dt2D="1" dtr="1" r1="C28" r2="C42" ca="1"/>
        <v>5.6548968970668634E-2</v>
      </c>
      <c r="H41" s="13">
        <v>5.6555799832217035E-2</v>
      </c>
      <c r="I41" s="41">
        <v>5.6562636111567199E-2</v>
      </c>
      <c r="J41" s="41">
        <v>5.656947780882593E-2</v>
      </c>
      <c r="K41" s="41">
        <v>5.6576324924087595E-2</v>
      </c>
      <c r="L41" s="41">
        <v>5.6583177457458556E-2</v>
      </c>
      <c r="M41" s="41">
        <v>5.659003540906693E-2</v>
      </c>
      <c r="N41" s="41">
        <v>5.6596898778974669E-2</v>
      </c>
      <c r="O41" s="41">
        <v>5.6603767567322771E-2</v>
      </c>
      <c r="P41" s="41">
        <v>5.6610641774182069E-2</v>
      </c>
      <c r="Q41" s="41">
        <v>5.6617521399687565E-2</v>
      </c>
      <c r="R41" s="41">
        <v>5.2788666030952003E-2</v>
      </c>
      <c r="S41" s="41">
        <v>4.7399871775638314E-2</v>
      </c>
      <c r="T41" s="41">
        <v>3.9367651328960696E-2</v>
      </c>
      <c r="U41" s="41">
        <v>3.3667577181412334E-2</v>
      </c>
      <c r="V41" s="41">
        <v>2.9412765590632439E-2</v>
      </c>
      <c r="W41" s="41">
        <v>2.6115414328905739E-2</v>
      </c>
      <c r="X41" s="42">
        <v>2.3485035583738822E-2</v>
      </c>
      <c r="Y41" s="6"/>
    </row>
    <row r="42" spans="2:26" x14ac:dyDescent="0.3">
      <c r="B42" s="6" t="s">
        <v>30</v>
      </c>
      <c r="C42" s="69">
        <v>250000</v>
      </c>
      <c r="E42" s="278"/>
      <c r="F42" s="12">
        <v>1000000</v>
      </c>
      <c r="G42" s="13">
        <v>5.6589493377983358E-2</v>
      </c>
      <c r="H42" s="13">
        <v>5.6603135189633003E-2</v>
      </c>
      <c r="I42" s="41">
        <v>5.6616798673098545E-2</v>
      </c>
      <c r="J42" s="41">
        <v>5.6630483829145595E-2</v>
      </c>
      <c r="K42" s="41">
        <v>5.664419065865256E-2</v>
      </c>
      <c r="L42" s="41">
        <v>5.6657919162420356E-2</v>
      </c>
      <c r="M42" s="41">
        <v>5.6671669341284536E-2</v>
      </c>
      <c r="N42" s="41">
        <v>5.668544119608665E-2</v>
      </c>
      <c r="O42" s="41">
        <v>5.6699234727631831E-2</v>
      </c>
      <c r="P42" s="41">
        <v>5.6713049936758075E-2</v>
      </c>
      <c r="Q42" s="41">
        <v>5.6726886824318701E-2</v>
      </c>
      <c r="R42" s="41">
        <v>5.2903260824923137E-2</v>
      </c>
      <c r="S42" s="41">
        <v>4.7513888020994655E-2</v>
      </c>
      <c r="T42" s="41">
        <v>3.9480805147954046E-2</v>
      </c>
      <c r="U42" s="41">
        <v>3.3780118923243396E-2</v>
      </c>
      <c r="V42" s="41">
        <v>2.9524850418266357E-2</v>
      </c>
      <c r="W42" s="41">
        <v>2.6227145043970834E-2</v>
      </c>
      <c r="X42" s="42">
        <v>2.3596483803265844E-2</v>
      </c>
      <c r="Y42" s="6"/>
    </row>
    <row r="43" spans="2:26" ht="15" thickBot="1" x14ac:dyDescent="0.35">
      <c r="B43" s="6" t="s">
        <v>29</v>
      </c>
      <c r="C43" s="130">
        <f>SKY!D27</f>
        <v>75730000</v>
      </c>
      <c r="E43" s="278"/>
      <c r="F43" s="12">
        <v>1500000</v>
      </c>
      <c r="G43" s="13">
        <v>5.6629670751929151E-2</v>
      </c>
      <c r="H43" s="13">
        <v>5.6650103592960299E-2</v>
      </c>
      <c r="I43" s="41">
        <v>5.6670585196785916E-2</v>
      </c>
      <c r="J43" s="41">
        <v>5.6691115566182448E-2</v>
      </c>
      <c r="K43" s="41">
        <v>5.6711694703962534E-2</v>
      </c>
      <c r="L43" s="41">
        <v>5.6732322612891961E-2</v>
      </c>
      <c r="M43" s="41">
        <v>5.6752999295780482E-2</v>
      </c>
      <c r="N43" s="41">
        <v>5.6773724755449395E-2</v>
      </c>
      <c r="O43" s="41">
        <v>5.6794498994694687E-2</v>
      </c>
      <c r="P43" s="41">
        <v>5.6815322016350756E-2</v>
      </c>
      <c r="Q43" s="41">
        <v>5.6836193823254E-2</v>
      </c>
      <c r="R43" s="41">
        <v>5.3017867921526074E-2</v>
      </c>
      <c r="S43" s="41">
        <v>4.7627916507732904E-2</v>
      </c>
      <c r="T43" s="41">
        <v>3.9593971117023674E-2</v>
      </c>
      <c r="U43" s="41">
        <v>3.3892672750327035E-2</v>
      </c>
      <c r="V43" s="41">
        <v>2.9636947282780213E-2</v>
      </c>
      <c r="W43" s="41">
        <v>2.6338887758407648E-2</v>
      </c>
      <c r="X43" s="42">
        <v>2.370794399224363E-2</v>
      </c>
      <c r="Y43" s="6"/>
      <c r="Z43" s="31"/>
    </row>
    <row r="44" spans="2:26" ht="15" customHeight="1" x14ac:dyDescent="0.3">
      <c r="B44" s="6" t="s">
        <v>70</v>
      </c>
      <c r="C44" s="2">
        <f>C23 * C35 * (1-C30) *C40</f>
        <v>57066.519839758759</v>
      </c>
      <c r="E44" s="278"/>
      <c r="F44" s="12">
        <v>3000000</v>
      </c>
      <c r="G44" s="13">
        <v>5.6748120283785175E-2</v>
      </c>
      <c r="H44" s="13">
        <v>5.6788806595741592E-2</v>
      </c>
      <c r="I44" s="41">
        <v>5.6829687973751319E-2</v>
      </c>
      <c r="J44" s="41">
        <v>5.6870764440035693E-2</v>
      </c>
      <c r="K44" s="41">
        <v>5.6912036016946166E-2</v>
      </c>
      <c r="L44" s="41">
        <v>5.6953502726883709E-2</v>
      </c>
      <c r="M44" s="41">
        <v>5.6995164592349212E-2</v>
      </c>
      <c r="N44" s="41">
        <v>5.7037021636020535E-2</v>
      </c>
      <c r="O44" s="41">
        <v>5.7079073880622166E-2</v>
      </c>
      <c r="P44" s="41">
        <v>5.7121321349003162E-2</v>
      </c>
      <c r="Q44" s="41">
        <v>5.7163764064122713E-2</v>
      </c>
      <c r="R44" s="41">
        <v>5.3361763040046695E-2</v>
      </c>
      <c r="S44" s="41">
        <v>4.7970075429101255E-2</v>
      </c>
      <c r="T44" s="41">
        <v>3.9933541937397843E-2</v>
      </c>
      <c r="U44" s="41">
        <v>3.423040675580058E-2</v>
      </c>
      <c r="V44" s="41">
        <v>2.9973310110168017E-2</v>
      </c>
      <c r="W44" s="41">
        <v>2.6674187910540992E-2</v>
      </c>
      <c r="X44" s="42">
        <v>2.4042396388449294E-2</v>
      </c>
      <c r="Y44" s="6"/>
      <c r="Z44" s="31"/>
    </row>
    <row r="45" spans="2:26" ht="15" thickBot="1" x14ac:dyDescent="0.35">
      <c r="B45" s="22"/>
      <c r="C45" s="75"/>
      <c r="D45" s="18"/>
      <c r="E45" s="278"/>
      <c r="F45" s="12">
        <v>5000000</v>
      </c>
      <c r="G45" s="13">
        <v>5.6901192188905547E-2</v>
      </c>
      <c r="H45" s="13">
        <v>5.6968603679268259E-2</v>
      </c>
      <c r="I45" s="41">
        <v>5.7036557072566607E-2</v>
      </c>
      <c r="J45" s="41">
        <v>5.7105052471356554E-2</v>
      </c>
      <c r="K45" s="41">
        <v>5.7174089978975884E-2</v>
      </c>
      <c r="L45" s="41">
        <v>5.7243669699621469E-2</v>
      </c>
      <c r="M45" s="41">
        <v>5.7313791738323294E-2</v>
      </c>
      <c r="N45" s="41">
        <v>5.7384456200885614E-2</v>
      </c>
      <c r="O45" s="41">
        <v>5.7455663193984874E-2</v>
      </c>
      <c r="P45" s="41">
        <v>5.7527412825094437E-2</v>
      </c>
      <c r="Q45" s="41">
        <v>5.7599705202521667E-2</v>
      </c>
      <c r="R45" s="41">
        <v>5.3820462180443673E-2</v>
      </c>
      <c r="S45" s="41">
        <v>4.8426458782055537E-2</v>
      </c>
      <c r="T45" s="41">
        <v>4.0386473210057172E-2</v>
      </c>
      <c r="U45" s="41">
        <v>3.4680888034158697E-2</v>
      </c>
      <c r="V45" s="41">
        <v>3.0421962473370368E-2</v>
      </c>
      <c r="W45" s="41">
        <v>2.7121422848137566E-2</v>
      </c>
      <c r="X45" s="42">
        <v>2.4488500565793325E-2</v>
      </c>
      <c r="Y45" s="6"/>
      <c r="Z45" s="31"/>
    </row>
    <row r="46" spans="2:26" x14ac:dyDescent="0.3">
      <c r="B46" s="37" t="s">
        <v>51</v>
      </c>
      <c r="C46" s="65">
        <f>(C44 /(C43*(C43&gt;=C42))+1) ^ 73 -1</f>
        <v>5.6528576641853956E-2</v>
      </c>
      <c r="D46" s="18"/>
      <c r="E46" s="278"/>
      <c r="F46" s="12">
        <v>10000000</v>
      </c>
      <c r="G46" s="13">
        <v>5.7259553368305127E-2</v>
      </c>
      <c r="H46" s="13">
        <v>5.7392376988063099E-2</v>
      </c>
      <c r="I46" s="41">
        <v>5.7527368697917414E-2</v>
      </c>
      <c r="J46" s="41">
        <v>5.7664529312634105E-2</v>
      </c>
      <c r="K46" s="41">
        <v>5.780385966014423E-2</v>
      </c>
      <c r="L46" s="41">
        <v>5.7945360581575622E-2</v>
      </c>
      <c r="M46" s="41">
        <v>5.8089032931209372E-2</v>
      </c>
      <c r="N46" s="41">
        <v>5.8234877576497368E-2</v>
      </c>
      <c r="O46" s="41">
        <v>5.8382895398098267E-2</v>
      </c>
      <c r="P46" s="41">
        <v>5.8533087289887042E-2</v>
      </c>
      <c r="Q46" s="41">
        <v>5.8685454158935668E-2</v>
      </c>
      <c r="R46" s="41">
        <v>5.4968072126918566E-2</v>
      </c>
      <c r="S46" s="41">
        <v>4.9568274967867865E-2</v>
      </c>
      <c r="T46" s="41">
        <v>4.1519652796553563E-2</v>
      </c>
      <c r="U46" s="41">
        <v>3.5807938093294078E-2</v>
      </c>
      <c r="V46" s="41">
        <v>3.1544436854100022E-2</v>
      </c>
      <c r="W46" s="41">
        <v>2.8240351037064571E-2</v>
      </c>
      <c r="X46" s="42">
        <v>2.5604599757631741E-2</v>
      </c>
      <c r="Y46" s="6"/>
      <c r="Z46" s="31"/>
    </row>
    <row r="47" spans="2:26" x14ac:dyDescent="0.3">
      <c r="B47" s="38" t="s">
        <v>52</v>
      </c>
      <c r="C47" s="66">
        <f>(1+(($C$44-$C$38) * (1-$C$41))/$C$43 )^ 73 -1</f>
        <v>5.3300982113963613E-2</v>
      </c>
      <c r="D47" s="18"/>
      <c r="E47" s="278"/>
      <c r="F47" s="12">
        <v>15000000</v>
      </c>
      <c r="G47" s="13">
        <v>5.7583146168432631E-2</v>
      </c>
      <c r="H47" s="13">
        <v>5.7779373768420905E-2</v>
      </c>
      <c r="I47" s="41">
        <v>5.798048049018556E-2</v>
      </c>
      <c r="J47" s="41">
        <v>5.8186469064768431E-2</v>
      </c>
      <c r="K47" s="41">
        <v>5.8397342289818521E-2</v>
      </c>
      <c r="L47" s="41">
        <v>5.861310302970324E-2</v>
      </c>
      <c r="M47" s="41">
        <v>5.8833754215529499E-2</v>
      </c>
      <c r="N47" s="41">
        <v>5.905929884527894E-2</v>
      </c>
      <c r="O47" s="41">
        <v>5.9289739983780176E-2</v>
      </c>
      <c r="P47" s="41">
        <v>5.9525080762837579E-2</v>
      </c>
      <c r="Q47" s="41">
        <v>5.976532438131299E-2</v>
      </c>
      <c r="R47" s="41">
        <v>5.6116914681836327E-2</v>
      </c>
      <c r="S47" s="41">
        <v>5.071131762551162E-2</v>
      </c>
      <c r="T47" s="41">
        <v>4.2654049706373431E-2</v>
      </c>
      <c r="U47" s="41">
        <v>3.6936198982325141E-2</v>
      </c>
      <c r="V47" s="41">
        <v>3.2668117217083958E-2</v>
      </c>
      <c r="W47" s="41">
        <v>2.9360481451085718E-2</v>
      </c>
      <c r="X47" s="42">
        <v>2.6721898177157977E-2</v>
      </c>
      <c r="Y47" s="6"/>
      <c r="Z47" s="31"/>
    </row>
    <row r="48" spans="2:26" ht="15" thickBot="1" x14ac:dyDescent="0.35">
      <c r="B48" s="39" t="s">
        <v>94</v>
      </c>
      <c r="C48" s="40">
        <f>C46-C47</f>
        <v>3.2275945278903428E-3</v>
      </c>
      <c r="D48" s="18"/>
      <c r="E48" s="278"/>
      <c r="F48" s="12">
        <v>20000000</v>
      </c>
      <c r="G48" s="13">
        <v>5.7871939033337538E-2</v>
      </c>
      <c r="H48" s="13">
        <v>5.8129554077901657E-2</v>
      </c>
      <c r="I48" s="13">
        <v>5.8395844471132108E-2</v>
      </c>
      <c r="J48" s="13">
        <v>5.8670816641662071E-2</v>
      </c>
      <c r="K48" s="13">
        <v>5.8954477228715385E-2</v>
      </c>
      <c r="L48" s="13">
        <v>5.9246833082432504E-2</v>
      </c>
      <c r="M48" s="13">
        <v>5.9547891264234654E-2</v>
      </c>
      <c r="N48" s="13">
        <v>5.9857659046908207E-2</v>
      </c>
      <c r="O48" s="13">
        <v>6.0176143915090963E-2</v>
      </c>
      <c r="P48" s="13">
        <v>6.0503353565443119E-2</v>
      </c>
      <c r="Q48" s="13">
        <v>6.0839295907054725E-2</v>
      </c>
      <c r="R48" s="13">
        <v>5.7266991150673352E-2</v>
      </c>
      <c r="S48" s="13">
        <v>5.1855588054045887E-2</v>
      </c>
      <c r="T48" s="13">
        <v>4.3789665229036379E-2</v>
      </c>
      <c r="U48" s="13">
        <v>3.8065671984045091E-2</v>
      </c>
      <c r="V48" s="13">
        <v>3.3793004840052321E-2</v>
      </c>
      <c r="W48" s="13">
        <v>3.0481815364018283E-2</v>
      </c>
      <c r="X48" s="16">
        <v>2.7840397095040936E-2</v>
      </c>
      <c r="Y48" s="6"/>
      <c r="Z48" s="31"/>
    </row>
    <row r="49" spans="1:26" x14ac:dyDescent="0.3">
      <c r="B49" s="6"/>
      <c r="C49" s="6"/>
      <c r="D49" s="18"/>
      <c r="E49" s="278"/>
      <c r="F49" s="12">
        <v>32000000</v>
      </c>
      <c r="G49" s="13">
        <v>5.8422896725919271E-2</v>
      </c>
      <c r="H49" s="13">
        <v>5.8819567250031124E-2</v>
      </c>
      <c r="I49" s="13">
        <v>5.9238452067042147E-2</v>
      </c>
      <c r="J49" s="13">
        <v>5.9679577062286659E-2</v>
      </c>
      <c r="K49" s="13">
        <v>6.0142969502506638E-2</v>
      </c>
      <c r="L49" s="13">
        <v>6.0628658038558436E-2</v>
      </c>
      <c r="M49" s="13">
        <v>6.1136672708325124E-2</v>
      </c>
      <c r="N49" s="201">
        <v>6.1667044939768711E-2</v>
      </c>
      <c r="O49" s="201">
        <v>6.2219807554195761E-2</v>
      </c>
      <c r="P49" s="201">
        <v>6.2794994769463042E-2</v>
      </c>
      <c r="Q49" s="201">
        <v>6.3392642203581095E-2</v>
      </c>
      <c r="R49" s="201">
        <v>6.0032216867898835E-2</v>
      </c>
      <c r="S49" s="201">
        <v>5.4606854172583708E-2</v>
      </c>
      <c r="T49" s="201">
        <v>4.6520122151410215E-2</v>
      </c>
      <c r="U49" s="201">
        <v>4.0781360294620095E-2</v>
      </c>
      <c r="V49" s="201">
        <v>3.6497668412263762E-2</v>
      </c>
      <c r="W49" s="201">
        <v>3.3177934663416897E-2</v>
      </c>
      <c r="X49" s="223">
        <v>3.0490168021451103E-2</v>
      </c>
      <c r="Y49" s="6"/>
      <c r="Z49" s="31"/>
    </row>
    <row r="50" spans="1:26" x14ac:dyDescent="0.3">
      <c r="C50" s="17" t="s">
        <v>149</v>
      </c>
      <c r="D50" s="17" t="s">
        <v>148</v>
      </c>
      <c r="E50" s="278"/>
      <c r="F50" s="12">
        <v>50000000</v>
      </c>
      <c r="G50" s="13">
        <v>5.8872557915233159E-2</v>
      </c>
      <c r="H50" s="13">
        <v>5.9455731765157616E-2</v>
      </c>
      <c r="I50" s="13">
        <v>6.009314061596549E-2</v>
      </c>
      <c r="J50" s="13">
        <v>6.0784880620997184E-2</v>
      </c>
      <c r="K50" s="13">
        <v>6.1531056170769149E-2</v>
      </c>
      <c r="L50" s="13">
        <v>6.2331779919123864E-2</v>
      </c>
      <c r="M50" s="13">
        <v>6.3187172810912573E-2</v>
      </c>
      <c r="N50" s="201">
        <v>6.4097364112205346E-2</v>
      </c>
      <c r="O50" s="201">
        <v>6.5062491442300807E-2</v>
      </c>
      <c r="P50" s="201">
        <v>6.608270080793055E-2</v>
      </c>
      <c r="Q50" s="201">
        <v>6.7158146639615168E-2</v>
      </c>
      <c r="R50" s="201">
        <v>6.4193435436200597E-2</v>
      </c>
      <c r="S50" s="201">
        <v>5.8747066734448516E-2</v>
      </c>
      <c r="T50" s="201">
        <v>5.0629021618948444E-2</v>
      </c>
      <c r="U50" s="201">
        <v>4.3836388794707082E-2</v>
      </c>
      <c r="V50" s="201">
        <v>3.825487091998081E-2</v>
      </c>
      <c r="W50" s="201">
        <v>3.3934050653771974E-2</v>
      </c>
      <c r="X50" s="223">
        <v>3.0490168021451103E-2</v>
      </c>
      <c r="Y50" s="6"/>
      <c r="Z50" s="31"/>
    </row>
    <row r="51" spans="1:26" x14ac:dyDescent="0.3">
      <c r="B51" s="47" t="s">
        <v>126</v>
      </c>
      <c r="C51" s="198">
        <f>SKY!E4</f>
        <v>31704823791.377499</v>
      </c>
      <c r="D51" s="227">
        <f>'Epoch Dates'!B3</f>
        <v>44066.738888888889</v>
      </c>
      <c r="E51" s="278"/>
      <c r="F51" s="12">
        <v>76000000</v>
      </c>
      <c r="G51" s="13" t="e">
        <v>#DIV/0!</v>
      </c>
      <c r="H51" s="13" t="e">
        <v>#DIV/0!</v>
      </c>
      <c r="I51" s="13" t="e">
        <v>#DIV/0!</v>
      </c>
      <c r="J51" s="13" t="e">
        <v>#DIV/0!</v>
      </c>
      <c r="K51" s="13" t="e">
        <v>#DIV/0!</v>
      </c>
      <c r="L51" s="13" t="e">
        <v>#DIV/0!</v>
      </c>
      <c r="M51" s="13" t="e">
        <v>#DIV/0!</v>
      </c>
      <c r="N51" s="201" t="e">
        <v>#DIV/0!</v>
      </c>
      <c r="O51" s="201" t="e">
        <v>#DIV/0!</v>
      </c>
      <c r="P51" s="201" t="e">
        <v>#DIV/0!</v>
      </c>
      <c r="Q51" s="201" t="e">
        <v>#DIV/0!</v>
      </c>
      <c r="R51" s="201" t="e">
        <v>#DIV/0!</v>
      </c>
      <c r="S51" s="201" t="e">
        <v>#DIV/0!</v>
      </c>
      <c r="T51" s="201" t="e">
        <v>#DIV/0!</v>
      </c>
      <c r="U51" s="201" t="e">
        <v>#DIV/0!</v>
      </c>
      <c r="V51" s="201" t="e">
        <v>#DIV/0!</v>
      </c>
      <c r="W51" s="201" t="e">
        <v>#DIV/0!</v>
      </c>
      <c r="X51" s="223" t="e">
        <v>#DIV/0!</v>
      </c>
      <c r="Y51" s="6"/>
      <c r="Z51" s="31"/>
    </row>
    <row r="52" spans="1:26" x14ac:dyDescent="0.3">
      <c r="B52" s="47" t="s">
        <v>121</v>
      </c>
      <c r="C52" s="198">
        <f>SKY!E6</f>
        <v>31784278115.900009</v>
      </c>
      <c r="D52" s="227">
        <f>'Epoch Dates'!B4</f>
        <v>44071.738888888889</v>
      </c>
      <c r="E52" s="278"/>
      <c r="F52" s="12">
        <v>83000000</v>
      </c>
      <c r="G52" s="13" t="e">
        <v>#DIV/0!</v>
      </c>
      <c r="H52" s="13" t="e">
        <v>#DIV/0!</v>
      </c>
      <c r="I52" s="13" t="e">
        <v>#DIV/0!</v>
      </c>
      <c r="J52" s="13" t="e">
        <v>#DIV/0!</v>
      </c>
      <c r="K52" s="13" t="e">
        <v>#DIV/0!</v>
      </c>
      <c r="L52" s="13" t="e">
        <v>#DIV/0!</v>
      </c>
      <c r="M52" s="13" t="e">
        <v>#DIV/0!</v>
      </c>
      <c r="N52" s="201" t="e">
        <v>#DIV/0!</v>
      </c>
      <c r="O52" s="201" t="e">
        <v>#DIV/0!</v>
      </c>
      <c r="P52" s="201" t="e">
        <v>#DIV/0!</v>
      </c>
      <c r="Q52" s="201" t="e">
        <v>#DIV/0!</v>
      </c>
      <c r="R52" s="201" t="e">
        <v>#DIV/0!</v>
      </c>
      <c r="S52" s="201" t="e">
        <v>#DIV/0!</v>
      </c>
      <c r="T52" s="201" t="e">
        <v>#DIV/0!</v>
      </c>
      <c r="U52" s="201" t="e">
        <v>#DIV/0!</v>
      </c>
      <c r="V52" s="201" t="e">
        <v>#DIV/0!</v>
      </c>
      <c r="W52" s="201" t="e">
        <v>#DIV/0!</v>
      </c>
      <c r="X52" s="223" t="e">
        <v>#DIV/0!</v>
      </c>
      <c r="Y52" s="6"/>
      <c r="Z52" s="31"/>
    </row>
    <row r="53" spans="1:26" x14ac:dyDescent="0.3">
      <c r="B53" s="47" t="s">
        <v>122</v>
      </c>
      <c r="C53" s="198">
        <f>SKY!E7</f>
        <v>31823826595.451485</v>
      </c>
      <c r="D53" s="227">
        <f>'Epoch Dates'!B5</f>
        <v>44076.738888888889</v>
      </c>
      <c r="E53" s="278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3">
      <c r="B54" s="47" t="s">
        <v>123</v>
      </c>
      <c r="C54" s="198">
        <f>SKY!E8</f>
        <v>31863256429.564308</v>
      </c>
      <c r="D54" s="227">
        <f>'Epoch Dates'!B6</f>
        <v>44081.738888888889</v>
      </c>
      <c r="E54" s="278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3">
      <c r="B55" s="47" t="s">
        <v>124</v>
      </c>
      <c r="C55" s="198">
        <f>SKY!E9</f>
        <v>31902567974.174789</v>
      </c>
      <c r="D55" s="227">
        <f>'Epoch Dates'!B7</f>
        <v>44086.738888888889</v>
      </c>
      <c r="E55" s="278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3">
      <c r="A56" s="88"/>
      <c r="B56" s="47" t="s">
        <v>138</v>
      </c>
      <c r="C56" s="198">
        <f>SKY!E10</f>
        <v>31941761584.15144</v>
      </c>
      <c r="D56" s="227">
        <f>'Epoch Dates'!B8</f>
        <v>44091.738888888889</v>
      </c>
      <c r="E56" s="278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8">
        <f>SUM(G28:X28)</f>
        <v>150</v>
      </c>
      <c r="Z56" s="31"/>
    </row>
    <row r="57" spans="1:26" x14ac:dyDescent="0.3">
      <c r="B57" s="47" t="s">
        <v>139</v>
      </c>
      <c r="C57" s="198">
        <f>SKY!E11</f>
        <v>31980837613.298161</v>
      </c>
      <c r="D57" s="227">
        <f>'Epoch Dates'!B9</f>
        <v>44096.738888888889</v>
      </c>
      <c r="E57" s="279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3">
      <c r="B58" s="47" t="s">
        <v>140</v>
      </c>
      <c r="C58" s="198">
        <f>SKY!E12</f>
        <v>32019796414.357441</v>
      </c>
      <c r="D58" s="227">
        <f>'Epoch Dates'!B10</f>
        <v>44101.738888888889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3">
      <c r="B59" s="47" t="s">
        <v>141</v>
      </c>
      <c r="C59" s="198">
        <f>SKY!E13</f>
        <v>32058638339.013546</v>
      </c>
      <c r="D59" s="227">
        <f>'Epoch Dates'!B11</f>
        <v>44106.738888888889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3">
      <c r="B60" s="47" t="s">
        <v>142</v>
      </c>
      <c r="C60" s="198">
        <f>SKY!E14</f>
        <v>32097363737.895683</v>
      </c>
      <c r="D60" s="227">
        <f>'Epoch Dates'!B12</f>
        <v>44111.738888888889</v>
      </c>
      <c r="E60" s="17" t="s">
        <v>55</v>
      </c>
      <c r="F60" s="31">
        <f>$C$27</f>
        <v>213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4"/>
      <c r="T60" s="64"/>
      <c r="U60" s="63"/>
      <c r="V60" s="63"/>
      <c r="W60" s="63"/>
      <c r="X60" s="63"/>
      <c r="Y60" s="6"/>
      <c r="Z60" s="31"/>
    </row>
    <row r="61" spans="1:26" x14ac:dyDescent="0.3">
      <c r="B61" s="47" t="s">
        <v>143</v>
      </c>
      <c r="C61" s="198">
        <f>SKY!E15</f>
        <v>32135972960.581173</v>
      </c>
      <c r="D61" s="227">
        <f>'Epoch Dates'!B13</f>
        <v>44116.738888888889</v>
      </c>
      <c r="E61" s="17" t="s">
        <v>72</v>
      </c>
      <c r="F61" s="70">
        <f>$C$39</f>
        <v>0.108</v>
      </c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4"/>
      <c r="T61" s="64"/>
      <c r="U61" s="63"/>
      <c r="V61" s="63"/>
      <c r="W61" s="63"/>
      <c r="X61" s="63"/>
      <c r="Y61" s="6"/>
      <c r="Z61" s="31"/>
    </row>
    <row r="62" spans="1:26" x14ac:dyDescent="0.3">
      <c r="B62" s="47" t="s">
        <v>144</v>
      </c>
      <c r="C62" s="198">
        <f>SKY!E16</f>
        <v>32174466355.598606</v>
      </c>
      <c r="D62" s="227">
        <f>'Epoch Dates'!B14</f>
        <v>44121.738888888889</v>
      </c>
      <c r="E62" s="17" t="s">
        <v>71</v>
      </c>
      <c r="F62" s="71">
        <f>$C$41</f>
        <v>0.05</v>
      </c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4"/>
      <c r="T62" s="64"/>
      <c r="U62" s="63"/>
      <c r="V62" s="63"/>
      <c r="W62" s="63"/>
      <c r="X62" s="63"/>
      <c r="Y62" s="6"/>
      <c r="Z62" s="31"/>
    </row>
    <row r="63" spans="1:26" x14ac:dyDescent="0.3">
      <c r="B63" s="47" t="s">
        <v>145</v>
      </c>
      <c r="C63" s="198">
        <f>SKY!E17</f>
        <v>32212844270.430984</v>
      </c>
      <c r="D63" s="227">
        <f>'Epoch Dates'!B15</f>
        <v>44126.738888888889</v>
      </c>
      <c r="E63" s="17" t="s">
        <v>46</v>
      </c>
      <c r="F63" s="100">
        <f>$C$42</f>
        <v>250000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4"/>
      <c r="T63" s="64"/>
      <c r="U63" s="63"/>
      <c r="V63" s="63"/>
      <c r="W63" s="63"/>
      <c r="X63" s="63"/>
      <c r="Y63" s="6"/>
      <c r="Z63" s="31"/>
    </row>
    <row r="64" spans="1:26" x14ac:dyDescent="0.3">
      <c r="B64" s="6"/>
      <c r="C64" s="6"/>
      <c r="E64" s="93" t="s">
        <v>87</v>
      </c>
      <c r="F64" s="101">
        <f>$C$28</f>
        <v>150</v>
      </c>
      <c r="G64" s="282" t="s">
        <v>74</v>
      </c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87">
        <v>0</v>
      </c>
      <c r="Z64" s="31"/>
    </row>
    <row r="65" spans="1:26" x14ac:dyDescent="0.3">
      <c r="A65" s="88"/>
      <c r="B65" s="17"/>
      <c r="C65" s="3" t="s">
        <v>154</v>
      </c>
      <c r="D65" s="17" t="s">
        <v>148</v>
      </c>
      <c r="E65" s="277" t="s">
        <v>28</v>
      </c>
      <c r="F65" s="280" t="s">
        <v>118</v>
      </c>
      <c r="G65" s="280"/>
      <c r="H65" s="280"/>
      <c r="I65" s="280"/>
      <c r="J65" s="280"/>
      <c r="K65" s="280"/>
      <c r="L65" s="280"/>
      <c r="M65" s="280"/>
      <c r="N65" s="280"/>
      <c r="O65" s="280"/>
      <c r="P65" s="280"/>
      <c r="Q65" s="280"/>
      <c r="R65" s="280"/>
      <c r="S65" s="280"/>
      <c r="T65" s="280"/>
      <c r="U65" s="280"/>
      <c r="V65" s="280"/>
      <c r="W65" s="280"/>
      <c r="X65" s="281"/>
      <c r="Y65" s="87">
        <v>3.1200077904872279E-3</v>
      </c>
      <c r="Z65" s="31"/>
    </row>
    <row r="66" spans="1:26" x14ac:dyDescent="0.3">
      <c r="A66" s="47">
        <v>211</v>
      </c>
      <c r="B66" s="47" t="str">
        <f>B51</f>
        <v>Epoch 211</v>
      </c>
      <c r="C66" s="73">
        <f>rho!F8</f>
        <v>39786842.525043599</v>
      </c>
      <c r="D66" s="227">
        <f>D51</f>
        <v>44066.738888888889</v>
      </c>
      <c r="E66" s="278"/>
      <c r="F66" s="51">
        <f>C44</f>
        <v>57066.519839758759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7">
        <v>7.8000194762180711E-3</v>
      </c>
      <c r="Z66" s="31"/>
    </row>
    <row r="67" spans="1:26" ht="15" thickBot="1" x14ac:dyDescent="0.35">
      <c r="A67" s="47">
        <v>212</v>
      </c>
      <c r="B67" s="47" t="str">
        <f>B52</f>
        <v>Epoch 212</v>
      </c>
      <c r="C67" s="73">
        <f>rho!F9</f>
        <v>39667481.997468472</v>
      </c>
      <c r="D67" s="227">
        <f t="shared" ref="D67:D78" si="6">D52</f>
        <v>44071.738888888889</v>
      </c>
      <c r="E67" s="278"/>
      <c r="F67" s="12">
        <v>500000</v>
      </c>
      <c r="G67" s="52">
        <f t="dataTable" ref="G67:X83" dt2D="1" dtr="1" r1="C28" r2="C43" ca="1"/>
        <v>376.71004366849036</v>
      </c>
      <c r="H67" s="52">
        <v>376.72119588280412</v>
      </c>
      <c r="I67" s="53">
        <v>376.73235681350968</v>
      </c>
      <c r="J67" s="53">
        <v>376.7435264606072</v>
      </c>
      <c r="K67" s="53">
        <v>376.75470482409662</v>
      </c>
      <c r="L67" s="53">
        <v>376.76589190397789</v>
      </c>
      <c r="M67" s="53">
        <v>376.777087700251</v>
      </c>
      <c r="N67" s="53">
        <v>376.78829221291619</v>
      </c>
      <c r="O67" s="53">
        <v>376.79950544197311</v>
      </c>
      <c r="P67" s="53">
        <v>376.81072738742188</v>
      </c>
      <c r="Q67" s="53">
        <v>376.82195804926272</v>
      </c>
      <c r="R67" s="53">
        <v>376.84444552211983</v>
      </c>
      <c r="S67" s="53">
        <v>376.86696786054466</v>
      </c>
      <c r="T67" s="53">
        <v>376.91211713409683</v>
      </c>
      <c r="U67" s="53">
        <v>376.95740586991934</v>
      </c>
      <c r="V67" s="53">
        <v>377.00283406801219</v>
      </c>
      <c r="W67" s="53">
        <v>377.04840172837527</v>
      </c>
      <c r="X67" s="54">
        <v>377.09410885100874</v>
      </c>
      <c r="Y67" s="87">
        <v>3.1200077904872284E-2</v>
      </c>
      <c r="Z67" s="31"/>
    </row>
    <row r="68" spans="1:26" ht="15" thickBot="1" x14ac:dyDescent="0.35">
      <c r="A68" s="47">
        <v>213</v>
      </c>
      <c r="B68" s="47" t="str">
        <f>B53</f>
        <v>Epoch 213</v>
      </c>
      <c r="C68" s="73">
        <f>rho!F10</f>
        <v>39548479.551476061</v>
      </c>
      <c r="D68" s="227">
        <f t="shared" si="6"/>
        <v>44076.738888888889</v>
      </c>
      <c r="E68" s="278"/>
      <c r="F68" s="89">
        <v>544000</v>
      </c>
      <c r="G68" s="90">
        <v>409.86638596581827</v>
      </c>
      <c r="H68" s="90">
        <v>409.87949598407494</v>
      </c>
      <c r="I68" s="91">
        <v>409.89261548576616</v>
      </c>
      <c r="J68" s="91">
        <v>409.90574447089159</v>
      </c>
      <c r="K68" s="91">
        <v>409.91888293945158</v>
      </c>
      <c r="L68" s="91">
        <v>409.93203089144583</v>
      </c>
      <c r="M68" s="91">
        <v>409.94518832687447</v>
      </c>
      <c r="N68" s="91">
        <v>409.95835524573755</v>
      </c>
      <c r="O68" s="91">
        <v>409.97153164803495</v>
      </c>
      <c r="P68" s="91">
        <v>409.98471753376674</v>
      </c>
      <c r="Q68" s="91">
        <v>409.99791290293285</v>
      </c>
      <c r="R68" s="91">
        <v>410.0243320915684</v>
      </c>
      <c r="S68" s="91">
        <v>410.05078921394136</v>
      </c>
      <c r="T68" s="91">
        <v>410.10381725989998</v>
      </c>
      <c r="U68" s="91">
        <v>410.15699704080868</v>
      </c>
      <c r="V68" s="91">
        <v>410.21032855666743</v>
      </c>
      <c r="W68" s="91">
        <v>410.26381180747637</v>
      </c>
      <c r="X68" s="92">
        <v>410.31744679323521</v>
      </c>
      <c r="Y68" s="87">
        <v>4.6800116857308421E-2</v>
      </c>
      <c r="Z68" s="31"/>
    </row>
    <row r="69" spans="1:26" x14ac:dyDescent="0.3">
      <c r="A69" s="47">
        <v>214</v>
      </c>
      <c r="B69" s="47" t="str">
        <f>B54</f>
        <v>Epoch 214</v>
      </c>
      <c r="C69" s="73">
        <f>rho!F11</f>
        <v>39429834.112821639</v>
      </c>
      <c r="D69" s="227">
        <f t="shared" si="6"/>
        <v>44081.738888888889</v>
      </c>
      <c r="E69" s="278"/>
      <c r="F69" s="12">
        <v>1000000</v>
      </c>
      <c r="G69" s="52">
        <v>753.4866606835792</v>
      </c>
      <c r="H69" s="52">
        <v>753.52006066997296</v>
      </c>
      <c r="I69" s="53">
        <v>753.55347808915064</v>
      </c>
      <c r="J69" s="53">
        <v>753.5869129411119</v>
      </c>
      <c r="K69" s="53">
        <v>753.6203652258572</v>
      </c>
      <c r="L69" s="53">
        <v>753.65383494338619</v>
      </c>
      <c r="M69" s="53">
        <v>753.68732209369898</v>
      </c>
      <c r="N69" s="53">
        <v>753.72082667679524</v>
      </c>
      <c r="O69" s="53">
        <v>753.75434869267576</v>
      </c>
      <c r="P69" s="53">
        <v>753.78788814133998</v>
      </c>
      <c r="Q69" s="53">
        <v>753.82144502278766</v>
      </c>
      <c r="R69" s="53">
        <v>753.88861108403489</v>
      </c>
      <c r="S69" s="53">
        <v>753.95584687641724</v>
      </c>
      <c r="T69" s="53">
        <v>754.09052765458728</v>
      </c>
      <c r="U69" s="53">
        <v>754.22548735729788</v>
      </c>
      <c r="V69" s="53">
        <v>754.36072598454916</v>
      </c>
      <c r="W69" s="53">
        <v>754.49624353634101</v>
      </c>
      <c r="X69" s="54">
        <v>754.63204001267343</v>
      </c>
      <c r="Y69" s="87">
        <v>9.3600233714616843E-2</v>
      </c>
      <c r="Z69" s="31"/>
    </row>
    <row r="70" spans="1:26" x14ac:dyDescent="0.3">
      <c r="A70" s="47">
        <v>215</v>
      </c>
      <c r="B70" s="47" t="str">
        <f>B55</f>
        <v>Epoch 215</v>
      </c>
      <c r="C70" s="73">
        <f>rho!F12</f>
        <v>39311544.61048317</v>
      </c>
      <c r="D70" s="227">
        <f t="shared" si="6"/>
        <v>44086.738888888889</v>
      </c>
      <c r="E70" s="278"/>
      <c r="F70" s="12">
        <v>1458717</v>
      </c>
      <c r="G70" s="52">
        <v>1099.1543395382002</v>
      </c>
      <c r="H70" s="52">
        <v>1099.2081503871245</v>
      </c>
      <c r="I70" s="53">
        <v>1099.2619866655468</v>
      </c>
      <c r="J70" s="53">
        <v>1099.3158483734674</v>
      </c>
      <c r="K70" s="53">
        <v>1099.3697355108861</v>
      </c>
      <c r="L70" s="53">
        <v>1099.4236480778027</v>
      </c>
      <c r="M70" s="53">
        <v>1099.4775860742175</v>
      </c>
      <c r="N70" s="53">
        <v>1099.53154950013</v>
      </c>
      <c r="O70" s="53">
        <v>1099.5855383555408</v>
      </c>
      <c r="P70" s="53">
        <v>1099.6395526404499</v>
      </c>
      <c r="Q70" s="53">
        <v>1099.6935923548569</v>
      </c>
      <c r="R70" s="53">
        <v>1099.8017480721649</v>
      </c>
      <c r="S70" s="53">
        <v>1099.9100055074655</v>
      </c>
      <c r="T70" s="53">
        <v>1100.1268255320429</v>
      </c>
      <c r="U70" s="53">
        <v>1100.3440524285895</v>
      </c>
      <c r="V70" s="53">
        <v>1100.5616861971052</v>
      </c>
      <c r="W70" s="53">
        <v>1100.77972683759</v>
      </c>
      <c r="X70" s="54">
        <v>1100.9981743500441</v>
      </c>
      <c r="Y70" s="87">
        <v>0.15</v>
      </c>
      <c r="Z70" s="31"/>
    </row>
    <row r="71" spans="1:26" x14ac:dyDescent="0.3">
      <c r="A71" s="47">
        <v>216</v>
      </c>
      <c r="B71" s="47" t="str">
        <f t="shared" ref="B71:B78" si="7">B56</f>
        <v>Epoch 216</v>
      </c>
      <c r="C71" s="73">
        <f>rho!F13</f>
        <v>39193609.976651721</v>
      </c>
      <c r="D71" s="227">
        <f t="shared" si="6"/>
        <v>44091.738888888889</v>
      </c>
      <c r="E71" s="278"/>
      <c r="F71" s="12">
        <v>5000000</v>
      </c>
      <c r="G71" s="52">
        <v>3767.6995968042897</v>
      </c>
      <c r="H71" s="52">
        <v>3767.9109789673239</v>
      </c>
      <c r="I71" s="53">
        <v>3768.1224482942775</v>
      </c>
      <c r="J71" s="53">
        <v>3768.3340047851502</v>
      </c>
      <c r="K71" s="53">
        <v>3768.5456484399415</v>
      </c>
      <c r="L71" s="53">
        <v>3768.7573792586522</v>
      </c>
      <c r="M71" s="53">
        <v>3768.969197241282</v>
      </c>
      <c r="N71" s="53">
        <v>3769.1811023878295</v>
      </c>
      <c r="O71" s="53">
        <v>3769.3930946982964</v>
      </c>
      <c r="P71" s="53">
        <v>3769.6051741726837</v>
      </c>
      <c r="Q71" s="53">
        <v>3769.8173408109878</v>
      </c>
      <c r="R71" s="53">
        <v>3770.241935579355</v>
      </c>
      <c r="S71" s="53">
        <v>3770.6668790033982</v>
      </c>
      <c r="T71" s="53">
        <v>3771.5178118185099</v>
      </c>
      <c r="U71" s="53">
        <v>3772.3701392563257</v>
      </c>
      <c r="V71" s="53">
        <v>3773.2238613168447</v>
      </c>
      <c r="W71" s="53">
        <v>3774.0789780000669</v>
      </c>
      <c r="X71" s="54">
        <v>3774.9354893059913</v>
      </c>
      <c r="Y71" s="87">
        <v>0.2</v>
      </c>
      <c r="Z71" s="31"/>
    </row>
    <row r="72" spans="1:26" x14ac:dyDescent="0.3">
      <c r="A72" s="47">
        <v>217</v>
      </c>
      <c r="B72" s="47" t="str">
        <f t="shared" si="7"/>
        <v>Epoch 217</v>
      </c>
      <c r="C72" s="73">
        <f>rho!F14</f>
        <v>39076029.146721765</v>
      </c>
      <c r="D72" s="227">
        <f t="shared" si="6"/>
        <v>44096.738888888889</v>
      </c>
      <c r="E72" s="278"/>
      <c r="F72" s="12">
        <v>10000000</v>
      </c>
      <c r="G72" s="52">
        <v>7535.4657669551789</v>
      </c>
      <c r="H72" s="52">
        <v>7535.8996268390147</v>
      </c>
      <c r="I72" s="53">
        <v>7536.3336610506858</v>
      </c>
      <c r="J72" s="53">
        <v>7536.7678695901977</v>
      </c>
      <c r="K72" s="53">
        <v>7537.2022524575477</v>
      </c>
      <c r="L72" s="53">
        <v>7537.6368096527349</v>
      </c>
      <c r="M72" s="53">
        <v>7538.0715411757592</v>
      </c>
      <c r="N72" s="53">
        <v>7538.5064470266225</v>
      </c>
      <c r="O72" s="53">
        <v>7538.9415272053229</v>
      </c>
      <c r="P72" s="53">
        <v>7539.3767817118614</v>
      </c>
      <c r="Q72" s="53">
        <v>7539.8122105462389</v>
      </c>
      <c r="R72" s="53">
        <v>7540.6835911985054</v>
      </c>
      <c r="S72" s="53">
        <v>7541.5556691621232</v>
      </c>
      <c r="T72" s="53">
        <v>7543.3019170234138</v>
      </c>
      <c r="U72" s="53">
        <v>7545.0509541301108</v>
      </c>
      <c r="V72" s="53">
        <v>7546.8027804822141</v>
      </c>
      <c r="W72" s="53">
        <v>7548.5573960797228</v>
      </c>
      <c r="X72" s="54">
        <v>7550.3148009226379</v>
      </c>
      <c r="Y72" s="87">
        <v>0.25</v>
      </c>
      <c r="Z72" s="31"/>
    </row>
    <row r="73" spans="1:26" ht="14.25" customHeight="1" x14ac:dyDescent="0.3">
      <c r="A73" s="47">
        <v>218</v>
      </c>
      <c r="B73" s="47" t="str">
        <f t="shared" si="7"/>
        <v>Epoch 218</v>
      </c>
      <c r="C73" s="73">
        <f>rho!F15</f>
        <v>38958801.059281603</v>
      </c>
      <c r="D73" s="227">
        <f t="shared" si="6"/>
        <v>44101.738888888889</v>
      </c>
      <c r="E73" s="278"/>
      <c r="F73" s="12">
        <v>15000000</v>
      </c>
      <c r="G73" s="52">
        <v>11303.231937106066</v>
      </c>
      <c r="H73" s="52">
        <v>11303.888274710702</v>
      </c>
      <c r="I73" s="53">
        <v>11304.544873807097</v>
      </c>
      <c r="J73" s="53">
        <v>11305.201734395248</v>
      </c>
      <c r="K73" s="53">
        <v>11305.858856475154</v>
      </c>
      <c r="L73" s="53">
        <v>11306.516240046818</v>
      </c>
      <c r="M73" s="53">
        <v>11307.173885110238</v>
      </c>
      <c r="N73" s="53">
        <v>11307.831791665418</v>
      </c>
      <c r="O73" s="53">
        <v>11308.489959712351</v>
      </c>
      <c r="P73" s="53">
        <v>11309.148389251042</v>
      </c>
      <c r="Q73" s="53">
        <v>11309.807080281489</v>
      </c>
      <c r="R73" s="53">
        <v>11311.125246817655</v>
      </c>
      <c r="S73" s="53">
        <v>11312.44445932085</v>
      </c>
      <c r="T73" s="53">
        <v>11315.086022228321</v>
      </c>
      <c r="U73" s="53">
        <v>11317.731769003896</v>
      </c>
      <c r="V73" s="53">
        <v>11320.381699647585</v>
      </c>
      <c r="W73" s="53">
        <v>11323.035814159381</v>
      </c>
      <c r="X73" s="54">
        <v>11325.694112539284</v>
      </c>
      <c r="Y73" s="87">
        <v>0.3</v>
      </c>
      <c r="Z73" s="31"/>
    </row>
    <row r="74" spans="1:26" x14ac:dyDescent="0.3">
      <c r="A74" s="47">
        <v>219</v>
      </c>
      <c r="B74" s="47" t="str">
        <f t="shared" si="7"/>
        <v>Epoch 219</v>
      </c>
      <c r="C74" s="73">
        <f>rho!F16</f>
        <v>38841924.65610376</v>
      </c>
      <c r="D74" s="227">
        <f t="shared" si="6"/>
        <v>44106.738888888889</v>
      </c>
      <c r="E74" s="278"/>
      <c r="F74" s="12">
        <v>20000000</v>
      </c>
      <c r="G74" s="52">
        <v>15070.998107256954</v>
      </c>
      <c r="H74" s="52">
        <v>15071.876922582394</v>
      </c>
      <c r="I74" s="52">
        <v>15072.756086563506</v>
      </c>
      <c r="J74" s="52">
        <v>15073.635599200292</v>
      </c>
      <c r="K74" s="52">
        <v>15074.515460492759</v>
      </c>
      <c r="L74" s="52">
        <v>15075.395670440899</v>
      </c>
      <c r="M74" s="52">
        <v>15076.276229044717</v>
      </c>
      <c r="N74" s="52">
        <v>15077.157136304206</v>
      </c>
      <c r="O74" s="52">
        <v>15078.038392219376</v>
      </c>
      <c r="P74" s="52">
        <v>15078.91999679022</v>
      </c>
      <c r="Q74" s="52">
        <v>15079.801950016741</v>
      </c>
      <c r="R74" s="52">
        <v>15081.566902436807</v>
      </c>
      <c r="S74" s="52">
        <v>15083.333249479574</v>
      </c>
      <c r="T74" s="52">
        <v>15086.870127433223</v>
      </c>
      <c r="U74" s="52">
        <v>15090.412583877682</v>
      </c>
      <c r="V74" s="52">
        <v>15093.960618812953</v>
      </c>
      <c r="W74" s="52">
        <v>15097.514232239037</v>
      </c>
      <c r="X74" s="55">
        <v>15101.073424155929</v>
      </c>
      <c r="Y74" s="87">
        <v>0.4</v>
      </c>
      <c r="Z74" s="31"/>
    </row>
    <row r="75" spans="1:26" x14ac:dyDescent="0.3">
      <c r="A75" s="47">
        <v>220</v>
      </c>
      <c r="B75" s="47" t="str">
        <f t="shared" si="7"/>
        <v>Epoch 220</v>
      </c>
      <c r="C75" s="73">
        <f>rho!F17</f>
        <v>38725398.882135451</v>
      </c>
      <c r="D75" s="227">
        <f t="shared" si="6"/>
        <v>44111.738888888889</v>
      </c>
      <c r="E75" s="278"/>
      <c r="F75" s="12">
        <v>32000000</v>
      </c>
      <c r="G75" s="52">
        <v>24113.636915619085</v>
      </c>
      <c r="H75" s="52">
        <v>24115.049677474442</v>
      </c>
      <c r="I75" s="52">
        <v>24116.462997178889</v>
      </c>
      <c r="J75" s="52">
        <v>24117.87687473241</v>
      </c>
      <c r="K75" s="52">
        <v>24119.29131013501</v>
      </c>
      <c r="L75" s="52">
        <v>24120.706303386698</v>
      </c>
      <c r="M75" s="52">
        <v>24122.121854487468</v>
      </c>
      <c r="N75" s="52">
        <v>24123.537963437317</v>
      </c>
      <c r="O75" s="52">
        <v>24124.954630236243</v>
      </c>
      <c r="P75" s="52">
        <v>24126.371854884255</v>
      </c>
      <c r="Q75" s="52">
        <v>24127.789637381342</v>
      </c>
      <c r="R75" s="52">
        <v>24130.626875922771</v>
      </c>
      <c r="S75" s="52">
        <v>24133.466345860521</v>
      </c>
      <c r="T75" s="52">
        <v>24139.151979924995</v>
      </c>
      <c r="U75" s="52">
        <v>24144.846539574763</v>
      </c>
      <c r="V75" s="52">
        <v>24150.550024809836</v>
      </c>
      <c r="W75" s="52">
        <v>24156.262435630215</v>
      </c>
      <c r="X75" s="55">
        <v>24028.959486677973</v>
      </c>
      <c r="Y75" s="87">
        <v>0.5</v>
      </c>
      <c r="Z75" s="31"/>
    </row>
    <row r="76" spans="1:26" x14ac:dyDescent="0.3">
      <c r="A76" s="47">
        <v>221</v>
      </c>
      <c r="B76" s="47" t="str">
        <f t="shared" si="7"/>
        <v>Epoch 221</v>
      </c>
      <c r="C76" s="73">
        <f>rho!F18</f>
        <v>38609222.685489044</v>
      </c>
      <c r="D76" s="227">
        <f t="shared" si="6"/>
        <v>44116.738888888889</v>
      </c>
      <c r="E76" s="278"/>
      <c r="F76" s="12">
        <v>50000000</v>
      </c>
      <c r="G76" s="56">
        <v>37677.595128162291</v>
      </c>
      <c r="H76" s="56">
        <v>37679.80880981253</v>
      </c>
      <c r="I76" s="56">
        <v>37682.023363101958</v>
      </c>
      <c r="J76" s="56">
        <v>37684.238788030583</v>
      </c>
      <c r="K76" s="56">
        <v>37686.455084598398</v>
      </c>
      <c r="L76" s="56">
        <v>37688.672252805402</v>
      </c>
      <c r="M76" s="56">
        <v>37690.890292651588</v>
      </c>
      <c r="N76" s="56">
        <v>37693.10920413697</v>
      </c>
      <c r="O76" s="56">
        <v>37695.328987261542</v>
      </c>
      <c r="P76" s="56">
        <v>37697.549642025297</v>
      </c>
      <c r="Q76" s="56">
        <v>37699.771168428248</v>
      </c>
      <c r="R76" s="56">
        <v>37704.216836151711</v>
      </c>
      <c r="S76" s="56">
        <v>37708.665990431931</v>
      </c>
      <c r="T76" s="56">
        <v>37717.574758662646</v>
      </c>
      <c r="U76" s="56">
        <v>34302.87219653395</v>
      </c>
      <c r="V76" s="56">
        <v>30022.075234093965</v>
      </c>
      <c r="W76" s="56">
        <v>26692.566485529522</v>
      </c>
      <c r="X76" s="57">
        <v>24028.959486677973</v>
      </c>
      <c r="Y76" s="87">
        <v>0.6</v>
      </c>
      <c r="Z76" s="31"/>
    </row>
    <row r="77" spans="1:26" x14ac:dyDescent="0.3">
      <c r="A77" s="47">
        <v>222</v>
      </c>
      <c r="B77" s="47" t="str">
        <f t="shared" si="7"/>
        <v>Epoch 222</v>
      </c>
      <c r="C77" s="73">
        <f>rho!F19</f>
        <v>38493395.01743257</v>
      </c>
      <c r="D77" s="227">
        <f t="shared" si="6"/>
        <v>44121.738888888889</v>
      </c>
      <c r="E77" s="278"/>
      <c r="F77" s="12">
        <v>75000000</v>
      </c>
      <c r="G77" s="56">
        <v>56516.425978916734</v>
      </c>
      <c r="H77" s="56">
        <v>56519.752049170973</v>
      </c>
      <c r="I77" s="56">
        <v>56523.079426884004</v>
      </c>
      <c r="J77" s="56">
        <v>56526.408112055826</v>
      </c>
      <c r="K77" s="56">
        <v>56529.738104686418</v>
      </c>
      <c r="L77" s="56">
        <v>56533.069404775815</v>
      </c>
      <c r="M77" s="56">
        <v>56536.402012323975</v>
      </c>
      <c r="N77" s="56">
        <v>56539.735927330941</v>
      </c>
      <c r="O77" s="56">
        <v>56543.071149796677</v>
      </c>
      <c r="P77" s="56">
        <v>56546.407679721196</v>
      </c>
      <c r="Q77" s="56">
        <v>56549.7455171045</v>
      </c>
      <c r="R77" s="56">
        <v>53328.636474045023</v>
      </c>
      <c r="S77" s="56">
        <v>48001.422476341926</v>
      </c>
      <c r="T77" s="56">
        <v>40010.601479787278</v>
      </c>
      <c r="U77" s="56">
        <v>34302.87219653395</v>
      </c>
      <c r="V77" s="56">
        <v>30022.075234093965</v>
      </c>
      <c r="W77" s="56">
        <v>26692.566485529522</v>
      </c>
      <c r="X77" s="57">
        <v>24028.959486677973</v>
      </c>
      <c r="Y77" s="87">
        <v>0.7</v>
      </c>
      <c r="Z77" s="31"/>
    </row>
    <row r="78" spans="1:26" x14ac:dyDescent="0.3">
      <c r="A78" s="47">
        <v>223</v>
      </c>
      <c r="B78" s="47" t="str">
        <f t="shared" si="7"/>
        <v>Epoch 223</v>
      </c>
      <c r="C78" s="73">
        <f>rho!F20</f>
        <v>38377914.832380272</v>
      </c>
      <c r="D78" s="227">
        <f t="shared" si="6"/>
        <v>44126.738888888889</v>
      </c>
      <c r="E78" s="278"/>
      <c r="F78" s="12">
        <v>100000000</v>
      </c>
      <c r="G78" s="56">
        <v>75355.256829671169</v>
      </c>
      <c r="H78" s="56">
        <v>75359.695288529416</v>
      </c>
      <c r="I78" s="56">
        <v>75364.135490666056</v>
      </c>
      <c r="J78" s="56">
        <v>75368.577436081061</v>
      </c>
      <c r="K78" s="56">
        <v>75373.021124774445</v>
      </c>
      <c r="L78" s="56">
        <v>75377.466556746236</v>
      </c>
      <c r="M78" s="56">
        <v>75381.913731996377</v>
      </c>
      <c r="N78" s="56">
        <v>73817.921080595406</v>
      </c>
      <c r="O78" s="56">
        <v>68549.247896053872</v>
      </c>
      <c r="P78" s="56">
        <v>63983.064469451216</v>
      </c>
      <c r="Q78" s="56">
        <v>59987.653971173895</v>
      </c>
      <c r="R78" s="56">
        <v>53328.636474045023</v>
      </c>
      <c r="S78" s="56">
        <v>48001.422476341926</v>
      </c>
      <c r="T78" s="56">
        <v>40010.601479787278</v>
      </c>
      <c r="U78" s="56">
        <v>34302.87219653395</v>
      </c>
      <c r="V78" s="56">
        <v>30022.075234093965</v>
      </c>
      <c r="W78" s="56">
        <v>26692.566485529522</v>
      </c>
      <c r="X78" s="57">
        <v>24028.959486677973</v>
      </c>
      <c r="Y78" s="87">
        <v>0.8</v>
      </c>
      <c r="Z78" s="31"/>
    </row>
    <row r="79" spans="1:26" ht="15" thickBot="1" x14ac:dyDescent="0.35">
      <c r="B79" s="6"/>
      <c r="C79" s="6"/>
      <c r="E79" s="278"/>
      <c r="F79" s="12">
        <v>150000000</v>
      </c>
      <c r="G79" s="56">
        <v>113032.91853118004</v>
      </c>
      <c r="H79" s="56">
        <v>113039.5817672463</v>
      </c>
      <c r="I79" s="56">
        <v>113046.24761823015</v>
      </c>
      <c r="J79" s="56">
        <v>106600.77645107603</v>
      </c>
      <c r="K79" s="56">
        <v>95946.348455669824</v>
      </c>
      <c r="L79" s="56">
        <v>87229.089186701109</v>
      </c>
      <c r="M79" s="56">
        <v>79964.706462560542</v>
      </c>
      <c r="N79" s="56">
        <v>73817.921080595406</v>
      </c>
      <c r="O79" s="56">
        <v>68549.247896053872</v>
      </c>
      <c r="P79" s="56">
        <v>63983.064469451216</v>
      </c>
      <c r="Q79" s="56">
        <v>59987.653971173895</v>
      </c>
      <c r="R79" s="56">
        <v>53328.636474045023</v>
      </c>
      <c r="S79" s="56">
        <v>48001.422476341926</v>
      </c>
      <c r="T79" s="56">
        <v>40010.601479787278</v>
      </c>
      <c r="U79" s="56">
        <v>34302.87219653395</v>
      </c>
      <c r="V79" s="56">
        <v>30022.075234093965</v>
      </c>
      <c r="W79" s="56">
        <v>26692.566485529522</v>
      </c>
      <c r="X79" s="57">
        <v>24028.959486677973</v>
      </c>
      <c r="Y79" s="87">
        <v>0.85</v>
      </c>
      <c r="Z79" s="31"/>
    </row>
    <row r="80" spans="1:26" ht="15" thickBot="1" x14ac:dyDescent="0.35">
      <c r="A80" s="21">
        <v>0</v>
      </c>
      <c r="B80" s="6" t="s">
        <v>100</v>
      </c>
      <c r="C80" s="74">
        <v>21600</v>
      </c>
      <c r="E80" s="278"/>
      <c r="F80" s="12">
        <v>175000000</v>
      </c>
      <c r="G80" s="56">
        <v>131871.74938193447</v>
      </c>
      <c r="H80" s="56">
        <v>131879.52500660476</v>
      </c>
      <c r="I80" s="56">
        <v>119918.81144533379</v>
      </c>
      <c r="J80" s="56">
        <v>106600.77645107603</v>
      </c>
      <c r="K80" s="56">
        <v>95946.348455669824</v>
      </c>
      <c r="L80" s="56">
        <v>87229.089186701109</v>
      </c>
      <c r="M80" s="56">
        <v>79964.706462560542</v>
      </c>
      <c r="N80" s="56">
        <v>73817.921080595406</v>
      </c>
      <c r="O80" s="56">
        <v>68549.247896053872</v>
      </c>
      <c r="P80" s="56">
        <v>63983.064469451216</v>
      </c>
      <c r="Q80" s="56">
        <v>59987.653971173895</v>
      </c>
      <c r="R80" s="56">
        <v>53328.636474045023</v>
      </c>
      <c r="S80" s="56">
        <v>48001.422476341926</v>
      </c>
      <c r="T80" s="56">
        <v>40010.601479787278</v>
      </c>
      <c r="U80" s="56">
        <v>34302.87219653395</v>
      </c>
      <c r="V80" s="56">
        <v>30022.075234093965</v>
      </c>
      <c r="W80" s="56">
        <v>26692.566485529522</v>
      </c>
      <c r="X80" s="57">
        <v>24028.959486677973</v>
      </c>
      <c r="Y80" s="87">
        <v>0.9</v>
      </c>
      <c r="Z80" s="31"/>
    </row>
    <row r="81" spans="1:26" x14ac:dyDescent="0.3">
      <c r="A81" s="21">
        <v>0.1</v>
      </c>
      <c r="B81" s="6" t="s">
        <v>127</v>
      </c>
      <c r="C81" s="31">
        <f t="shared" ref="C81:C91" si="8">(1-A81) * $C$80</f>
        <v>19440</v>
      </c>
      <c r="E81" s="278"/>
      <c r="F81" s="12">
        <v>185000000</v>
      </c>
      <c r="G81" s="56">
        <v>139407.28172223628</v>
      </c>
      <c r="H81" s="56">
        <v>137041.99929509373</v>
      </c>
      <c r="I81" s="56">
        <v>119918.81144533379</v>
      </c>
      <c r="J81" s="56">
        <v>106600.77645107603</v>
      </c>
      <c r="K81" s="56">
        <v>95946.348455669824</v>
      </c>
      <c r="L81" s="56">
        <v>87229.089186701109</v>
      </c>
      <c r="M81" s="56">
        <v>79964.706462560542</v>
      </c>
      <c r="N81" s="56">
        <v>73817.921080595406</v>
      </c>
      <c r="O81" s="56">
        <v>68549.247896053872</v>
      </c>
      <c r="P81" s="56">
        <v>63983.064469451216</v>
      </c>
      <c r="Q81" s="56">
        <v>59987.653971173895</v>
      </c>
      <c r="R81" s="56">
        <v>53328.636474045023</v>
      </c>
      <c r="S81" s="56">
        <v>48001.422476341926</v>
      </c>
      <c r="T81" s="56">
        <v>40010.601479787278</v>
      </c>
      <c r="U81" s="56">
        <v>34302.87219653395</v>
      </c>
      <c r="V81" s="56">
        <v>30022.075234093965</v>
      </c>
      <c r="W81" s="56">
        <v>26692.566485529522</v>
      </c>
      <c r="X81" s="57">
        <v>24028.959486677973</v>
      </c>
      <c r="Y81" s="88">
        <v>1</v>
      </c>
      <c r="Z81" s="31"/>
    </row>
    <row r="82" spans="1:26" x14ac:dyDescent="0.3">
      <c r="A82" s="21">
        <f>A81+0.1</f>
        <v>0.2</v>
      </c>
      <c r="B82" s="6" t="s">
        <v>128</v>
      </c>
      <c r="C82" s="31">
        <f t="shared" si="8"/>
        <v>17280</v>
      </c>
      <c r="E82" s="278"/>
      <c r="F82" s="12">
        <v>195000000</v>
      </c>
      <c r="G82" s="56">
        <v>146942.81406253803</v>
      </c>
      <c r="H82" s="56">
        <v>137041.99929509373</v>
      </c>
      <c r="I82" s="56">
        <v>119918.81144533379</v>
      </c>
      <c r="J82" s="56">
        <v>106600.77645107603</v>
      </c>
      <c r="K82" s="56">
        <v>95946.348455669824</v>
      </c>
      <c r="L82" s="56">
        <v>87229.089186701109</v>
      </c>
      <c r="M82" s="56">
        <v>79964.706462560542</v>
      </c>
      <c r="N82" s="56">
        <v>73817.921080595406</v>
      </c>
      <c r="O82" s="56">
        <v>68549.247896053872</v>
      </c>
      <c r="P82" s="56">
        <v>63983.064469451216</v>
      </c>
      <c r="Q82" s="56">
        <v>59987.653971173895</v>
      </c>
      <c r="R82" s="56">
        <v>53328.636474045023</v>
      </c>
      <c r="S82" s="56">
        <v>48001.422476341926</v>
      </c>
      <c r="T82" s="56">
        <v>40010.601479787278</v>
      </c>
      <c r="U82" s="56">
        <v>34302.87219653395</v>
      </c>
      <c r="V82" s="56">
        <v>30022.075234093965</v>
      </c>
      <c r="W82" s="56">
        <v>26692.566485529522</v>
      </c>
      <c r="X82" s="57">
        <v>24028.959486677973</v>
      </c>
      <c r="Y82" s="6"/>
      <c r="Z82" s="31"/>
    </row>
    <row r="83" spans="1:26" x14ac:dyDescent="0.3">
      <c r="A83" s="21">
        <f t="shared" ref="A83:A87" si="9">A82+0.1</f>
        <v>0.30000000000000004</v>
      </c>
      <c r="B83" s="6" t="s">
        <v>129</v>
      </c>
      <c r="C83" s="31">
        <f t="shared" si="8"/>
        <v>15119.999999999998</v>
      </c>
      <c r="E83" s="279"/>
      <c r="F83" s="27">
        <v>220000000</v>
      </c>
      <c r="G83" s="58">
        <v>159872.91642810704</v>
      </c>
      <c r="H83" s="58">
        <v>137041.99929509373</v>
      </c>
      <c r="I83" s="58">
        <v>119918.81144533379</v>
      </c>
      <c r="J83" s="58">
        <v>106600.77645107603</v>
      </c>
      <c r="K83" s="58">
        <v>95946.348455669824</v>
      </c>
      <c r="L83" s="58">
        <v>87229.089186701109</v>
      </c>
      <c r="M83" s="58">
        <v>79964.706462560542</v>
      </c>
      <c r="N83" s="58">
        <v>73817.921080595406</v>
      </c>
      <c r="O83" s="58">
        <v>68549.247896053872</v>
      </c>
      <c r="P83" s="58">
        <v>63983.064469451216</v>
      </c>
      <c r="Q83" s="58">
        <v>59987.653971173895</v>
      </c>
      <c r="R83" s="58">
        <v>53328.636474045023</v>
      </c>
      <c r="S83" s="58">
        <v>48001.422476341926</v>
      </c>
      <c r="T83" s="58">
        <v>40010.601479787278</v>
      </c>
      <c r="U83" s="58">
        <v>34302.87219653395</v>
      </c>
      <c r="V83" s="58">
        <v>30022.075234093965</v>
      </c>
      <c r="W83" s="58">
        <v>26692.566485529522</v>
      </c>
      <c r="X83" s="59">
        <v>24028.959486677973</v>
      </c>
      <c r="Y83" s="6"/>
      <c r="Z83" s="31"/>
    </row>
    <row r="84" spans="1:26" s="144" customFormat="1" x14ac:dyDescent="0.3">
      <c r="A84" s="21">
        <f t="shared" si="9"/>
        <v>0.4</v>
      </c>
      <c r="B84" s="6" t="s">
        <v>130</v>
      </c>
      <c r="C84" s="31">
        <f t="shared" si="8"/>
        <v>12960</v>
      </c>
      <c r="Z84" s="145"/>
    </row>
    <row r="85" spans="1:26" s="144" customFormat="1" x14ac:dyDescent="0.3">
      <c r="A85" s="21">
        <f t="shared" si="9"/>
        <v>0.5</v>
      </c>
      <c r="B85" s="6" t="s">
        <v>131</v>
      </c>
      <c r="C85" s="31">
        <f t="shared" si="8"/>
        <v>10800</v>
      </c>
      <c r="Z85" s="145"/>
    </row>
    <row r="86" spans="1:26" s="144" customFormat="1" x14ac:dyDescent="0.3">
      <c r="A86" s="21">
        <f t="shared" si="9"/>
        <v>0.6</v>
      </c>
      <c r="B86" s="6" t="s">
        <v>132</v>
      </c>
      <c r="C86" s="31">
        <f t="shared" si="8"/>
        <v>8640</v>
      </c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5"/>
    </row>
    <row r="87" spans="1:26" s="144" customFormat="1" x14ac:dyDescent="0.3">
      <c r="A87" s="21">
        <f t="shared" si="9"/>
        <v>0.7</v>
      </c>
      <c r="B87" s="6" t="s">
        <v>134</v>
      </c>
      <c r="C87" s="31">
        <f t="shared" si="8"/>
        <v>6480.0000000000009</v>
      </c>
      <c r="Z87" s="145"/>
    </row>
    <row r="88" spans="1:26" s="144" customFormat="1" x14ac:dyDescent="0.3">
      <c r="A88" s="275">
        <f>A87+0.02</f>
        <v>0.72</v>
      </c>
      <c r="B88" s="6" t="s">
        <v>133</v>
      </c>
      <c r="C88" s="31">
        <f t="shared" si="8"/>
        <v>6048.0000000000009</v>
      </c>
      <c r="Z88" s="145"/>
    </row>
    <row r="89" spans="1:26" s="144" customFormat="1" x14ac:dyDescent="0.3">
      <c r="A89" s="275">
        <f t="shared" ref="A89:A91" si="10">A88+0.02</f>
        <v>0.74</v>
      </c>
      <c r="B89" s="6" t="s">
        <v>135</v>
      </c>
      <c r="C89" s="31">
        <f t="shared" si="8"/>
        <v>5616</v>
      </c>
      <c r="Z89" s="145"/>
    </row>
    <row r="90" spans="1:26" s="144" customFormat="1" x14ac:dyDescent="0.3">
      <c r="A90" s="275">
        <f t="shared" si="10"/>
        <v>0.76</v>
      </c>
      <c r="B90" s="6" t="s">
        <v>136</v>
      </c>
      <c r="C90" s="31">
        <f t="shared" si="8"/>
        <v>5184</v>
      </c>
      <c r="Z90" s="145"/>
    </row>
    <row r="91" spans="1:26" s="144" customFormat="1" x14ac:dyDescent="0.3">
      <c r="A91" s="275">
        <f t="shared" si="10"/>
        <v>0.78</v>
      </c>
      <c r="B91" s="6" t="s">
        <v>137</v>
      </c>
      <c r="C91" s="31">
        <f t="shared" si="8"/>
        <v>4751.9999999999991</v>
      </c>
      <c r="D91" s="162"/>
      <c r="Z91" s="145"/>
    </row>
    <row r="92" spans="1:26" s="144" customFormat="1" x14ac:dyDescent="0.3">
      <c r="Z92" s="145"/>
    </row>
    <row r="93" spans="1:26" s="144" customFormat="1" x14ac:dyDescent="0.3">
      <c r="C93" s="161"/>
      <c r="Z93" s="145"/>
    </row>
    <row r="94" spans="1:26" s="144" customFormat="1" x14ac:dyDescent="0.3">
      <c r="B94" s="163"/>
      <c r="C94" s="164"/>
      <c r="Z94" s="145"/>
    </row>
    <row r="95" spans="1:26" s="144" customFormat="1" x14ac:dyDescent="0.3">
      <c r="C95" s="145"/>
      <c r="Z95" s="145"/>
    </row>
    <row r="96" spans="1:26" s="144" customFormat="1" x14ac:dyDescent="0.3">
      <c r="C96" s="161"/>
      <c r="Z96" s="145"/>
    </row>
    <row r="97" spans="2:26" s="144" customFormat="1" x14ac:dyDescent="0.3">
      <c r="C97" s="161"/>
      <c r="Z97" s="145"/>
    </row>
    <row r="98" spans="2:26" s="144" customFormat="1" x14ac:dyDescent="0.3">
      <c r="C98" s="161"/>
      <c r="Z98" s="145"/>
    </row>
    <row r="99" spans="2:26" s="144" customFormat="1" x14ac:dyDescent="0.3">
      <c r="B99" s="7"/>
      <c r="C99" s="165"/>
      <c r="Z99" s="145"/>
    </row>
    <row r="100" spans="2:26" s="144" customFormat="1" x14ac:dyDescent="0.3">
      <c r="Z100" s="145"/>
    </row>
    <row r="101" spans="2:26" s="144" customFormat="1" x14ac:dyDescent="0.3">
      <c r="B101" s="7"/>
      <c r="C101" s="166"/>
      <c r="Z101" s="145"/>
    </row>
    <row r="102" spans="2:26" s="144" customFormat="1" x14ac:dyDescent="0.3">
      <c r="B102" s="167"/>
      <c r="C102" s="168"/>
      <c r="Z102" s="145"/>
    </row>
    <row r="103" spans="2:26" s="144" customFormat="1" x14ac:dyDescent="0.3">
      <c r="B103" s="169"/>
      <c r="C103" s="170"/>
      <c r="Z103" s="145"/>
    </row>
    <row r="104" spans="2:26" s="144" customFormat="1" x14ac:dyDescent="0.3">
      <c r="B104" s="169"/>
      <c r="C104" s="171"/>
      <c r="Z104" s="145"/>
    </row>
    <row r="105" spans="2:26" s="144" customFormat="1" x14ac:dyDescent="0.3">
      <c r="B105" s="167"/>
      <c r="C105" s="168"/>
      <c r="Z105" s="145"/>
    </row>
    <row r="106" spans="2:26" s="144" customFormat="1" x14ac:dyDescent="0.3">
      <c r="B106" s="167"/>
      <c r="C106" s="172"/>
      <c r="Z106" s="145"/>
    </row>
    <row r="107" spans="2:26" s="144" customFormat="1" x14ac:dyDescent="0.3">
      <c r="Z107" s="145"/>
    </row>
    <row r="108" spans="2:26" s="144" customFormat="1" x14ac:dyDescent="0.3">
      <c r="B108" s="167"/>
      <c r="C108" s="171"/>
      <c r="Z108" s="145"/>
    </row>
    <row r="109" spans="2:26" s="144" customFormat="1" x14ac:dyDescent="0.3">
      <c r="Z109" s="145"/>
    </row>
    <row r="110" spans="2:26" s="144" customFormat="1" x14ac:dyDescent="0.3">
      <c r="Z110" s="145"/>
    </row>
    <row r="111" spans="2:26" s="144" customFormat="1" x14ac:dyDescent="0.3">
      <c r="Z111" s="145"/>
    </row>
    <row r="112" spans="2:26" s="144" customFormat="1" x14ac:dyDescent="0.3">
      <c r="Z112" s="145"/>
    </row>
    <row r="113" spans="11:26" s="144" customFormat="1" x14ac:dyDescent="0.3">
      <c r="Z113" s="145"/>
    </row>
    <row r="114" spans="11:26" s="144" customFormat="1" x14ac:dyDescent="0.3">
      <c r="Z114" s="145"/>
    </row>
    <row r="115" spans="11:26" s="144" customFormat="1" x14ac:dyDescent="0.3">
      <c r="Z115" s="145"/>
    </row>
    <row r="116" spans="11:26" s="144" customFormat="1" x14ac:dyDescent="0.3">
      <c r="Z116" s="145"/>
    </row>
    <row r="117" spans="11:26" s="144" customFormat="1" x14ac:dyDescent="0.3">
      <c r="Z117" s="145"/>
    </row>
    <row r="118" spans="11:26" s="144" customFormat="1" x14ac:dyDescent="0.3">
      <c r="Z118" s="145"/>
    </row>
    <row r="119" spans="11:26" s="144" customFormat="1" x14ac:dyDescent="0.3">
      <c r="Z119" s="145"/>
    </row>
    <row r="120" spans="11:26" s="144" customFormat="1" x14ac:dyDescent="0.3">
      <c r="Z120" s="145"/>
    </row>
    <row r="121" spans="11:26" s="144" customFormat="1" x14ac:dyDescent="0.3">
      <c r="Z121" s="145"/>
    </row>
    <row r="122" spans="11:26" s="144" customFormat="1" x14ac:dyDescent="0.3">
      <c r="Z122" s="145"/>
    </row>
    <row r="123" spans="11:26" s="144" customFormat="1" x14ac:dyDescent="0.3">
      <c r="Z123" s="145"/>
    </row>
    <row r="124" spans="11:26" s="144" customFormat="1" x14ac:dyDescent="0.3">
      <c r="Z124" s="145"/>
    </row>
    <row r="125" spans="11:26" s="144" customFormat="1" x14ac:dyDescent="0.3">
      <c r="Z125" s="145"/>
    </row>
    <row r="126" spans="11:26" s="144" customFormat="1" x14ac:dyDescent="0.3">
      <c r="K126" s="146"/>
      <c r="Z126" s="145"/>
    </row>
    <row r="127" spans="11:26" s="144" customFormat="1" x14ac:dyDescent="0.3">
      <c r="Z127" s="145"/>
    </row>
    <row r="128" spans="11:26" s="144" customFormat="1" ht="15" customHeight="1" x14ac:dyDescent="0.3">
      <c r="Z128" s="145"/>
    </row>
    <row r="129" spans="5:26" s="144" customFormat="1" ht="15" customHeight="1" x14ac:dyDescent="0.3">
      <c r="Z129" s="145"/>
    </row>
    <row r="130" spans="5:26" s="144" customFormat="1" x14ac:dyDescent="0.3">
      <c r="Z130" s="145"/>
    </row>
    <row r="131" spans="5:26" s="144" customFormat="1" x14ac:dyDescent="0.3">
      <c r="Z131" s="145"/>
    </row>
    <row r="132" spans="5:26" s="144" customFormat="1" x14ac:dyDescent="0.3">
      <c r="Z132" s="145"/>
    </row>
    <row r="133" spans="5:26" s="144" customFormat="1" x14ac:dyDescent="0.3">
      <c r="Z133" s="145"/>
    </row>
    <row r="134" spans="5:26" s="144" customFormat="1" x14ac:dyDescent="0.3">
      <c r="Z134" s="145"/>
    </row>
    <row r="135" spans="5:26" s="144" customFormat="1" x14ac:dyDescent="0.3">
      <c r="Z135" s="145"/>
    </row>
    <row r="136" spans="5:26" s="144" customFormat="1" x14ac:dyDescent="0.3">
      <c r="Z136" s="145"/>
    </row>
    <row r="137" spans="5:26" s="144" customFormat="1" x14ac:dyDescent="0.3">
      <c r="Z137" s="145"/>
    </row>
    <row r="138" spans="5:26" s="144" customFormat="1" x14ac:dyDescent="0.3">
      <c r="Z138" s="145"/>
    </row>
    <row r="139" spans="5:26" s="108" customFormat="1" x14ac:dyDescent="0.3">
      <c r="Z139" s="107"/>
    </row>
    <row r="140" spans="5:26" s="108" customFormat="1" x14ac:dyDescent="0.3">
      <c r="E140" s="110"/>
      <c r="F140" s="107"/>
      <c r="Z140" s="107"/>
    </row>
    <row r="141" spans="5:26" s="108" customFormat="1" x14ac:dyDescent="0.3">
      <c r="E141" s="110"/>
      <c r="F141" s="152"/>
      <c r="G141" s="153"/>
      <c r="Z141" s="107"/>
    </row>
    <row r="142" spans="5:26" s="108" customFormat="1" x14ac:dyDescent="0.3">
      <c r="E142" s="110"/>
      <c r="F142" s="154"/>
      <c r="G142" s="153"/>
      <c r="Z142" s="107"/>
    </row>
    <row r="143" spans="5:26" s="108" customFormat="1" x14ac:dyDescent="0.3">
      <c r="E143" s="110"/>
      <c r="F143" s="155"/>
      <c r="G143" s="153"/>
      <c r="Z143" s="107"/>
    </row>
    <row r="144" spans="5:26" s="108" customFormat="1" x14ac:dyDescent="0.3">
      <c r="E144" s="110"/>
      <c r="F144" s="156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Z144" s="107"/>
    </row>
    <row r="145" spans="5:26" s="108" customFormat="1" x14ac:dyDescent="0.3">
      <c r="E145" s="160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Z145" s="107"/>
    </row>
    <row r="146" spans="5:26" s="108" customFormat="1" x14ac:dyDescent="0.3">
      <c r="E146" s="160"/>
      <c r="F146" s="157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Z146" s="107"/>
    </row>
    <row r="147" spans="5:26" s="108" customFormat="1" x14ac:dyDescent="0.3">
      <c r="E147" s="160"/>
      <c r="F147" s="158"/>
      <c r="G147" s="147"/>
      <c r="H147" s="147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Z147" s="107"/>
    </row>
    <row r="148" spans="5:26" s="108" customFormat="1" x14ac:dyDescent="0.3">
      <c r="E148" s="160"/>
      <c r="F148" s="158"/>
      <c r="G148" s="147"/>
      <c r="H148" s="147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Z148" s="107"/>
    </row>
    <row r="149" spans="5:26" s="108" customFormat="1" x14ac:dyDescent="0.3">
      <c r="E149" s="160"/>
      <c r="F149" s="158"/>
      <c r="G149" s="147"/>
      <c r="H149" s="147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Z149" s="107"/>
    </row>
    <row r="150" spans="5:26" s="108" customFormat="1" x14ac:dyDescent="0.3">
      <c r="E150" s="160"/>
      <c r="F150" s="158"/>
      <c r="G150" s="147"/>
      <c r="H150" s="147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Z150" s="107"/>
    </row>
    <row r="151" spans="5:26" s="108" customFormat="1" x14ac:dyDescent="0.3">
      <c r="E151" s="160"/>
      <c r="F151" s="158"/>
      <c r="G151" s="147"/>
      <c r="H151" s="147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Z151" s="107"/>
    </row>
    <row r="152" spans="5:26" s="108" customFormat="1" x14ac:dyDescent="0.3">
      <c r="E152" s="160"/>
      <c r="F152" s="158"/>
      <c r="G152" s="147"/>
      <c r="H152" s="147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Z152" s="107"/>
    </row>
    <row r="153" spans="5:26" s="108" customFormat="1" x14ac:dyDescent="0.3">
      <c r="E153" s="160"/>
      <c r="F153" s="158"/>
      <c r="G153" s="147"/>
      <c r="H153" s="147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Z153" s="107"/>
    </row>
    <row r="154" spans="5:26" s="108" customFormat="1" x14ac:dyDescent="0.3">
      <c r="E154" s="160"/>
      <c r="F154" s="158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Z154" s="107"/>
    </row>
    <row r="155" spans="5:26" s="108" customFormat="1" x14ac:dyDescent="0.3">
      <c r="E155" s="160"/>
      <c r="F155" s="158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Z155" s="107"/>
    </row>
    <row r="156" spans="5:26" s="108" customFormat="1" x14ac:dyDescent="0.3">
      <c r="E156" s="160"/>
      <c r="F156" s="158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Z156" s="107"/>
    </row>
    <row r="157" spans="5:26" s="108" customFormat="1" x14ac:dyDescent="0.3">
      <c r="E157" s="160"/>
      <c r="F157" s="158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Z157" s="107"/>
    </row>
    <row r="158" spans="5:26" s="108" customFormat="1" x14ac:dyDescent="0.3">
      <c r="E158" s="160"/>
      <c r="F158" s="158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Z158" s="107"/>
    </row>
    <row r="159" spans="5:26" s="108" customFormat="1" x14ac:dyDescent="0.3">
      <c r="E159" s="160"/>
      <c r="F159" s="158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Z159" s="107"/>
    </row>
    <row r="160" spans="5:26" s="108" customFormat="1" x14ac:dyDescent="0.3">
      <c r="E160" s="160"/>
      <c r="F160" s="158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Z160" s="107"/>
    </row>
    <row r="161" spans="5:26" s="108" customFormat="1" x14ac:dyDescent="0.3">
      <c r="E161" s="160"/>
      <c r="F161" s="158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Z161" s="107"/>
    </row>
    <row r="162" spans="5:26" s="108" customFormat="1" x14ac:dyDescent="0.3">
      <c r="E162" s="160"/>
      <c r="F162" s="158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Z162" s="107"/>
    </row>
    <row r="163" spans="5:26" s="108" customFormat="1" x14ac:dyDescent="0.3">
      <c r="E163" s="160"/>
      <c r="F163" s="158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Z163" s="107"/>
    </row>
    <row r="164" spans="5:26" s="108" customFormat="1" x14ac:dyDescent="0.3">
      <c r="Z164" s="107"/>
    </row>
    <row r="165" spans="5:26" s="108" customFormat="1" x14ac:dyDescent="0.3">
      <c r="Z165" s="107"/>
    </row>
    <row r="166" spans="5:26" s="108" customFormat="1" x14ac:dyDescent="0.3">
      <c r="F166" s="107"/>
      <c r="Z166" s="107"/>
    </row>
    <row r="167" spans="5:26" s="108" customFormat="1" x14ac:dyDescent="0.3">
      <c r="E167" s="110"/>
      <c r="F167" s="152"/>
      <c r="G167" s="153"/>
      <c r="Z167" s="107"/>
    </row>
    <row r="168" spans="5:26" s="108" customFormat="1" x14ac:dyDescent="0.3">
      <c r="E168" s="110"/>
      <c r="F168" s="154"/>
      <c r="G168" s="153"/>
      <c r="Z168" s="107"/>
    </row>
    <row r="169" spans="5:26" s="108" customFormat="1" x14ac:dyDescent="0.3">
      <c r="E169" s="110"/>
      <c r="F169" s="155"/>
      <c r="G169" s="153"/>
      <c r="Z169" s="107"/>
    </row>
    <row r="170" spans="5:26" s="108" customFormat="1" x14ac:dyDescent="0.3">
      <c r="E170" s="110"/>
      <c r="F170" s="159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Z170" s="107"/>
    </row>
    <row r="171" spans="5:26" s="108" customFormat="1" x14ac:dyDescent="0.3">
      <c r="E171" s="160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Z171" s="107"/>
    </row>
    <row r="172" spans="5:26" s="108" customFormat="1" x14ac:dyDescent="0.3">
      <c r="E172" s="160"/>
      <c r="F172" s="157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Z172" s="107"/>
    </row>
    <row r="173" spans="5:26" s="108" customFormat="1" x14ac:dyDescent="0.3">
      <c r="E173" s="160"/>
      <c r="F173" s="158"/>
      <c r="G173" s="147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1"/>
      <c r="S173" s="151"/>
      <c r="T173" s="151"/>
      <c r="U173" s="151"/>
      <c r="V173" s="151"/>
      <c r="W173" s="151"/>
      <c r="X173" s="151"/>
      <c r="Z173" s="107"/>
    </row>
    <row r="174" spans="5:26" s="108" customFormat="1" x14ac:dyDescent="0.3">
      <c r="E174" s="160"/>
      <c r="F174" s="158"/>
      <c r="G174" s="147"/>
      <c r="H174" s="149"/>
      <c r="I174" s="151"/>
      <c r="J174" s="150"/>
      <c r="K174" s="150"/>
      <c r="L174" s="150"/>
      <c r="M174" s="150"/>
      <c r="N174" s="150"/>
      <c r="O174" s="150"/>
      <c r="P174" s="150"/>
      <c r="Q174" s="150"/>
      <c r="R174" s="151"/>
      <c r="S174" s="151"/>
      <c r="T174" s="151"/>
      <c r="U174" s="151"/>
      <c r="V174" s="151"/>
      <c r="W174" s="151"/>
      <c r="X174" s="151"/>
      <c r="Z174" s="107"/>
    </row>
    <row r="175" spans="5:26" s="108" customFormat="1" x14ac:dyDescent="0.3">
      <c r="E175" s="160"/>
      <c r="F175" s="158"/>
      <c r="G175" s="147"/>
      <c r="H175" s="149"/>
      <c r="I175" s="148"/>
      <c r="J175" s="151"/>
      <c r="K175" s="150"/>
      <c r="L175" s="150"/>
      <c r="M175" s="150"/>
      <c r="N175" s="150"/>
      <c r="O175" s="150"/>
      <c r="P175" s="150"/>
      <c r="Q175" s="150"/>
      <c r="R175" s="151"/>
      <c r="S175" s="151"/>
      <c r="T175" s="151"/>
      <c r="U175" s="151"/>
      <c r="V175" s="151"/>
      <c r="W175" s="151"/>
      <c r="X175" s="151"/>
      <c r="Z175" s="107"/>
    </row>
    <row r="176" spans="5:26" s="108" customFormat="1" x14ac:dyDescent="0.3">
      <c r="E176" s="160"/>
      <c r="F176" s="158"/>
      <c r="G176" s="147"/>
      <c r="H176" s="149"/>
      <c r="I176" s="148"/>
      <c r="J176" s="148"/>
      <c r="K176" s="151"/>
      <c r="L176" s="150"/>
      <c r="M176" s="150"/>
      <c r="N176" s="150"/>
      <c r="O176" s="150"/>
      <c r="P176" s="150"/>
      <c r="Q176" s="150"/>
      <c r="R176" s="151"/>
      <c r="S176" s="151"/>
      <c r="T176" s="151"/>
      <c r="U176" s="151"/>
      <c r="V176" s="151"/>
      <c r="W176" s="151"/>
      <c r="X176" s="151"/>
      <c r="Z176" s="107"/>
    </row>
    <row r="177" spans="5:26" s="108" customFormat="1" x14ac:dyDescent="0.3">
      <c r="E177" s="160"/>
      <c r="F177" s="158"/>
      <c r="G177" s="147"/>
      <c r="H177" s="149"/>
      <c r="I177" s="148"/>
      <c r="J177" s="148"/>
      <c r="K177" s="148"/>
      <c r="L177" s="151"/>
      <c r="M177" s="150"/>
      <c r="N177" s="150"/>
      <c r="O177" s="150"/>
      <c r="P177" s="150"/>
      <c r="Q177" s="150"/>
      <c r="R177" s="151"/>
      <c r="S177" s="151"/>
      <c r="T177" s="151"/>
      <c r="U177" s="151"/>
      <c r="V177" s="151"/>
      <c r="W177" s="151"/>
      <c r="X177" s="151"/>
      <c r="Z177" s="107"/>
    </row>
    <row r="178" spans="5:26" s="108" customFormat="1" x14ac:dyDescent="0.3">
      <c r="E178" s="160"/>
      <c r="F178" s="158"/>
      <c r="G178" s="147"/>
      <c r="H178" s="149"/>
      <c r="I178" s="148"/>
      <c r="J178" s="148"/>
      <c r="K178" s="148"/>
      <c r="L178" s="148"/>
      <c r="M178" s="151"/>
      <c r="N178" s="150"/>
      <c r="O178" s="150"/>
      <c r="P178" s="150"/>
      <c r="Q178" s="150"/>
      <c r="R178" s="151"/>
      <c r="S178" s="151"/>
      <c r="T178" s="151"/>
      <c r="U178" s="151"/>
      <c r="V178" s="151"/>
      <c r="W178" s="151"/>
      <c r="X178" s="151"/>
      <c r="Z178" s="107"/>
    </row>
    <row r="179" spans="5:26" s="108" customFormat="1" x14ac:dyDescent="0.3">
      <c r="E179" s="160"/>
      <c r="F179" s="158"/>
      <c r="G179" s="147"/>
      <c r="H179" s="149"/>
      <c r="I179" s="148"/>
      <c r="J179" s="148"/>
      <c r="K179" s="148"/>
      <c r="L179" s="148"/>
      <c r="M179" s="148"/>
      <c r="N179" s="151"/>
      <c r="O179" s="150"/>
      <c r="P179" s="150"/>
      <c r="Q179" s="150"/>
      <c r="R179" s="151"/>
      <c r="S179" s="151"/>
      <c r="T179" s="151"/>
      <c r="U179" s="151"/>
      <c r="V179" s="151"/>
      <c r="W179" s="151"/>
      <c r="X179" s="151"/>
      <c r="Z179" s="107"/>
    </row>
    <row r="180" spans="5:26" s="108" customFormat="1" x14ac:dyDescent="0.3">
      <c r="E180" s="160"/>
      <c r="F180" s="158"/>
      <c r="G180" s="147"/>
      <c r="H180" s="149"/>
      <c r="I180" s="147"/>
      <c r="J180" s="147"/>
      <c r="K180" s="147"/>
      <c r="L180" s="147"/>
      <c r="M180" s="147"/>
      <c r="N180" s="147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Z180" s="107"/>
    </row>
    <row r="181" spans="5:26" s="108" customFormat="1" x14ac:dyDescent="0.3">
      <c r="E181" s="160"/>
      <c r="F181" s="158"/>
      <c r="G181" s="147"/>
      <c r="H181" s="149"/>
      <c r="I181" s="147"/>
      <c r="J181" s="147"/>
      <c r="K181" s="147"/>
      <c r="L181" s="147"/>
      <c r="M181" s="147"/>
      <c r="N181" s="147"/>
      <c r="O181" s="147"/>
      <c r="P181" s="150"/>
      <c r="Q181" s="150"/>
      <c r="R181" s="150"/>
      <c r="S181" s="150"/>
      <c r="T181" s="150"/>
      <c r="U181" s="150"/>
      <c r="V181" s="150"/>
      <c r="W181" s="150"/>
      <c r="X181" s="150"/>
      <c r="Z181" s="107"/>
    </row>
    <row r="182" spans="5:26" s="108" customFormat="1" x14ac:dyDescent="0.3">
      <c r="E182" s="160"/>
      <c r="F182" s="158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50"/>
      <c r="R182" s="150"/>
      <c r="S182" s="150"/>
      <c r="T182" s="150"/>
      <c r="U182" s="150"/>
      <c r="V182" s="150"/>
      <c r="W182" s="150"/>
      <c r="X182" s="150"/>
      <c r="Z182" s="107"/>
    </row>
    <row r="183" spans="5:26" s="108" customFormat="1" x14ac:dyDescent="0.3">
      <c r="E183" s="160"/>
      <c r="F183" s="158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50"/>
      <c r="S183" s="150"/>
      <c r="T183" s="150"/>
      <c r="U183" s="150"/>
      <c r="V183" s="150"/>
      <c r="W183" s="150"/>
      <c r="X183" s="150"/>
      <c r="Z183" s="107"/>
    </row>
    <row r="184" spans="5:26" s="108" customFormat="1" x14ac:dyDescent="0.3">
      <c r="E184" s="160"/>
      <c r="F184" s="158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50"/>
      <c r="T184" s="150"/>
      <c r="U184" s="150"/>
      <c r="V184" s="150"/>
      <c r="W184" s="150"/>
      <c r="X184" s="150"/>
      <c r="Z184" s="107"/>
    </row>
    <row r="185" spans="5:26" s="108" customFormat="1" x14ac:dyDescent="0.3">
      <c r="E185" s="160"/>
      <c r="F185" s="158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50"/>
      <c r="U185" s="150"/>
      <c r="V185" s="150"/>
      <c r="W185" s="150"/>
      <c r="X185" s="150"/>
      <c r="Z185" s="107"/>
    </row>
    <row r="186" spans="5:26" s="108" customFormat="1" x14ac:dyDescent="0.3">
      <c r="E186" s="160"/>
      <c r="F186" s="158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50"/>
      <c r="V186" s="150"/>
      <c r="W186" s="150"/>
      <c r="X186" s="150"/>
      <c r="Z186" s="107"/>
    </row>
    <row r="187" spans="5:26" s="108" customFormat="1" x14ac:dyDescent="0.3">
      <c r="E187" s="160"/>
      <c r="F187" s="158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50"/>
      <c r="W187" s="150"/>
      <c r="X187" s="150"/>
      <c r="Z187" s="107"/>
    </row>
    <row r="188" spans="5:26" s="108" customFormat="1" x14ac:dyDescent="0.3">
      <c r="E188" s="160"/>
      <c r="F188" s="158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50"/>
      <c r="X188" s="150"/>
      <c r="Z188" s="107"/>
    </row>
    <row r="189" spans="5:26" s="108" customFormat="1" x14ac:dyDescent="0.3">
      <c r="E189" s="160"/>
      <c r="F189" s="158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50"/>
      <c r="Z189" s="107"/>
    </row>
    <row r="190" spans="5:26" s="108" customFormat="1" x14ac:dyDescent="0.3">
      <c r="E190" s="160"/>
      <c r="F190" s="158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Z190" s="107"/>
    </row>
    <row r="191" spans="5:26" s="108" customFormat="1" x14ac:dyDescent="0.3">
      <c r="Z191" s="107"/>
    </row>
    <row r="192" spans="5:26" s="108" customFormat="1" x14ac:dyDescent="0.3">
      <c r="Z192" s="107"/>
    </row>
    <row r="193" spans="26:26" s="108" customFormat="1" x14ac:dyDescent="0.3">
      <c r="Z193" s="107"/>
    </row>
    <row r="194" spans="26:26" s="108" customFormat="1" x14ac:dyDescent="0.3">
      <c r="Z194" s="107"/>
    </row>
    <row r="195" spans="26:26" s="108" customFormat="1" x14ac:dyDescent="0.3">
      <c r="Z195" s="107"/>
    </row>
    <row r="196" spans="26:26" s="108" customFormat="1" x14ac:dyDescent="0.3">
      <c r="Z196" s="107"/>
    </row>
    <row r="197" spans="26:26" s="108" customFormat="1" x14ac:dyDescent="0.3">
      <c r="Z197" s="107"/>
    </row>
    <row r="198" spans="26:26" s="108" customFormat="1" x14ac:dyDescent="0.3">
      <c r="Z198" s="107"/>
    </row>
    <row r="199" spans="26:26" s="108" customFormat="1" x14ac:dyDescent="0.3">
      <c r="Z199" s="107"/>
    </row>
    <row r="200" spans="26:26" s="108" customFormat="1" x14ac:dyDescent="0.3">
      <c r="Z200" s="107"/>
    </row>
    <row r="201" spans="26:26" s="108" customFormat="1" x14ac:dyDescent="0.3">
      <c r="Z201" s="107"/>
    </row>
    <row r="202" spans="26:26" s="108" customFormat="1" x14ac:dyDescent="0.3">
      <c r="Z202" s="107"/>
    </row>
    <row r="203" spans="26:26" s="108" customFormat="1" x14ac:dyDescent="0.3">
      <c r="Z203" s="107"/>
    </row>
    <row r="204" spans="26:26" s="108" customFormat="1" x14ac:dyDescent="0.3">
      <c r="Z204" s="107"/>
    </row>
    <row r="205" spans="26:26" s="108" customFormat="1" x14ac:dyDescent="0.3">
      <c r="Z205" s="107"/>
    </row>
    <row r="206" spans="26:26" s="108" customFormat="1" x14ac:dyDescent="0.3">
      <c r="Z206" s="107"/>
    </row>
    <row r="207" spans="26:26" s="108" customFormat="1" x14ac:dyDescent="0.3">
      <c r="Z207" s="107"/>
    </row>
    <row r="208" spans="26:26" s="108" customFormat="1" x14ac:dyDescent="0.3">
      <c r="Z208" s="107"/>
    </row>
    <row r="209" spans="26:26" s="108" customFormat="1" x14ac:dyDescent="0.3">
      <c r="Z209" s="107"/>
    </row>
    <row r="210" spans="26:26" s="108" customFormat="1" x14ac:dyDescent="0.3">
      <c r="Z210" s="107"/>
    </row>
    <row r="211" spans="26:26" s="108" customFormat="1" x14ac:dyDescent="0.3">
      <c r="Z211" s="107"/>
    </row>
    <row r="212" spans="26:26" s="108" customFormat="1" x14ac:dyDescent="0.3">
      <c r="Z212" s="107"/>
    </row>
    <row r="213" spans="26:26" s="108" customFormat="1" x14ac:dyDescent="0.3">
      <c r="Z213" s="107"/>
    </row>
    <row r="214" spans="26:26" s="108" customFormat="1" x14ac:dyDescent="0.3">
      <c r="Z214" s="107"/>
    </row>
    <row r="215" spans="26:26" s="108" customFormat="1" x14ac:dyDescent="0.3">
      <c r="Z215" s="107"/>
    </row>
    <row r="216" spans="26:26" s="108" customFormat="1" x14ac:dyDescent="0.3">
      <c r="Z216" s="107"/>
    </row>
    <row r="217" spans="26:26" s="108" customFormat="1" x14ac:dyDescent="0.3">
      <c r="Z217" s="107"/>
    </row>
    <row r="218" spans="26:26" s="108" customFormat="1" x14ac:dyDescent="0.3">
      <c r="Z218" s="107"/>
    </row>
    <row r="219" spans="26:26" s="108" customFormat="1" x14ac:dyDescent="0.3">
      <c r="Z219" s="107"/>
    </row>
    <row r="220" spans="26:26" s="108" customFormat="1" x14ac:dyDescent="0.3">
      <c r="Z220" s="107"/>
    </row>
    <row r="221" spans="26:26" s="108" customFormat="1" x14ac:dyDescent="0.3">
      <c r="Z221" s="107"/>
    </row>
    <row r="222" spans="26:26" s="108" customFormat="1" x14ac:dyDescent="0.3">
      <c r="Z222" s="107"/>
    </row>
    <row r="223" spans="26:26" s="108" customFormat="1" x14ac:dyDescent="0.3">
      <c r="Z223" s="107"/>
    </row>
    <row r="224" spans="26:26" s="108" customFormat="1" x14ac:dyDescent="0.3">
      <c r="Z224" s="107"/>
    </row>
    <row r="225" spans="26:26" s="108" customFormat="1" x14ac:dyDescent="0.3">
      <c r="Z225" s="107"/>
    </row>
    <row r="226" spans="26:26" s="108" customFormat="1" x14ac:dyDescent="0.3">
      <c r="Z226" s="107"/>
    </row>
    <row r="227" spans="26:26" s="108" customFormat="1" x14ac:dyDescent="0.3">
      <c r="Z227" s="107"/>
    </row>
    <row r="228" spans="26:26" s="108" customFormat="1" x14ac:dyDescent="0.3">
      <c r="Z228" s="107"/>
    </row>
    <row r="229" spans="26:26" s="108" customFormat="1" x14ac:dyDescent="0.3">
      <c r="Z229" s="107"/>
    </row>
    <row r="230" spans="26:26" s="108" customFormat="1" x14ac:dyDescent="0.3">
      <c r="Z230" s="107"/>
    </row>
    <row r="231" spans="26:26" s="108" customFormat="1" x14ac:dyDescent="0.3">
      <c r="Z231" s="107"/>
    </row>
    <row r="232" spans="26:26" s="108" customFormat="1" x14ac:dyDescent="0.3">
      <c r="Z232" s="107"/>
    </row>
    <row r="233" spans="26:26" s="108" customFormat="1" x14ac:dyDescent="0.3">
      <c r="Z233" s="107"/>
    </row>
    <row r="234" spans="26:26" s="108" customFormat="1" x14ac:dyDescent="0.3">
      <c r="Z234" s="107"/>
    </row>
  </sheetData>
  <mergeCells count="8"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Pick an epoch" prompt="pick an epoch 211-215" sqref="C27" xr:uid="{E10C12A9-A833-4112-B789-467D46A126DC}">
      <formula1>$A$66:$A$70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M150"/>
  <sheetViews>
    <sheetView tabSelected="1" zoomScale="81" zoomScaleNormal="81" workbookViewId="0">
      <selection activeCell="F24" sqref="F24"/>
    </sheetView>
  </sheetViews>
  <sheetFormatPr defaultRowHeight="14.4" x14ac:dyDescent="0.3"/>
  <cols>
    <col min="1" max="1" width="1.88671875" style="6" customWidth="1"/>
    <col min="2" max="2" width="11.77734375" style="6" bestFit="1" customWidth="1"/>
    <col min="3" max="3" width="31.6640625" bestFit="1" customWidth="1"/>
    <col min="4" max="4" width="20.33203125" style="1" bestFit="1" customWidth="1"/>
    <col min="5" max="5" width="20.6640625" style="6" bestFit="1" customWidth="1"/>
    <col min="6" max="6" width="20.6640625" style="6" customWidth="1"/>
    <col min="7" max="7" width="14.6640625" style="31" bestFit="1" customWidth="1"/>
    <col min="8" max="8" width="16.109375" style="31" customWidth="1"/>
    <col min="9" max="9" width="8.109375" style="31" bestFit="1" customWidth="1"/>
    <col min="10" max="10" width="12.109375" style="31" bestFit="1" customWidth="1"/>
    <col min="11" max="12" width="12.109375" style="31" customWidth="1"/>
    <col min="13" max="13" width="2.44140625" style="6" customWidth="1"/>
    <col min="14" max="14" width="12.109375" style="31" customWidth="1"/>
    <col min="15" max="15" width="25.109375" style="31" bestFit="1" customWidth="1"/>
    <col min="16" max="17" width="19.33203125" style="31" customWidth="1"/>
    <col min="18" max="18" width="10.5546875" style="31" bestFit="1" customWidth="1"/>
    <col min="19" max="19" width="2.33203125" style="31" customWidth="1"/>
    <col min="20" max="20" width="12.88671875" style="31" bestFit="1" customWidth="1"/>
    <col min="21" max="21" width="14.6640625" style="31" bestFit="1" customWidth="1"/>
    <col min="22" max="22" width="11.88671875" style="31" bestFit="1" customWidth="1"/>
    <col min="23" max="23" width="2.5546875" customWidth="1"/>
    <col min="25" max="25" width="8.88671875" style="6"/>
    <col min="26" max="26" width="8.88671875" style="31"/>
    <col min="27" max="33" width="9.109375" style="31"/>
    <col min="34" max="39" width="9.109375" style="6"/>
  </cols>
  <sheetData>
    <row r="1" spans="1:39" s="6" customFormat="1" ht="15" thickBot="1" x14ac:dyDescent="0.35">
      <c r="D1" s="31"/>
      <c r="G1" s="31"/>
      <c r="H1" s="31"/>
      <c r="I1" s="31"/>
      <c r="J1" s="31"/>
      <c r="K1" s="31"/>
      <c r="L1" s="31"/>
      <c r="N1" s="31"/>
      <c r="O1" s="31"/>
      <c r="P1" s="31"/>
      <c r="Q1" s="31"/>
      <c r="R1" s="31"/>
      <c r="S1" s="31"/>
      <c r="T1" s="31"/>
      <c r="U1" s="31"/>
      <c r="V1" s="31"/>
      <c r="Z1" s="31"/>
      <c r="AA1" s="31"/>
      <c r="AB1" s="31"/>
      <c r="AC1" s="31"/>
      <c r="AD1" s="31"/>
      <c r="AE1" s="31"/>
      <c r="AF1" s="31"/>
      <c r="AG1" s="31"/>
    </row>
    <row r="2" spans="1:39" s="6" customFormat="1" x14ac:dyDescent="0.3">
      <c r="D2" s="31"/>
      <c r="G2" s="287" t="s">
        <v>153</v>
      </c>
      <c r="H2" s="288"/>
      <c r="I2" s="288"/>
      <c r="J2" s="288"/>
      <c r="K2" s="288"/>
      <c r="L2" s="289"/>
      <c r="N2" s="287" t="s">
        <v>151</v>
      </c>
      <c r="O2" s="288"/>
      <c r="P2" s="288"/>
      <c r="Q2" s="288"/>
      <c r="R2" s="289"/>
      <c r="S2" s="31"/>
      <c r="T2" s="287" t="s">
        <v>152</v>
      </c>
      <c r="U2" s="288"/>
      <c r="V2" s="289"/>
      <c r="Z2" s="31"/>
      <c r="AA2" s="31"/>
      <c r="AB2" s="31"/>
      <c r="AC2" s="31"/>
      <c r="AD2" s="31"/>
      <c r="AE2" s="31"/>
      <c r="AF2" s="31"/>
      <c r="AG2" s="31"/>
    </row>
    <row r="3" spans="1:39" s="102" customFormat="1" ht="15" thickBot="1" x14ac:dyDescent="0.35">
      <c r="A3" s="17"/>
      <c r="B3" s="17" t="s">
        <v>148</v>
      </c>
      <c r="C3" s="3" t="s">
        <v>55</v>
      </c>
      <c r="D3" s="141" t="s">
        <v>110</v>
      </c>
      <c r="E3" s="3" t="s">
        <v>104</v>
      </c>
      <c r="F3" s="3" t="s">
        <v>146</v>
      </c>
      <c r="G3" s="229" t="s">
        <v>102</v>
      </c>
      <c r="H3" s="131" t="s">
        <v>103</v>
      </c>
      <c r="I3" s="131" t="s">
        <v>46</v>
      </c>
      <c r="J3" s="131" t="s">
        <v>106</v>
      </c>
      <c r="K3" s="131" t="s">
        <v>113</v>
      </c>
      <c r="L3" s="230" t="s">
        <v>114</v>
      </c>
      <c r="M3" s="6"/>
      <c r="N3" s="229" t="s">
        <v>115</v>
      </c>
      <c r="O3" s="131" t="s">
        <v>150</v>
      </c>
      <c r="P3" s="131" t="s">
        <v>147</v>
      </c>
      <c r="Q3" s="131" t="s">
        <v>119</v>
      </c>
      <c r="R3" s="230" t="s">
        <v>95</v>
      </c>
      <c r="S3" s="3"/>
      <c r="T3" s="229" t="s">
        <v>111</v>
      </c>
      <c r="U3" s="131" t="s">
        <v>112</v>
      </c>
      <c r="V3" s="230" t="s">
        <v>107</v>
      </c>
      <c r="W3" s="17"/>
      <c r="X3" s="192" t="s">
        <v>0</v>
      </c>
      <c r="Y3" s="192" t="s">
        <v>105</v>
      </c>
      <c r="Z3" s="3" t="s">
        <v>108</v>
      </c>
      <c r="AA3" s="142" t="s">
        <v>3</v>
      </c>
      <c r="AB3" s="142" t="s">
        <v>5</v>
      </c>
      <c r="AC3" s="3" t="s">
        <v>38</v>
      </c>
      <c r="AD3" s="142" t="s">
        <v>6</v>
      </c>
      <c r="AE3" s="3" t="s">
        <v>9</v>
      </c>
      <c r="AI3" s="17"/>
      <c r="AJ3" s="17"/>
      <c r="AK3" s="17"/>
      <c r="AL3" s="17"/>
      <c r="AM3" s="17"/>
    </row>
    <row r="4" spans="1:39" ht="15" thickBot="1" x14ac:dyDescent="0.35">
      <c r="B4" s="226">
        <f>'Epoch Dates'!B2</f>
        <v>44061.738888888889</v>
      </c>
      <c r="C4" s="31">
        <v>211</v>
      </c>
      <c r="D4" s="30">
        <f>rho!E6 * (1-tr_tax)</f>
        <v>31829474.020034879</v>
      </c>
      <c r="E4" s="199">
        <v>31704823791.377499</v>
      </c>
      <c r="F4" s="296">
        <v>100000</v>
      </c>
      <c r="G4" s="247">
        <f>76545000</f>
        <v>76545000</v>
      </c>
      <c r="H4" s="228">
        <v>10177000000</v>
      </c>
      <c r="I4" s="228">
        <v>250000</v>
      </c>
      <c r="J4" s="248">
        <v>16</v>
      </c>
      <c r="K4" s="248">
        <v>340</v>
      </c>
      <c r="L4" s="249">
        <v>0.05</v>
      </c>
      <c r="N4" s="231">
        <f t="shared" ref="N4:N23" si="0">V4*T4 *L4 +K4</f>
        <v>3296.6597726852656</v>
      </c>
      <c r="O4" s="197">
        <f t="shared" ref="O4:O23" si="1">V4*T4-N4</f>
        <v>55836.535681020046</v>
      </c>
      <c r="P4" s="293">
        <f t="shared" ref="P4:P23" si="2">F4/G4*O4</f>
        <v>72.946026103625385</v>
      </c>
      <c r="Q4" s="202">
        <f t="shared" ref="Q4:Q23" si="3">(1+O4/G4)^(365/5) -1</f>
        <v>5.4673443090866636E-2</v>
      </c>
      <c r="R4" s="232">
        <f t="shared" ref="R4:R23" si="4">O4/J4</f>
        <v>3489.7834800637529</v>
      </c>
      <c r="S4" s="175"/>
      <c r="T4" s="239">
        <f t="shared" ref="T4:T23" si="5">(((AD4-((1-AD4/AC4)*AE4))/AC4*AE4*Y4)+AD4) * D4/(1+Y4)</f>
        <v>59133.19545370531</v>
      </c>
      <c r="U4" s="176">
        <f t="shared" ref="U4:U22" si="6">G4/H4 * 21600 * (1-Z4)</f>
        <v>16.246162916380069</v>
      </c>
      <c r="V4" s="240">
        <f>IF(Z4&gt;=0.8,1,J4/U4)</f>
        <v>1</v>
      </c>
      <c r="W4" s="6"/>
      <c r="X4" s="139">
        <v>150</v>
      </c>
      <c r="Y4" s="139">
        <v>0.3</v>
      </c>
      <c r="Z4" s="178">
        <v>0.9</v>
      </c>
      <c r="AA4" s="179">
        <f t="shared" ref="AA4:AA23" si="7">I4/E4</f>
        <v>7.8852354343628451E-6</v>
      </c>
      <c r="AB4" s="179">
        <f t="shared" ref="AB4:AB23" si="8">G4/E4</f>
        <v>2.4143013852932159E-3</v>
      </c>
      <c r="AC4" s="180">
        <f t="shared" ref="AC4:AC23" si="9">1/X4</f>
        <v>6.6666666666666671E-3</v>
      </c>
      <c r="AD4" s="181">
        <f>MIN(AB4,AC4)</f>
        <v>2.4143013852932159E-3</v>
      </c>
      <c r="AE4" s="182">
        <f>MIN(AA4,AC4)</f>
        <v>7.8852354343628451E-6</v>
      </c>
    </row>
    <row r="5" spans="1:39" x14ac:dyDescent="0.3">
      <c r="B5" s="226">
        <f>'Epoch Dates'!B3</f>
        <v>44066.738888888889</v>
      </c>
      <c r="C5" s="31">
        <v>212</v>
      </c>
      <c r="D5" s="30">
        <f>rho!E7 * (1-tr_tax)</f>
        <v>31733985.597974777</v>
      </c>
      <c r="E5" s="30">
        <f t="shared" ref="E5:E23" si="10">E4+(D4/(1-tr_tax))</f>
        <v>31744610633.902542</v>
      </c>
      <c r="F5" s="297">
        <f>F4</f>
        <v>100000</v>
      </c>
      <c r="G5" s="247">
        <v>77590000</v>
      </c>
      <c r="H5" s="228">
        <v>12100000000</v>
      </c>
      <c r="I5" s="228">
        <v>250000</v>
      </c>
      <c r="J5" s="248">
        <v>22</v>
      </c>
      <c r="K5" s="248">
        <v>340</v>
      </c>
      <c r="L5" s="249">
        <v>0.05</v>
      </c>
      <c r="N5" s="233">
        <f t="shared" si="0"/>
        <v>3324.2870089945754</v>
      </c>
      <c r="O5" s="196">
        <f t="shared" si="1"/>
        <v>56361.45317089693</v>
      </c>
      <c r="P5" s="294">
        <f t="shared" si="2"/>
        <v>72.640099459849125</v>
      </c>
      <c r="Q5" s="203">
        <f t="shared" si="3"/>
        <v>5.4438104205019489E-2</v>
      </c>
      <c r="R5" s="234">
        <f t="shared" si="4"/>
        <v>2561.8842350407695</v>
      </c>
      <c r="S5" s="175"/>
      <c r="T5" s="241">
        <f t="shared" si="5"/>
        <v>59685.740179891502</v>
      </c>
      <c r="U5" s="177">
        <f t="shared" si="6"/>
        <v>27.701553719008263</v>
      </c>
      <c r="V5" s="242">
        <f>IF(Z5&gt;=0.8,1,J5/U5)</f>
        <v>1</v>
      </c>
      <c r="W5" s="6"/>
      <c r="X5" s="139">
        <v>150</v>
      </c>
      <c r="Y5" s="139">
        <v>0.3</v>
      </c>
      <c r="Z5" s="183">
        <v>0.8</v>
      </c>
      <c r="AA5" s="128">
        <f t="shared" si="7"/>
        <v>7.8753525404090341E-6</v>
      </c>
      <c r="AB5" s="128">
        <f t="shared" si="8"/>
        <v>2.4441944144413478E-3</v>
      </c>
      <c r="AC5" s="184">
        <f t="shared" si="9"/>
        <v>6.6666666666666671E-3</v>
      </c>
      <c r="AD5" s="185">
        <f t="shared" ref="AD5:AD18" si="11">MIN(AB5,AC5)</f>
        <v>2.4441944144413478E-3</v>
      </c>
      <c r="AE5" s="186">
        <f t="shared" ref="AE5:AE18" si="12">MIN(AA5,AC5)</f>
        <v>7.8753525404090341E-6</v>
      </c>
    </row>
    <row r="6" spans="1:39" x14ac:dyDescent="0.3">
      <c r="B6" s="226">
        <f>'Epoch Dates'!B4</f>
        <v>44071.738888888889</v>
      </c>
      <c r="C6" s="31">
        <v>213</v>
      </c>
      <c r="D6" s="30">
        <f>rho!E8 * (1-tr_tax)</f>
        <v>31638783.641180851</v>
      </c>
      <c r="E6" s="30">
        <f t="shared" si="10"/>
        <v>31784278115.900009</v>
      </c>
      <c r="F6" s="297">
        <f t="shared" ref="F6:F23" si="13">F5</f>
        <v>100000</v>
      </c>
      <c r="G6" s="247">
        <v>83850000</v>
      </c>
      <c r="H6" s="228">
        <v>12760000000</v>
      </c>
      <c r="I6" s="228">
        <f>I5</f>
        <v>250000</v>
      </c>
      <c r="J6" s="248">
        <v>23</v>
      </c>
      <c r="K6" s="248">
        <v>340</v>
      </c>
      <c r="L6" s="249">
        <v>0.05</v>
      </c>
      <c r="N6" s="233">
        <f t="shared" si="0"/>
        <v>2705.318185062777</v>
      </c>
      <c r="O6" s="196">
        <f t="shared" si="1"/>
        <v>44601.045516192768</v>
      </c>
      <c r="P6" s="294">
        <f t="shared" si="2"/>
        <v>53.191467520802341</v>
      </c>
      <c r="Q6" s="203">
        <f t="shared" si="3"/>
        <v>3.9582767840317779E-2</v>
      </c>
      <c r="R6" s="234">
        <f t="shared" si="4"/>
        <v>1939.1758920083812</v>
      </c>
      <c r="S6" s="175"/>
      <c r="T6" s="241">
        <f t="shared" si="5"/>
        <v>64227.431545101914</v>
      </c>
      <c r="U6" s="177">
        <f t="shared" si="6"/>
        <v>31.226896551724128</v>
      </c>
      <c r="V6" s="242">
        <f>IF(Z6&gt;=0.8,1,J6/U6)</f>
        <v>0.73654453499414763</v>
      </c>
      <c r="W6" s="6"/>
      <c r="X6" s="139">
        <v>150</v>
      </c>
      <c r="Y6" s="139">
        <v>0.3</v>
      </c>
      <c r="Z6" s="183">
        <v>0.78</v>
      </c>
      <c r="AA6" s="128">
        <f t="shared" si="7"/>
        <v>7.8655239262753027E-6</v>
      </c>
      <c r="AB6" s="128">
        <f t="shared" si="8"/>
        <v>2.6380967248727364E-3</v>
      </c>
      <c r="AC6" s="184">
        <f t="shared" si="9"/>
        <v>6.6666666666666671E-3</v>
      </c>
      <c r="AD6" s="185">
        <f t="shared" si="11"/>
        <v>2.6380967248727364E-3</v>
      </c>
      <c r="AE6" s="186">
        <f t="shared" si="12"/>
        <v>7.8655239262753027E-6</v>
      </c>
    </row>
    <row r="7" spans="1:39" x14ac:dyDescent="0.3">
      <c r="B7" s="226">
        <f>'Epoch Dates'!B5</f>
        <v>44076.738888888889</v>
      </c>
      <c r="C7" s="31">
        <v>214</v>
      </c>
      <c r="D7" s="30">
        <f>rho!E9 * (1-tr_tax)</f>
        <v>31543867.290257312</v>
      </c>
      <c r="E7" s="30">
        <f t="shared" si="10"/>
        <v>31823826595.451485</v>
      </c>
      <c r="F7" s="297">
        <f t="shared" si="13"/>
        <v>100000</v>
      </c>
      <c r="G7" s="247">
        <v>75730000</v>
      </c>
      <c r="H7" s="228">
        <v>13370000000</v>
      </c>
      <c r="I7" s="228">
        <f>I6</f>
        <v>250000</v>
      </c>
      <c r="J7" s="248">
        <v>32</v>
      </c>
      <c r="K7" s="248">
        <v>340</v>
      </c>
      <c r="L7" s="249">
        <v>0.05</v>
      </c>
      <c r="N7" s="255">
        <f t="shared" si="0"/>
        <v>3487.4493954433824</v>
      </c>
      <c r="O7" s="196">
        <f t="shared" si="1"/>
        <v>59461.538513424261</v>
      </c>
      <c r="P7" s="294">
        <f t="shared" si="2"/>
        <v>78.517811321040895</v>
      </c>
      <c r="Q7" s="203">
        <f t="shared" si="3"/>
        <v>5.896870171398283E-2</v>
      </c>
      <c r="R7" s="234">
        <f t="shared" si="4"/>
        <v>1858.1730785445081</v>
      </c>
      <c r="S7" s="175"/>
      <c r="T7" s="241">
        <f t="shared" si="5"/>
        <v>57761.746477400491</v>
      </c>
      <c r="U7" s="177">
        <f t="shared" si="6"/>
        <v>29.363075542258787</v>
      </c>
      <c r="V7" s="242">
        <f t="shared" ref="V7:V23" si="14">IF(OR(C7=212, C7=211),1,J7/U7)</f>
        <v>1.0898040960983872</v>
      </c>
      <c r="W7" s="6"/>
      <c r="X7" s="139">
        <v>150</v>
      </c>
      <c r="Y7" s="139">
        <v>0.3</v>
      </c>
      <c r="Z7" s="183">
        <f>Z6-0.02</f>
        <v>0.76</v>
      </c>
      <c r="AA7" s="128">
        <f t="shared" si="7"/>
        <v>7.8557491900025622E-6</v>
      </c>
      <c r="AB7" s="128">
        <f t="shared" si="8"/>
        <v>2.379663544635576E-3</v>
      </c>
      <c r="AC7" s="184">
        <f t="shared" si="9"/>
        <v>6.6666666666666671E-3</v>
      </c>
      <c r="AD7" s="185">
        <f t="shared" si="11"/>
        <v>2.379663544635576E-3</v>
      </c>
      <c r="AE7" s="186">
        <f t="shared" si="12"/>
        <v>7.8557491900025622E-6</v>
      </c>
    </row>
    <row r="8" spans="1:39" x14ac:dyDescent="0.3">
      <c r="B8" s="226">
        <f>'Epoch Dates'!B6</f>
        <v>44081.738888888889</v>
      </c>
      <c r="C8" s="31">
        <v>215</v>
      </c>
      <c r="D8" s="30">
        <f>rho!E10 * (1-tr_tax)</f>
        <v>31449235.688386537</v>
      </c>
      <c r="E8" s="30">
        <f t="shared" si="10"/>
        <v>31863256429.564308</v>
      </c>
      <c r="F8" s="297">
        <f t="shared" si="13"/>
        <v>100000</v>
      </c>
      <c r="G8" s="250"/>
      <c r="H8" s="228"/>
      <c r="I8" s="228"/>
      <c r="J8" s="248"/>
      <c r="K8" s="248">
        <v>340</v>
      </c>
      <c r="L8" s="249">
        <v>0.05</v>
      </c>
      <c r="N8" s="255" t="e">
        <f t="shared" si="0"/>
        <v>#DIV/0!</v>
      </c>
      <c r="O8" s="196" t="e">
        <f t="shared" si="1"/>
        <v>#DIV/0!</v>
      </c>
      <c r="P8" s="294" t="e">
        <f t="shared" si="2"/>
        <v>#DIV/0!</v>
      </c>
      <c r="Q8" s="203" t="e">
        <f t="shared" si="3"/>
        <v>#DIV/0!</v>
      </c>
      <c r="R8" s="234" t="e">
        <f t="shared" si="4"/>
        <v>#DIV/0!</v>
      </c>
      <c r="S8" s="175"/>
      <c r="T8" s="241">
        <f t="shared" si="5"/>
        <v>0</v>
      </c>
      <c r="U8" s="177" t="e">
        <f t="shared" si="6"/>
        <v>#DIV/0!</v>
      </c>
      <c r="V8" s="242" t="e">
        <f t="shared" si="14"/>
        <v>#DIV/0!</v>
      </c>
      <c r="W8" s="6"/>
      <c r="X8" s="139">
        <v>150</v>
      </c>
      <c r="Y8" s="139">
        <v>0.3</v>
      </c>
      <c r="Z8" s="183">
        <f t="shared" ref="Z8:Z20" si="15">Z7-0.02</f>
        <v>0.74</v>
      </c>
      <c r="AA8" s="128">
        <f t="shared" si="7"/>
        <v>0</v>
      </c>
      <c r="AB8" s="128">
        <f t="shared" si="8"/>
        <v>0</v>
      </c>
      <c r="AC8" s="184">
        <f t="shared" si="9"/>
        <v>6.6666666666666671E-3</v>
      </c>
      <c r="AD8" s="185">
        <f t="shared" si="11"/>
        <v>0</v>
      </c>
      <c r="AE8" s="186">
        <f t="shared" si="12"/>
        <v>0</v>
      </c>
    </row>
    <row r="9" spans="1:39" x14ac:dyDescent="0.3">
      <c r="B9" s="226">
        <f>'Epoch Dates'!B7</f>
        <v>44086.738888888889</v>
      </c>
      <c r="C9" s="31">
        <v>216</v>
      </c>
      <c r="D9" s="30">
        <f>rho!E11 * (1-tr_tax)</f>
        <v>31354887.98132138</v>
      </c>
      <c r="E9" s="30">
        <f t="shared" si="10"/>
        <v>31902567974.174789</v>
      </c>
      <c r="F9" s="297">
        <f t="shared" si="13"/>
        <v>100000</v>
      </c>
      <c r="G9" s="250"/>
      <c r="H9" s="228"/>
      <c r="I9" s="228"/>
      <c r="J9" s="248"/>
      <c r="K9" s="248">
        <v>340</v>
      </c>
      <c r="L9" s="249">
        <v>0.05</v>
      </c>
      <c r="N9" s="255" t="e">
        <f t="shared" si="0"/>
        <v>#DIV/0!</v>
      </c>
      <c r="O9" s="196" t="e">
        <f t="shared" si="1"/>
        <v>#DIV/0!</v>
      </c>
      <c r="P9" s="294" t="e">
        <f t="shared" si="2"/>
        <v>#DIV/0!</v>
      </c>
      <c r="Q9" s="203" t="e">
        <f t="shared" si="3"/>
        <v>#DIV/0!</v>
      </c>
      <c r="R9" s="234" t="e">
        <f t="shared" si="4"/>
        <v>#DIV/0!</v>
      </c>
      <c r="S9" s="175"/>
      <c r="T9" s="241">
        <f t="shared" si="5"/>
        <v>0</v>
      </c>
      <c r="U9" s="177" t="e">
        <f t="shared" si="6"/>
        <v>#DIV/0!</v>
      </c>
      <c r="V9" s="242" t="e">
        <f t="shared" si="14"/>
        <v>#DIV/0!</v>
      </c>
      <c r="W9" s="6"/>
      <c r="X9" s="139">
        <v>150</v>
      </c>
      <c r="Y9" s="139">
        <v>0.3</v>
      </c>
      <c r="Z9" s="183">
        <f t="shared" si="15"/>
        <v>0.72</v>
      </c>
      <c r="AA9" s="128">
        <f t="shared" si="7"/>
        <v>0</v>
      </c>
      <c r="AB9" s="128">
        <f t="shared" si="8"/>
        <v>0</v>
      </c>
      <c r="AC9" s="184">
        <f t="shared" si="9"/>
        <v>6.6666666666666671E-3</v>
      </c>
      <c r="AD9" s="185">
        <f t="shared" si="11"/>
        <v>0</v>
      </c>
      <c r="AE9" s="186">
        <f t="shared" si="12"/>
        <v>0</v>
      </c>
    </row>
    <row r="10" spans="1:39" x14ac:dyDescent="0.3">
      <c r="B10" s="226">
        <f>'Epoch Dates'!B8</f>
        <v>44091.738888888889</v>
      </c>
      <c r="C10" s="31">
        <v>217</v>
      </c>
      <c r="D10" s="30">
        <f>rho!E12 * (1-tr_tax)</f>
        <v>31260823.317377415</v>
      </c>
      <c r="E10" s="30">
        <f t="shared" si="10"/>
        <v>31941761584.15144</v>
      </c>
      <c r="F10" s="297">
        <f t="shared" si="13"/>
        <v>100000</v>
      </c>
      <c r="G10" s="250"/>
      <c r="H10" s="228"/>
      <c r="I10" s="228"/>
      <c r="J10" s="248"/>
      <c r="K10" s="248">
        <v>340</v>
      </c>
      <c r="L10" s="249">
        <v>0.05</v>
      </c>
      <c r="N10" s="255" t="e">
        <f t="shared" si="0"/>
        <v>#DIV/0!</v>
      </c>
      <c r="O10" s="196" t="e">
        <f t="shared" si="1"/>
        <v>#DIV/0!</v>
      </c>
      <c r="P10" s="294" t="e">
        <f t="shared" si="2"/>
        <v>#DIV/0!</v>
      </c>
      <c r="Q10" s="203" t="e">
        <f t="shared" si="3"/>
        <v>#DIV/0!</v>
      </c>
      <c r="R10" s="234" t="e">
        <f t="shared" si="4"/>
        <v>#DIV/0!</v>
      </c>
      <c r="S10" s="175"/>
      <c r="T10" s="241">
        <f t="shared" si="5"/>
        <v>0</v>
      </c>
      <c r="U10" s="177" t="e">
        <f t="shared" si="6"/>
        <v>#DIV/0!</v>
      </c>
      <c r="V10" s="242" t="e">
        <f t="shared" si="14"/>
        <v>#DIV/0!</v>
      </c>
      <c r="W10" s="6"/>
      <c r="X10" s="139">
        <v>150</v>
      </c>
      <c r="Y10" s="139">
        <v>0.3</v>
      </c>
      <c r="Z10" s="183">
        <f t="shared" si="15"/>
        <v>0.7</v>
      </c>
      <c r="AA10" s="128">
        <f t="shared" si="7"/>
        <v>0</v>
      </c>
      <c r="AB10" s="128">
        <f t="shared" si="8"/>
        <v>0</v>
      </c>
      <c r="AC10" s="184">
        <f t="shared" si="9"/>
        <v>6.6666666666666671E-3</v>
      </c>
      <c r="AD10" s="185">
        <f t="shared" si="11"/>
        <v>0</v>
      </c>
      <c r="AE10" s="186">
        <f t="shared" si="12"/>
        <v>0</v>
      </c>
    </row>
    <row r="11" spans="1:39" x14ac:dyDescent="0.3">
      <c r="B11" s="226">
        <f>'Epoch Dates'!B9</f>
        <v>44096.738888888889</v>
      </c>
      <c r="C11" s="31">
        <v>218</v>
      </c>
      <c r="D11" s="30">
        <f>rho!E13 * (1-tr_tax)</f>
        <v>31167040.847425282</v>
      </c>
      <c r="E11" s="30">
        <f t="shared" si="10"/>
        <v>31980837613.298161</v>
      </c>
      <c r="F11" s="297">
        <f t="shared" si="13"/>
        <v>100000</v>
      </c>
      <c r="G11" s="250"/>
      <c r="H11" s="228"/>
      <c r="I11" s="228"/>
      <c r="J11" s="248"/>
      <c r="K11" s="248">
        <v>340</v>
      </c>
      <c r="L11" s="249">
        <v>0.05</v>
      </c>
      <c r="N11" s="255" t="e">
        <f t="shared" si="0"/>
        <v>#DIV/0!</v>
      </c>
      <c r="O11" s="196" t="e">
        <f t="shared" si="1"/>
        <v>#DIV/0!</v>
      </c>
      <c r="P11" s="294" t="e">
        <f t="shared" si="2"/>
        <v>#DIV/0!</v>
      </c>
      <c r="Q11" s="203" t="e">
        <f t="shared" si="3"/>
        <v>#DIV/0!</v>
      </c>
      <c r="R11" s="234" t="e">
        <f t="shared" si="4"/>
        <v>#DIV/0!</v>
      </c>
      <c r="S11" s="175"/>
      <c r="T11" s="241">
        <f t="shared" si="5"/>
        <v>0</v>
      </c>
      <c r="U11" s="177" t="e">
        <f t="shared" si="6"/>
        <v>#DIV/0!</v>
      </c>
      <c r="V11" s="242" t="e">
        <f t="shared" si="14"/>
        <v>#DIV/0!</v>
      </c>
      <c r="W11" s="6"/>
      <c r="X11" s="139">
        <v>150</v>
      </c>
      <c r="Y11" s="139">
        <v>0.3</v>
      </c>
      <c r="Z11" s="183">
        <f t="shared" si="15"/>
        <v>0.67999999999999994</v>
      </c>
      <c r="AA11" s="128">
        <f t="shared" si="7"/>
        <v>0</v>
      </c>
      <c r="AB11" s="128">
        <f t="shared" si="8"/>
        <v>0</v>
      </c>
      <c r="AC11" s="184">
        <f t="shared" si="9"/>
        <v>6.6666666666666671E-3</v>
      </c>
      <c r="AD11" s="185">
        <f t="shared" si="11"/>
        <v>0</v>
      </c>
      <c r="AE11" s="186">
        <f t="shared" si="12"/>
        <v>0</v>
      </c>
    </row>
    <row r="12" spans="1:39" x14ac:dyDescent="0.3">
      <c r="B12" s="226">
        <f>'Epoch Dates'!B10</f>
        <v>44101.738888888889</v>
      </c>
      <c r="C12" s="31">
        <v>219</v>
      </c>
      <c r="D12" s="30">
        <f>rho!E14 * (1-tr_tax)</f>
        <v>31073539.724883009</v>
      </c>
      <c r="E12" s="30">
        <f t="shared" si="10"/>
        <v>32019796414.357441</v>
      </c>
      <c r="F12" s="297">
        <f t="shared" si="13"/>
        <v>100000</v>
      </c>
      <c r="G12" s="250"/>
      <c r="H12" s="228"/>
      <c r="I12" s="228"/>
      <c r="J12" s="248"/>
      <c r="K12" s="248">
        <v>340</v>
      </c>
      <c r="L12" s="249">
        <v>0.05</v>
      </c>
      <c r="N12" s="255" t="e">
        <f t="shared" si="0"/>
        <v>#DIV/0!</v>
      </c>
      <c r="O12" s="196" t="e">
        <f t="shared" si="1"/>
        <v>#DIV/0!</v>
      </c>
      <c r="P12" s="294" t="e">
        <f t="shared" si="2"/>
        <v>#DIV/0!</v>
      </c>
      <c r="Q12" s="203" t="e">
        <f t="shared" si="3"/>
        <v>#DIV/0!</v>
      </c>
      <c r="R12" s="234" t="e">
        <f t="shared" si="4"/>
        <v>#DIV/0!</v>
      </c>
      <c r="S12" s="175"/>
      <c r="T12" s="241">
        <f t="shared" si="5"/>
        <v>0</v>
      </c>
      <c r="U12" s="177" t="e">
        <f t="shared" si="6"/>
        <v>#DIV/0!</v>
      </c>
      <c r="V12" s="242" t="e">
        <f t="shared" si="14"/>
        <v>#DIV/0!</v>
      </c>
      <c r="W12" s="6"/>
      <c r="X12" s="139">
        <v>150</v>
      </c>
      <c r="Y12" s="139">
        <v>0.3</v>
      </c>
      <c r="Z12" s="183">
        <f t="shared" si="15"/>
        <v>0.65999999999999992</v>
      </c>
      <c r="AA12" s="128">
        <f t="shared" si="7"/>
        <v>0</v>
      </c>
      <c r="AB12" s="128">
        <f t="shared" si="8"/>
        <v>0</v>
      </c>
      <c r="AC12" s="184">
        <f t="shared" si="9"/>
        <v>6.6666666666666671E-3</v>
      </c>
      <c r="AD12" s="185">
        <f t="shared" si="11"/>
        <v>0</v>
      </c>
      <c r="AE12" s="186">
        <f t="shared" si="12"/>
        <v>0</v>
      </c>
    </row>
    <row r="13" spans="1:39" x14ac:dyDescent="0.3">
      <c r="B13" s="226">
        <f>'Epoch Dates'!B11</f>
        <v>44106.738888888889</v>
      </c>
      <c r="C13" s="31">
        <v>220</v>
      </c>
      <c r="D13" s="30">
        <f>rho!E15 * (1-tr_tax)</f>
        <v>30980319.105708361</v>
      </c>
      <c r="E13" s="30">
        <f t="shared" si="10"/>
        <v>32058638339.013546</v>
      </c>
      <c r="F13" s="297">
        <f t="shared" si="13"/>
        <v>100000</v>
      </c>
      <c r="G13" s="250"/>
      <c r="H13" s="228"/>
      <c r="I13" s="228"/>
      <c r="J13" s="248"/>
      <c r="K13" s="248">
        <v>340</v>
      </c>
      <c r="L13" s="249">
        <v>0.05</v>
      </c>
      <c r="N13" s="255" t="e">
        <f t="shared" si="0"/>
        <v>#DIV/0!</v>
      </c>
      <c r="O13" s="196" t="e">
        <f t="shared" si="1"/>
        <v>#DIV/0!</v>
      </c>
      <c r="P13" s="294" t="e">
        <f t="shared" si="2"/>
        <v>#DIV/0!</v>
      </c>
      <c r="Q13" s="203" t="e">
        <f t="shared" si="3"/>
        <v>#DIV/0!</v>
      </c>
      <c r="R13" s="234" t="e">
        <f t="shared" si="4"/>
        <v>#DIV/0!</v>
      </c>
      <c r="S13" s="175"/>
      <c r="T13" s="241">
        <f t="shared" si="5"/>
        <v>0</v>
      </c>
      <c r="U13" s="177" t="e">
        <f t="shared" si="6"/>
        <v>#DIV/0!</v>
      </c>
      <c r="V13" s="242" t="e">
        <f t="shared" si="14"/>
        <v>#DIV/0!</v>
      </c>
      <c r="W13" s="6"/>
      <c r="X13" s="139">
        <v>150</v>
      </c>
      <c r="Y13" s="139">
        <v>0.3</v>
      </c>
      <c r="Z13" s="183">
        <f t="shared" si="15"/>
        <v>0.6399999999999999</v>
      </c>
      <c r="AA13" s="128">
        <f t="shared" si="7"/>
        <v>0</v>
      </c>
      <c r="AB13" s="128">
        <f t="shared" si="8"/>
        <v>0</v>
      </c>
      <c r="AC13" s="184">
        <f t="shared" si="9"/>
        <v>6.6666666666666671E-3</v>
      </c>
      <c r="AD13" s="185">
        <f t="shared" si="11"/>
        <v>0</v>
      </c>
      <c r="AE13" s="186">
        <f t="shared" si="12"/>
        <v>0</v>
      </c>
    </row>
    <row r="14" spans="1:39" x14ac:dyDescent="0.3">
      <c r="B14" s="226">
        <f>'Epoch Dates'!B12</f>
        <v>44111.738888888889</v>
      </c>
      <c r="C14" s="31">
        <v>221</v>
      </c>
      <c r="D14" s="30">
        <f>rho!E16 * (1-tr_tax)</f>
        <v>30887378.148391236</v>
      </c>
      <c r="E14" s="30">
        <f t="shared" si="10"/>
        <v>32097363737.895683</v>
      </c>
      <c r="F14" s="297">
        <f t="shared" si="13"/>
        <v>100000</v>
      </c>
      <c r="G14" s="250"/>
      <c r="H14" s="228"/>
      <c r="I14" s="228"/>
      <c r="J14" s="248"/>
      <c r="K14" s="248">
        <v>340</v>
      </c>
      <c r="L14" s="249">
        <v>0.05</v>
      </c>
      <c r="N14" s="255" t="e">
        <f t="shared" si="0"/>
        <v>#DIV/0!</v>
      </c>
      <c r="O14" s="196" t="e">
        <f t="shared" si="1"/>
        <v>#DIV/0!</v>
      </c>
      <c r="P14" s="294" t="e">
        <f t="shared" si="2"/>
        <v>#DIV/0!</v>
      </c>
      <c r="Q14" s="203" t="e">
        <f t="shared" si="3"/>
        <v>#DIV/0!</v>
      </c>
      <c r="R14" s="234" t="e">
        <f t="shared" si="4"/>
        <v>#DIV/0!</v>
      </c>
      <c r="S14" s="175"/>
      <c r="T14" s="241">
        <f t="shared" si="5"/>
        <v>0</v>
      </c>
      <c r="U14" s="177" t="e">
        <f t="shared" si="6"/>
        <v>#DIV/0!</v>
      </c>
      <c r="V14" s="242" t="e">
        <f t="shared" si="14"/>
        <v>#DIV/0!</v>
      </c>
      <c r="W14" s="6"/>
      <c r="X14" s="139">
        <v>150</v>
      </c>
      <c r="Y14" s="139">
        <v>0.3</v>
      </c>
      <c r="Z14" s="183">
        <f t="shared" si="15"/>
        <v>0.61999999999999988</v>
      </c>
      <c r="AA14" s="128">
        <f t="shared" si="7"/>
        <v>0</v>
      </c>
      <c r="AB14" s="128">
        <f t="shared" si="8"/>
        <v>0</v>
      </c>
      <c r="AC14" s="184">
        <f t="shared" si="9"/>
        <v>6.6666666666666671E-3</v>
      </c>
      <c r="AD14" s="185">
        <f t="shared" si="11"/>
        <v>0</v>
      </c>
      <c r="AE14" s="186">
        <f t="shared" si="12"/>
        <v>0</v>
      </c>
    </row>
    <row r="15" spans="1:39" x14ac:dyDescent="0.3">
      <c r="B15" s="226">
        <f>'Epoch Dates'!B13</f>
        <v>44116.738888888889</v>
      </c>
      <c r="C15" s="31">
        <v>222</v>
      </c>
      <c r="D15" s="30">
        <f>rho!E17 * (1-tr_tax)</f>
        <v>30794716.013946056</v>
      </c>
      <c r="E15" s="30">
        <f t="shared" si="10"/>
        <v>32135972960.581173</v>
      </c>
      <c r="F15" s="297">
        <f t="shared" si="13"/>
        <v>100000</v>
      </c>
      <c r="G15" s="250"/>
      <c r="H15" s="228"/>
      <c r="I15" s="228"/>
      <c r="J15" s="248"/>
      <c r="K15" s="248">
        <v>340</v>
      </c>
      <c r="L15" s="249">
        <v>0.05</v>
      </c>
      <c r="N15" s="255" t="e">
        <f t="shared" si="0"/>
        <v>#DIV/0!</v>
      </c>
      <c r="O15" s="196" t="e">
        <f t="shared" si="1"/>
        <v>#DIV/0!</v>
      </c>
      <c r="P15" s="294" t="e">
        <f t="shared" si="2"/>
        <v>#DIV/0!</v>
      </c>
      <c r="Q15" s="203" t="e">
        <f t="shared" si="3"/>
        <v>#DIV/0!</v>
      </c>
      <c r="R15" s="234" t="e">
        <f t="shared" si="4"/>
        <v>#DIV/0!</v>
      </c>
      <c r="S15" s="175"/>
      <c r="T15" s="241">
        <f t="shared" si="5"/>
        <v>0</v>
      </c>
      <c r="U15" s="177" t="e">
        <f t="shared" si="6"/>
        <v>#DIV/0!</v>
      </c>
      <c r="V15" s="242" t="e">
        <f t="shared" si="14"/>
        <v>#DIV/0!</v>
      </c>
      <c r="W15" s="6"/>
      <c r="X15" s="139">
        <v>150</v>
      </c>
      <c r="Y15" s="139">
        <v>0.3</v>
      </c>
      <c r="Z15" s="183">
        <f t="shared" si="15"/>
        <v>0.59999999999999987</v>
      </c>
      <c r="AA15" s="128">
        <f t="shared" si="7"/>
        <v>0</v>
      </c>
      <c r="AB15" s="128">
        <f t="shared" si="8"/>
        <v>0</v>
      </c>
      <c r="AC15" s="184">
        <f t="shared" si="9"/>
        <v>6.6666666666666671E-3</v>
      </c>
      <c r="AD15" s="185">
        <f t="shared" si="11"/>
        <v>0</v>
      </c>
      <c r="AE15" s="186">
        <f t="shared" si="12"/>
        <v>0</v>
      </c>
    </row>
    <row r="16" spans="1:39" x14ac:dyDescent="0.3">
      <c r="B16" s="226">
        <f>'Epoch Dates'!B14</f>
        <v>44121.738888888889</v>
      </c>
      <c r="C16" s="31">
        <v>223</v>
      </c>
      <c r="D16" s="30">
        <f>rho!E18 * (1-tr_tax)</f>
        <v>30702331.865904219</v>
      </c>
      <c r="E16" s="30">
        <f t="shared" si="10"/>
        <v>32174466355.598606</v>
      </c>
      <c r="F16" s="297">
        <f t="shared" si="13"/>
        <v>100000</v>
      </c>
      <c r="G16" s="250"/>
      <c r="H16" s="228"/>
      <c r="I16" s="228"/>
      <c r="J16" s="248"/>
      <c r="K16" s="248">
        <v>340</v>
      </c>
      <c r="L16" s="249">
        <v>0.05</v>
      </c>
      <c r="N16" s="255" t="e">
        <f t="shared" si="0"/>
        <v>#DIV/0!</v>
      </c>
      <c r="O16" s="196" t="e">
        <f t="shared" si="1"/>
        <v>#DIV/0!</v>
      </c>
      <c r="P16" s="294" t="e">
        <f t="shared" si="2"/>
        <v>#DIV/0!</v>
      </c>
      <c r="Q16" s="203" t="e">
        <f t="shared" si="3"/>
        <v>#DIV/0!</v>
      </c>
      <c r="R16" s="234" t="e">
        <f t="shared" si="4"/>
        <v>#DIV/0!</v>
      </c>
      <c r="S16" s="175"/>
      <c r="T16" s="241">
        <f t="shared" si="5"/>
        <v>0</v>
      </c>
      <c r="U16" s="177" t="e">
        <f t="shared" si="6"/>
        <v>#DIV/0!</v>
      </c>
      <c r="V16" s="242" t="e">
        <f t="shared" si="14"/>
        <v>#DIV/0!</v>
      </c>
      <c r="W16" s="6"/>
      <c r="X16" s="139">
        <v>150</v>
      </c>
      <c r="Y16" s="139">
        <v>0.3</v>
      </c>
      <c r="Z16" s="183">
        <f t="shared" si="15"/>
        <v>0.57999999999999985</v>
      </c>
      <c r="AA16" s="128">
        <f t="shared" si="7"/>
        <v>0</v>
      </c>
      <c r="AB16" s="128">
        <f t="shared" si="8"/>
        <v>0</v>
      </c>
      <c r="AC16" s="184">
        <f t="shared" si="9"/>
        <v>6.6666666666666671E-3</v>
      </c>
      <c r="AD16" s="185">
        <f t="shared" si="11"/>
        <v>0</v>
      </c>
      <c r="AE16" s="186">
        <f t="shared" si="12"/>
        <v>0</v>
      </c>
    </row>
    <row r="17" spans="2:31" x14ac:dyDescent="0.3">
      <c r="B17" s="226">
        <f>'Epoch Dates'!B15</f>
        <v>44126.738888888889</v>
      </c>
      <c r="C17" s="31">
        <v>224</v>
      </c>
      <c r="D17" s="30">
        <f>rho!E19 * (1-tr_tax)</f>
        <v>30610224.870306507</v>
      </c>
      <c r="E17" s="30">
        <f t="shared" si="10"/>
        <v>32212844270.430984</v>
      </c>
      <c r="F17" s="297">
        <f t="shared" si="13"/>
        <v>100000</v>
      </c>
      <c r="G17" s="250"/>
      <c r="H17" s="228"/>
      <c r="I17" s="228"/>
      <c r="J17" s="248"/>
      <c r="K17" s="248">
        <v>340</v>
      </c>
      <c r="L17" s="249">
        <v>0.05</v>
      </c>
      <c r="N17" s="255" t="e">
        <f t="shared" si="0"/>
        <v>#DIV/0!</v>
      </c>
      <c r="O17" s="196" t="e">
        <f t="shared" si="1"/>
        <v>#DIV/0!</v>
      </c>
      <c r="P17" s="294" t="e">
        <f t="shared" si="2"/>
        <v>#DIV/0!</v>
      </c>
      <c r="Q17" s="203" t="e">
        <f t="shared" si="3"/>
        <v>#DIV/0!</v>
      </c>
      <c r="R17" s="234" t="e">
        <f t="shared" si="4"/>
        <v>#DIV/0!</v>
      </c>
      <c r="S17" s="175"/>
      <c r="T17" s="241">
        <f t="shared" si="5"/>
        <v>0</v>
      </c>
      <c r="U17" s="177" t="e">
        <f t="shared" si="6"/>
        <v>#DIV/0!</v>
      </c>
      <c r="V17" s="242" t="e">
        <f t="shared" si="14"/>
        <v>#DIV/0!</v>
      </c>
      <c r="W17" s="6"/>
      <c r="X17" s="139">
        <v>150</v>
      </c>
      <c r="Y17" s="139">
        <v>0.3</v>
      </c>
      <c r="Z17" s="183">
        <f t="shared" si="15"/>
        <v>0.55999999999999983</v>
      </c>
      <c r="AA17" s="128">
        <f t="shared" si="7"/>
        <v>0</v>
      </c>
      <c r="AB17" s="128">
        <f t="shared" si="8"/>
        <v>0</v>
      </c>
      <c r="AC17" s="184">
        <f t="shared" si="9"/>
        <v>6.6666666666666671E-3</v>
      </c>
      <c r="AD17" s="185">
        <f t="shared" si="11"/>
        <v>0</v>
      </c>
      <c r="AE17" s="186">
        <f t="shared" si="12"/>
        <v>0</v>
      </c>
    </row>
    <row r="18" spans="2:31" x14ac:dyDescent="0.3">
      <c r="B18" s="226">
        <f>'Epoch Dates'!B16</f>
        <v>44131.738888888889</v>
      </c>
      <c r="C18" s="31">
        <v>225</v>
      </c>
      <c r="D18" s="30">
        <f>rho!E20 * (1-tr_tax)</f>
        <v>30518394.195695587</v>
      </c>
      <c r="E18" s="30">
        <f t="shared" si="10"/>
        <v>32251107051.518867</v>
      </c>
      <c r="F18" s="297">
        <f t="shared" si="13"/>
        <v>100000</v>
      </c>
      <c r="G18" s="250"/>
      <c r="H18" s="228"/>
      <c r="I18" s="228"/>
      <c r="J18" s="248"/>
      <c r="K18" s="248">
        <v>340</v>
      </c>
      <c r="L18" s="249">
        <v>0.05</v>
      </c>
      <c r="N18" s="255" t="e">
        <f t="shared" si="0"/>
        <v>#DIV/0!</v>
      </c>
      <c r="O18" s="196" t="e">
        <f t="shared" si="1"/>
        <v>#DIV/0!</v>
      </c>
      <c r="P18" s="294" t="e">
        <f t="shared" si="2"/>
        <v>#DIV/0!</v>
      </c>
      <c r="Q18" s="203" t="e">
        <f t="shared" si="3"/>
        <v>#DIV/0!</v>
      </c>
      <c r="R18" s="234" t="e">
        <f t="shared" si="4"/>
        <v>#DIV/0!</v>
      </c>
      <c r="S18" s="175"/>
      <c r="T18" s="241">
        <f t="shared" si="5"/>
        <v>0</v>
      </c>
      <c r="U18" s="177" t="e">
        <f t="shared" si="6"/>
        <v>#DIV/0!</v>
      </c>
      <c r="V18" s="242" t="e">
        <f t="shared" si="14"/>
        <v>#DIV/0!</v>
      </c>
      <c r="W18" s="6"/>
      <c r="X18" s="139">
        <v>150</v>
      </c>
      <c r="Y18" s="139">
        <v>0.3</v>
      </c>
      <c r="Z18" s="183">
        <f t="shared" si="15"/>
        <v>0.53999999999999981</v>
      </c>
      <c r="AA18" s="128">
        <f t="shared" si="7"/>
        <v>0</v>
      </c>
      <c r="AB18" s="128">
        <f t="shared" si="8"/>
        <v>0</v>
      </c>
      <c r="AC18" s="184">
        <f t="shared" si="9"/>
        <v>6.6666666666666671E-3</v>
      </c>
      <c r="AD18" s="185">
        <f t="shared" si="11"/>
        <v>0</v>
      </c>
      <c r="AE18" s="186">
        <f t="shared" si="12"/>
        <v>0</v>
      </c>
    </row>
    <row r="19" spans="2:31" x14ac:dyDescent="0.3">
      <c r="B19" s="226">
        <f>'Epoch Dates'!B17</f>
        <v>44136.738888888889</v>
      </c>
      <c r="C19" s="31">
        <v>226</v>
      </c>
      <c r="D19" s="30">
        <f>rho!E21 * (1-tr_tax)</f>
        <v>30426839.013108499</v>
      </c>
      <c r="E19" s="30">
        <f t="shared" si="10"/>
        <v>32289255044.263489</v>
      </c>
      <c r="F19" s="297">
        <f t="shared" si="13"/>
        <v>100000</v>
      </c>
      <c r="G19" s="250"/>
      <c r="H19" s="228"/>
      <c r="I19" s="228"/>
      <c r="J19" s="248"/>
      <c r="K19" s="248">
        <v>340</v>
      </c>
      <c r="L19" s="249">
        <v>0.05</v>
      </c>
      <c r="N19" s="255" t="e">
        <f t="shared" si="0"/>
        <v>#DIV/0!</v>
      </c>
      <c r="O19" s="196" t="e">
        <f t="shared" si="1"/>
        <v>#DIV/0!</v>
      </c>
      <c r="P19" s="294" t="e">
        <f t="shared" si="2"/>
        <v>#DIV/0!</v>
      </c>
      <c r="Q19" s="203" t="e">
        <f t="shared" si="3"/>
        <v>#DIV/0!</v>
      </c>
      <c r="R19" s="234" t="e">
        <f t="shared" si="4"/>
        <v>#DIV/0!</v>
      </c>
      <c r="S19" s="175"/>
      <c r="T19" s="241">
        <f t="shared" si="5"/>
        <v>0</v>
      </c>
      <c r="U19" s="177" t="e">
        <f t="shared" si="6"/>
        <v>#DIV/0!</v>
      </c>
      <c r="V19" s="242" t="e">
        <f t="shared" si="14"/>
        <v>#DIV/0!</v>
      </c>
      <c r="W19" s="6"/>
      <c r="X19" s="139">
        <v>150</v>
      </c>
      <c r="Y19" s="139">
        <v>0.3</v>
      </c>
      <c r="Z19" s="183">
        <f t="shared" si="15"/>
        <v>0.5199999999999998</v>
      </c>
      <c r="AA19" s="128">
        <f t="shared" si="7"/>
        <v>0</v>
      </c>
      <c r="AB19" s="128">
        <f t="shared" si="8"/>
        <v>0</v>
      </c>
      <c r="AC19" s="184">
        <f t="shared" si="9"/>
        <v>6.6666666666666671E-3</v>
      </c>
      <c r="AD19" s="185">
        <f t="shared" ref="AD19:AD22" si="16">MIN(AB19,AC19)</f>
        <v>0</v>
      </c>
      <c r="AE19" s="186">
        <f t="shared" ref="AE19:AE22" si="17">MIN(AA19,AC19)</f>
        <v>0</v>
      </c>
    </row>
    <row r="20" spans="2:31" x14ac:dyDescent="0.3">
      <c r="B20" s="226">
        <f>'Epoch Dates'!B18</f>
        <v>44141.738888888889</v>
      </c>
      <c r="C20" s="31">
        <v>227</v>
      </c>
      <c r="D20" s="30">
        <f>rho!E22 * (1-tr_tax)</f>
        <v>30335558.496069178</v>
      </c>
      <c r="E20" s="30">
        <f t="shared" si="10"/>
        <v>32327288593.029873</v>
      </c>
      <c r="F20" s="297">
        <f t="shared" si="13"/>
        <v>100000</v>
      </c>
      <c r="G20" s="250"/>
      <c r="H20" s="228"/>
      <c r="I20" s="228"/>
      <c r="J20" s="248"/>
      <c r="K20" s="248">
        <v>340</v>
      </c>
      <c r="L20" s="249">
        <v>0.05</v>
      </c>
      <c r="N20" s="255" t="e">
        <f t="shared" si="0"/>
        <v>#DIV/0!</v>
      </c>
      <c r="O20" s="196" t="e">
        <f t="shared" si="1"/>
        <v>#DIV/0!</v>
      </c>
      <c r="P20" s="294" t="e">
        <f t="shared" si="2"/>
        <v>#DIV/0!</v>
      </c>
      <c r="Q20" s="203" t="e">
        <f t="shared" si="3"/>
        <v>#DIV/0!</v>
      </c>
      <c r="R20" s="234" t="e">
        <f t="shared" si="4"/>
        <v>#DIV/0!</v>
      </c>
      <c r="S20" s="175"/>
      <c r="T20" s="241">
        <f t="shared" si="5"/>
        <v>0</v>
      </c>
      <c r="U20" s="177" t="e">
        <f t="shared" si="6"/>
        <v>#DIV/0!</v>
      </c>
      <c r="V20" s="242" t="e">
        <f t="shared" si="14"/>
        <v>#DIV/0!</v>
      </c>
      <c r="W20" s="6"/>
      <c r="X20" s="139">
        <v>150</v>
      </c>
      <c r="Y20" s="139">
        <v>0.3</v>
      </c>
      <c r="Z20" s="183">
        <f t="shared" si="15"/>
        <v>0.49999999999999978</v>
      </c>
      <c r="AA20" s="128">
        <f t="shared" si="7"/>
        <v>0</v>
      </c>
      <c r="AB20" s="128">
        <f t="shared" si="8"/>
        <v>0</v>
      </c>
      <c r="AC20" s="184">
        <f t="shared" si="9"/>
        <v>6.6666666666666671E-3</v>
      </c>
      <c r="AD20" s="185">
        <f t="shared" si="16"/>
        <v>0</v>
      </c>
      <c r="AE20" s="186">
        <f t="shared" si="17"/>
        <v>0</v>
      </c>
    </row>
    <row r="21" spans="2:31" x14ac:dyDescent="0.3">
      <c r="B21" s="226">
        <f>'Epoch Dates'!B19</f>
        <v>44146.738888888889</v>
      </c>
      <c r="C21" s="31">
        <v>228</v>
      </c>
      <c r="D21" s="30">
        <f>rho!E23 * (1-tr_tax)</f>
        <v>30244551.820580967</v>
      </c>
      <c r="E21" s="30">
        <f t="shared" si="10"/>
        <v>32365208041.14996</v>
      </c>
      <c r="F21" s="297">
        <f t="shared" si="13"/>
        <v>100000</v>
      </c>
      <c r="G21" s="250"/>
      <c r="H21" s="228"/>
      <c r="I21" s="228"/>
      <c r="J21" s="248"/>
      <c r="K21" s="248">
        <v>340</v>
      </c>
      <c r="L21" s="249">
        <v>0.05</v>
      </c>
      <c r="N21" s="255" t="e">
        <f t="shared" si="0"/>
        <v>#DIV/0!</v>
      </c>
      <c r="O21" s="196" t="e">
        <f t="shared" si="1"/>
        <v>#DIV/0!</v>
      </c>
      <c r="P21" s="294" t="e">
        <f t="shared" si="2"/>
        <v>#DIV/0!</v>
      </c>
      <c r="Q21" s="203" t="e">
        <f t="shared" si="3"/>
        <v>#DIV/0!</v>
      </c>
      <c r="R21" s="234" t="e">
        <f t="shared" si="4"/>
        <v>#DIV/0!</v>
      </c>
      <c r="S21" s="175"/>
      <c r="T21" s="241">
        <f t="shared" si="5"/>
        <v>0</v>
      </c>
      <c r="U21" s="177" t="e">
        <f t="shared" si="6"/>
        <v>#DIV/0!</v>
      </c>
      <c r="V21" s="242" t="e">
        <f t="shared" si="14"/>
        <v>#DIV/0!</v>
      </c>
      <c r="W21" s="6"/>
      <c r="X21" s="139">
        <v>150</v>
      </c>
      <c r="Y21" s="139">
        <v>0.3</v>
      </c>
      <c r="Z21" s="183">
        <v>0.5</v>
      </c>
      <c r="AA21" s="128">
        <f t="shared" si="7"/>
        <v>0</v>
      </c>
      <c r="AB21" s="128">
        <f t="shared" si="8"/>
        <v>0</v>
      </c>
      <c r="AC21" s="184">
        <f t="shared" si="9"/>
        <v>6.6666666666666671E-3</v>
      </c>
      <c r="AD21" s="185">
        <f t="shared" si="16"/>
        <v>0</v>
      </c>
      <c r="AE21" s="186">
        <f t="shared" si="17"/>
        <v>0</v>
      </c>
    </row>
    <row r="22" spans="2:31" x14ac:dyDescent="0.3">
      <c r="B22" s="226">
        <f>'Epoch Dates'!B20</f>
        <v>44151.738888888889</v>
      </c>
      <c r="C22" s="31">
        <v>229</v>
      </c>
      <c r="D22" s="30">
        <f>rho!E24 * (1-tr_tax)</f>
        <v>30153818.165119227</v>
      </c>
      <c r="E22" s="30">
        <f t="shared" si="10"/>
        <v>32403013730.925686</v>
      </c>
      <c r="F22" s="297">
        <f t="shared" si="13"/>
        <v>100000</v>
      </c>
      <c r="G22" s="250"/>
      <c r="H22" s="228"/>
      <c r="I22" s="228"/>
      <c r="J22" s="248"/>
      <c r="K22" s="248">
        <v>340</v>
      </c>
      <c r="L22" s="249">
        <v>0.05</v>
      </c>
      <c r="N22" s="255" t="e">
        <f t="shared" si="0"/>
        <v>#DIV/0!</v>
      </c>
      <c r="O22" s="196" t="e">
        <f t="shared" si="1"/>
        <v>#DIV/0!</v>
      </c>
      <c r="P22" s="294" t="e">
        <f t="shared" si="2"/>
        <v>#DIV/0!</v>
      </c>
      <c r="Q22" s="203" t="e">
        <f t="shared" si="3"/>
        <v>#DIV/0!</v>
      </c>
      <c r="R22" s="234" t="e">
        <f t="shared" si="4"/>
        <v>#DIV/0!</v>
      </c>
      <c r="S22" s="175"/>
      <c r="T22" s="241">
        <f t="shared" si="5"/>
        <v>0</v>
      </c>
      <c r="U22" s="177" t="e">
        <f t="shared" si="6"/>
        <v>#DIV/0!</v>
      </c>
      <c r="V22" s="242" t="e">
        <f t="shared" si="14"/>
        <v>#DIV/0!</v>
      </c>
      <c r="W22" s="6"/>
      <c r="X22" s="139">
        <v>150</v>
      </c>
      <c r="Y22" s="139">
        <v>0.3</v>
      </c>
      <c r="Z22" s="183">
        <v>0.5</v>
      </c>
      <c r="AA22" s="128">
        <f t="shared" si="7"/>
        <v>0</v>
      </c>
      <c r="AB22" s="128">
        <f t="shared" si="8"/>
        <v>0</v>
      </c>
      <c r="AC22" s="184">
        <f t="shared" si="9"/>
        <v>6.6666666666666671E-3</v>
      </c>
      <c r="AD22" s="185">
        <f t="shared" si="16"/>
        <v>0</v>
      </c>
      <c r="AE22" s="186">
        <f t="shared" si="17"/>
        <v>0</v>
      </c>
    </row>
    <row r="23" spans="2:31" ht="15" thickBot="1" x14ac:dyDescent="0.35">
      <c r="B23" s="226">
        <f>'Epoch Dates'!B21</f>
        <v>44156.738888888889</v>
      </c>
      <c r="C23" s="31">
        <v>230</v>
      </c>
      <c r="D23" s="30">
        <f>rho!E25 * (1-tr_tax)</f>
        <v>30063356.71062386</v>
      </c>
      <c r="E23" s="30">
        <f t="shared" si="10"/>
        <v>32440706003.632084</v>
      </c>
      <c r="F23" s="297">
        <f t="shared" si="13"/>
        <v>100000</v>
      </c>
      <c r="G23" s="251"/>
      <c r="H23" s="252"/>
      <c r="I23" s="252"/>
      <c r="J23" s="253"/>
      <c r="K23" s="253">
        <v>340</v>
      </c>
      <c r="L23" s="254">
        <v>0.05</v>
      </c>
      <c r="N23" s="256" t="e">
        <f t="shared" si="0"/>
        <v>#DIV/0!</v>
      </c>
      <c r="O23" s="236" t="e">
        <f t="shared" si="1"/>
        <v>#DIV/0!</v>
      </c>
      <c r="P23" s="295" t="e">
        <f t="shared" si="2"/>
        <v>#DIV/0!</v>
      </c>
      <c r="Q23" s="237" t="e">
        <f t="shared" si="3"/>
        <v>#DIV/0!</v>
      </c>
      <c r="R23" s="238" t="e">
        <f t="shared" si="4"/>
        <v>#DIV/0!</v>
      </c>
      <c r="S23" s="175"/>
      <c r="T23" s="243">
        <f t="shared" si="5"/>
        <v>0</v>
      </c>
      <c r="U23" s="244" t="e">
        <f>G23/H23 * 21600 * (1-#REF!)</f>
        <v>#DIV/0!</v>
      </c>
      <c r="V23" s="245" t="e">
        <f t="shared" si="14"/>
        <v>#DIV/0!</v>
      </c>
      <c r="W23" s="6"/>
      <c r="X23" s="139">
        <v>150</v>
      </c>
      <c r="Y23" s="139">
        <v>0.3</v>
      </c>
      <c r="Z23" s="187">
        <v>0.5</v>
      </c>
      <c r="AA23" s="188">
        <f t="shared" si="7"/>
        <v>0</v>
      </c>
      <c r="AB23" s="188">
        <f t="shared" si="8"/>
        <v>0</v>
      </c>
      <c r="AC23" s="189">
        <f t="shared" si="9"/>
        <v>6.6666666666666671E-3</v>
      </c>
      <c r="AD23" s="190">
        <f t="shared" ref="AD23" si="18">MIN(AB23,AC23)</f>
        <v>0</v>
      </c>
      <c r="AE23" s="191">
        <f t="shared" ref="AE23" si="19">MIN(AA23,AC23)</f>
        <v>0</v>
      </c>
    </row>
    <row r="24" spans="2:31" x14ac:dyDescent="0.3">
      <c r="C24" s="6"/>
      <c r="D24" s="119"/>
      <c r="O24" s="30"/>
      <c r="P24" s="30"/>
      <c r="W24" s="6"/>
      <c r="X24" s="6"/>
    </row>
    <row r="25" spans="2:31" ht="15" thickBot="1" x14ac:dyDescent="0.35">
      <c r="C25" s="19" t="s">
        <v>109</v>
      </c>
      <c r="D25" s="143"/>
      <c r="W25" s="6"/>
      <c r="X25" s="6"/>
    </row>
    <row r="26" spans="2:31" x14ac:dyDescent="0.3">
      <c r="C26" s="6" t="s">
        <v>99</v>
      </c>
      <c r="D26" s="193">
        <f>H7</f>
        <v>13370000000</v>
      </c>
    </row>
    <row r="27" spans="2:31" x14ac:dyDescent="0.3">
      <c r="C27" s="6" t="s">
        <v>93</v>
      </c>
      <c r="D27" s="194">
        <f>G7</f>
        <v>75730000</v>
      </c>
    </row>
    <row r="28" spans="2:31" ht="15" thickBot="1" x14ac:dyDescent="0.35">
      <c r="C28" s="6" t="s">
        <v>108</v>
      </c>
      <c r="D28" s="195">
        <v>0.76</v>
      </c>
      <c r="E28" s="6">
        <f>(1-D28)*21600</f>
        <v>5184</v>
      </c>
    </row>
    <row r="29" spans="2:31" x14ac:dyDescent="0.3">
      <c r="C29" s="6"/>
      <c r="D29" s="31"/>
    </row>
    <row r="30" spans="2:31" ht="15" thickBot="1" x14ac:dyDescent="0.35">
      <c r="C30" s="6"/>
      <c r="D30" s="72"/>
    </row>
    <row r="31" spans="2:31" x14ac:dyDescent="0.3">
      <c r="C31" s="257" t="s">
        <v>116</v>
      </c>
      <c r="D31" s="258">
        <v>432000</v>
      </c>
      <c r="E31" s="131"/>
      <c r="F31" s="131"/>
      <c r="G31" s="131"/>
      <c r="H31" s="131"/>
      <c r="I31" s="132"/>
      <c r="J31" s="132"/>
      <c r="K31" s="132"/>
      <c r="L31" s="132"/>
      <c r="N31" s="132"/>
      <c r="T31" s="132"/>
    </row>
    <row r="32" spans="2:31" x14ac:dyDescent="0.3">
      <c r="C32" s="259" t="s">
        <v>117</v>
      </c>
      <c r="D32" s="260">
        <f>(D27/D26) *0.05 * 0.985 *(1-D28)</f>
        <v>6.6950531039640986E-5</v>
      </c>
      <c r="E32" s="132"/>
      <c r="F32" s="132"/>
      <c r="G32" s="104"/>
      <c r="H32" s="132"/>
      <c r="I32" s="132"/>
      <c r="J32" s="132"/>
      <c r="K32" s="132"/>
      <c r="L32" s="132"/>
      <c r="N32" s="132"/>
      <c r="T32" s="132"/>
    </row>
    <row r="33" spans="3:20" x14ac:dyDescent="0.3">
      <c r="C33" s="259" t="s">
        <v>88</v>
      </c>
      <c r="D33" s="261">
        <f>D31*D32*(1-D32)</f>
        <v>28.920693023726901</v>
      </c>
      <c r="E33" s="132"/>
      <c r="F33" s="132"/>
      <c r="G33" s="105"/>
      <c r="H33" s="140"/>
      <c r="I33" s="132"/>
      <c r="J33" s="132"/>
      <c r="K33" s="132"/>
      <c r="L33" s="132"/>
      <c r="N33" s="132"/>
      <c r="T33" s="132"/>
    </row>
    <row r="34" spans="3:20" x14ac:dyDescent="0.3">
      <c r="C34" s="259" t="s">
        <v>91</v>
      </c>
      <c r="D34" s="261">
        <f>SQRT(D33)</f>
        <v>5.3777962980878051</v>
      </c>
      <c r="E34" s="132"/>
      <c r="F34" s="132"/>
      <c r="G34" s="138"/>
      <c r="H34" s="132"/>
      <c r="I34" s="132"/>
      <c r="J34" s="132"/>
      <c r="K34" s="132"/>
      <c r="L34" s="132"/>
      <c r="N34" s="132"/>
      <c r="T34" s="132"/>
    </row>
    <row r="35" spans="3:20" ht="15" thickBot="1" x14ac:dyDescent="0.35">
      <c r="C35" s="262" t="s">
        <v>92</v>
      </c>
      <c r="D35" s="263">
        <f>D34*3</f>
        <v>16.133388894263415</v>
      </c>
      <c r="E35" s="133"/>
      <c r="F35" s="133"/>
      <c r="G35" s="132"/>
      <c r="H35" s="132"/>
      <c r="I35" s="132"/>
      <c r="J35" s="132"/>
      <c r="K35" s="132"/>
      <c r="L35" s="132"/>
      <c r="N35" s="132"/>
      <c r="T35" s="132"/>
    </row>
    <row r="36" spans="3:20" x14ac:dyDescent="0.3">
      <c r="C36" s="6"/>
      <c r="D36" s="31"/>
      <c r="E36" s="132"/>
      <c r="F36" s="132"/>
      <c r="G36" s="132"/>
      <c r="H36" s="132"/>
      <c r="I36" s="132"/>
      <c r="J36" s="132"/>
      <c r="K36" s="132"/>
      <c r="L36" s="132"/>
      <c r="N36" s="132"/>
      <c r="T36" s="132"/>
    </row>
    <row r="37" spans="3:20" x14ac:dyDescent="0.3">
      <c r="C37" s="3" t="s">
        <v>89</v>
      </c>
      <c r="D37" s="3" t="s">
        <v>90</v>
      </c>
      <c r="E37" s="133"/>
      <c r="F37" s="133"/>
      <c r="G37" s="132"/>
      <c r="H37" s="132"/>
      <c r="I37" s="132"/>
      <c r="J37" s="132"/>
      <c r="K37" s="132"/>
      <c r="L37" s="132"/>
      <c r="N37" s="132"/>
      <c r="T37" s="132"/>
    </row>
    <row r="38" spans="3:20" x14ac:dyDescent="0.3">
      <c r="C38" s="31">
        <v>0</v>
      </c>
      <c r="D38" s="4">
        <f>_xlfn.BINOM.DIST(C38,$D$31,$D$32,FALSE)</f>
        <v>2.7456245281221036E-13</v>
      </c>
      <c r="E38" s="132"/>
      <c r="F38" s="132"/>
      <c r="G38" s="132"/>
      <c r="H38" s="132"/>
      <c r="I38" s="132"/>
      <c r="J38" s="132"/>
      <c r="K38" s="132"/>
      <c r="L38" s="132"/>
      <c r="N38" s="132"/>
      <c r="T38" s="132"/>
    </row>
    <row r="39" spans="3:20" x14ac:dyDescent="0.3">
      <c r="C39" s="31">
        <v>1</v>
      </c>
      <c r="D39" s="4">
        <f t="shared" ref="D39:D98" si="20">_xlfn.BINOM.DIST(C39,$D$31,$D$32,FALSE)</f>
        <v>7.9415997666695762E-12</v>
      </c>
      <c r="E39" s="22"/>
      <c r="F39" s="22"/>
      <c r="G39" s="132"/>
      <c r="H39" s="132"/>
      <c r="I39" s="132"/>
      <c r="J39" s="132"/>
      <c r="K39" s="132"/>
      <c r="L39" s="132"/>
      <c r="N39" s="132"/>
      <c r="T39" s="132"/>
    </row>
    <row r="40" spans="3:20" x14ac:dyDescent="0.3">
      <c r="C40" s="31">
        <v>2</v>
      </c>
      <c r="D40" s="4">
        <f t="shared" si="20"/>
        <v>1.1485339713225773E-10</v>
      </c>
      <c r="E40" s="132"/>
      <c r="F40" s="132"/>
      <c r="G40" s="134"/>
      <c r="H40" s="132"/>
      <c r="I40" s="132"/>
      <c r="J40" s="132"/>
      <c r="K40" s="132"/>
      <c r="L40" s="132"/>
      <c r="N40" s="132"/>
      <c r="T40" s="132"/>
    </row>
    <row r="41" spans="3:20" x14ac:dyDescent="0.3">
      <c r="C41" s="31">
        <v>3</v>
      </c>
      <c r="D41" s="4">
        <f t="shared" si="20"/>
        <v>1.1073564256485668E-9</v>
      </c>
      <c r="E41" s="132"/>
      <c r="F41" s="132"/>
      <c r="G41" s="135"/>
      <c r="H41" s="132"/>
      <c r="I41" s="132"/>
      <c r="J41" s="132"/>
      <c r="K41" s="132"/>
      <c r="L41" s="132"/>
      <c r="N41" s="132"/>
      <c r="T41" s="132"/>
    </row>
    <row r="42" spans="3:20" x14ac:dyDescent="0.3">
      <c r="C42" s="31">
        <v>4</v>
      </c>
      <c r="D42" s="4">
        <f t="shared" si="20"/>
        <v>8.0073953765088586E-9</v>
      </c>
      <c r="E42" s="132"/>
      <c r="F42" s="132"/>
      <c r="G42" s="135"/>
      <c r="H42" s="132"/>
      <c r="I42" s="132"/>
      <c r="J42" s="132"/>
      <c r="K42" s="132"/>
      <c r="L42" s="132"/>
      <c r="N42" s="132"/>
      <c r="T42" s="132"/>
    </row>
    <row r="43" spans="3:20" x14ac:dyDescent="0.3">
      <c r="C43" s="31">
        <v>5</v>
      </c>
      <c r="D43" s="4">
        <f t="shared" si="20"/>
        <v>4.6321658181536908E-8</v>
      </c>
      <c r="E43" s="132"/>
      <c r="F43" s="132"/>
      <c r="G43" s="135"/>
      <c r="H43" s="132"/>
      <c r="I43" s="132"/>
      <c r="J43" s="132"/>
      <c r="K43" s="132"/>
      <c r="L43" s="132"/>
      <c r="N43" s="132"/>
      <c r="T43" s="132"/>
    </row>
    <row r="44" spans="3:20" x14ac:dyDescent="0.3">
      <c r="C44" s="31">
        <v>6</v>
      </c>
      <c r="D44" s="4">
        <f t="shared" si="20"/>
        <v>2.2330305807543394E-7</v>
      </c>
      <c r="E44" s="132"/>
      <c r="F44" s="132"/>
      <c r="G44" s="135"/>
      <c r="H44" s="132"/>
      <c r="I44" s="132"/>
      <c r="J44" s="132"/>
      <c r="K44" s="132"/>
      <c r="L44" s="132"/>
      <c r="N44" s="132"/>
      <c r="T44" s="132"/>
    </row>
    <row r="45" spans="3:20" x14ac:dyDescent="0.3">
      <c r="C45" s="31">
        <v>7</v>
      </c>
      <c r="D45" s="4">
        <f t="shared" si="20"/>
        <v>9.22693473830937E-7</v>
      </c>
      <c r="E45" s="132"/>
      <c r="F45" s="132"/>
      <c r="G45" s="136"/>
      <c r="H45" s="132"/>
      <c r="I45" s="132"/>
      <c r="J45" s="132"/>
      <c r="K45" s="132"/>
      <c r="L45" s="132"/>
      <c r="N45" s="132"/>
      <c r="T45" s="132"/>
    </row>
    <row r="46" spans="3:20" x14ac:dyDescent="0.3">
      <c r="C46" s="31">
        <v>8</v>
      </c>
      <c r="D46" s="4">
        <f t="shared" si="20"/>
        <v>3.3360094698685551E-6</v>
      </c>
      <c r="E46" s="132"/>
      <c r="F46" s="132"/>
      <c r="G46" s="135"/>
      <c r="H46" s="132"/>
      <c r="I46" s="132"/>
      <c r="J46" s="132"/>
      <c r="K46" s="132"/>
      <c r="L46" s="132"/>
      <c r="N46" s="132"/>
      <c r="T46" s="132"/>
    </row>
    <row r="47" spans="3:20" x14ac:dyDescent="0.3">
      <c r="C47" s="31">
        <v>9</v>
      </c>
      <c r="D47" s="4">
        <f t="shared" si="20"/>
        <v>1.0721204326044631E-5</v>
      </c>
      <c r="E47" s="131"/>
      <c r="F47" s="131"/>
      <c r="G47" s="137"/>
      <c r="H47" s="132"/>
      <c r="I47" s="132"/>
      <c r="J47" s="132"/>
      <c r="K47" s="132"/>
      <c r="L47" s="132"/>
      <c r="N47" s="132"/>
      <c r="T47" s="132"/>
    </row>
    <row r="48" spans="3:20" x14ac:dyDescent="0.3">
      <c r="C48" s="31">
        <v>10</v>
      </c>
      <c r="D48" s="4">
        <f t="shared" si="20"/>
        <v>3.1009972076976938E-5</v>
      </c>
      <c r="E48" s="22"/>
      <c r="F48" s="22"/>
      <c r="G48" s="132"/>
      <c r="H48" s="132"/>
      <c r="I48" s="132"/>
      <c r="J48" s="132"/>
      <c r="K48" s="132"/>
      <c r="L48" s="132"/>
      <c r="N48" s="132"/>
      <c r="T48" s="132"/>
    </row>
    <row r="49" spans="2:4" x14ac:dyDescent="0.3">
      <c r="C49" s="31">
        <v>11</v>
      </c>
      <c r="D49" s="4">
        <f t="shared" si="20"/>
        <v>8.1539019901477039E-5</v>
      </c>
    </row>
    <row r="50" spans="2:4" x14ac:dyDescent="0.3">
      <c r="C50" s="31">
        <v>12</v>
      </c>
      <c r="D50" s="4">
        <f t="shared" si="20"/>
        <v>1.9653505855205203E-4</v>
      </c>
    </row>
    <row r="51" spans="2:4" x14ac:dyDescent="0.3">
      <c r="C51" s="31">
        <v>13</v>
      </c>
      <c r="D51" s="4">
        <f t="shared" si="20"/>
        <v>4.3727179610843529E-4</v>
      </c>
    </row>
    <row r="52" spans="2:4" x14ac:dyDescent="0.3">
      <c r="C52" s="31">
        <v>14</v>
      </c>
      <c r="D52" s="4">
        <f t="shared" si="20"/>
        <v>9.0339402037942012E-4</v>
      </c>
    </row>
    <row r="53" spans="2:4" x14ac:dyDescent="0.3">
      <c r="C53" s="31">
        <v>15</v>
      </c>
      <c r="D53" s="4">
        <f t="shared" si="20"/>
        <v>1.7419622055561638E-3</v>
      </c>
    </row>
    <row r="54" spans="2:4" x14ac:dyDescent="0.3">
      <c r="C54" s="31">
        <v>16</v>
      </c>
      <c r="D54" s="4">
        <f t="shared" si="20"/>
        <v>3.1489844472173669E-3</v>
      </c>
    </row>
    <row r="55" spans="2:4" x14ac:dyDescent="0.3">
      <c r="C55" s="31">
        <v>17</v>
      </c>
      <c r="D55" s="4">
        <f t="shared" si="20"/>
        <v>5.3576255760580255E-3</v>
      </c>
    </row>
    <row r="56" spans="2:4" x14ac:dyDescent="0.3">
      <c r="C56" s="31">
        <v>18</v>
      </c>
      <c r="D56" s="4">
        <f t="shared" si="20"/>
        <v>8.6089386629740229E-3</v>
      </c>
    </row>
    <row r="57" spans="2:4" ht="15" thickBot="1" x14ac:dyDescent="0.35">
      <c r="C57" s="31">
        <v>19</v>
      </c>
      <c r="D57" s="4">
        <f t="shared" si="20"/>
        <v>1.3105233604497205E-2</v>
      </c>
    </row>
    <row r="58" spans="2:4" ht="15" thickBot="1" x14ac:dyDescent="0.35">
      <c r="B58" s="222">
        <f>C58/C68</f>
        <v>0.66666666666666663</v>
      </c>
      <c r="C58" s="271">
        <v>20</v>
      </c>
      <c r="D58" s="272">
        <f t="shared" si="20"/>
        <v>1.8952326079207864E-2</v>
      </c>
    </row>
    <row r="59" spans="2:4" x14ac:dyDescent="0.3">
      <c r="C59" s="31">
        <v>21</v>
      </c>
      <c r="D59" s="267">
        <f t="shared" si="20"/>
        <v>2.6102972668068141E-2</v>
      </c>
    </row>
    <row r="60" spans="2:4" x14ac:dyDescent="0.3">
      <c r="C60" s="31">
        <v>22</v>
      </c>
      <c r="D60" s="267">
        <f t="shared" si="20"/>
        <v>3.4317293251440326E-2</v>
      </c>
    </row>
    <row r="61" spans="2:4" x14ac:dyDescent="0.3">
      <c r="C61" s="31">
        <v>23</v>
      </c>
      <c r="D61" s="267">
        <f t="shared" si="20"/>
        <v>4.3154880924521681E-2</v>
      </c>
    </row>
    <row r="62" spans="2:4" ht="15" thickBot="1" x14ac:dyDescent="0.35">
      <c r="C62" s="31">
        <v>24</v>
      </c>
      <c r="D62" s="267">
        <f t="shared" si="20"/>
        <v>5.2007072551307321E-2</v>
      </c>
    </row>
    <row r="63" spans="2:4" x14ac:dyDescent="0.3">
      <c r="C63" s="264">
        <v>25</v>
      </c>
      <c r="D63" s="268">
        <f t="shared" si="20"/>
        <v>6.0167937092457137E-2</v>
      </c>
    </row>
    <row r="64" spans="2:4" x14ac:dyDescent="0.3">
      <c r="C64" s="265">
        <v>26</v>
      </c>
      <c r="D64" s="269">
        <f t="shared" si="20"/>
        <v>6.6931951897153064E-2</v>
      </c>
    </row>
    <row r="65" spans="2:4" x14ac:dyDescent="0.3">
      <c r="C65" s="265">
        <v>27</v>
      </c>
      <c r="D65" s="269">
        <f t="shared" si="20"/>
        <v>7.1698560663301297E-2</v>
      </c>
    </row>
    <row r="66" spans="2:4" x14ac:dyDescent="0.3">
      <c r="C66" s="265">
        <v>28</v>
      </c>
      <c r="D66" s="269">
        <f t="shared" si="20"/>
        <v>7.4061433177320862E-2</v>
      </c>
    </row>
    <row r="67" spans="2:4" ht="15" thickBot="1" x14ac:dyDescent="0.35">
      <c r="C67" s="265">
        <v>29</v>
      </c>
      <c r="D67" s="269">
        <f t="shared" si="20"/>
        <v>7.3863998635052538E-2</v>
      </c>
    </row>
    <row r="68" spans="2:4" ht="15" thickBot="1" x14ac:dyDescent="0.35">
      <c r="C68" s="273">
        <v>30</v>
      </c>
      <c r="D68" s="274">
        <f t="shared" si="20"/>
        <v>7.121135588521478E-2</v>
      </c>
    </row>
    <row r="69" spans="2:4" x14ac:dyDescent="0.3">
      <c r="C69" s="265">
        <v>31</v>
      </c>
      <c r="D69" s="269">
        <f t="shared" si="20"/>
        <v>6.6439178036528657E-2</v>
      </c>
    </row>
    <row r="70" spans="2:4" x14ac:dyDescent="0.3">
      <c r="C70" s="265">
        <v>32</v>
      </c>
      <c r="D70" s="269">
        <f t="shared" si="20"/>
        <v>6.0049577610847123E-2</v>
      </c>
    </row>
    <row r="71" spans="2:4" x14ac:dyDescent="0.3">
      <c r="C71" s="265">
        <v>33</v>
      </c>
      <c r="D71" s="269">
        <f t="shared" si="20"/>
        <v>5.2629675953768849E-2</v>
      </c>
    </row>
    <row r="72" spans="2:4" x14ac:dyDescent="0.3">
      <c r="C72" s="265">
        <v>34</v>
      </c>
      <c r="D72" s="269">
        <f t="shared" si="20"/>
        <v>4.4769830753247017E-2</v>
      </c>
    </row>
    <row r="73" spans="2:4" ht="15" thickBot="1" x14ac:dyDescent="0.35">
      <c r="C73" s="266">
        <v>35</v>
      </c>
      <c r="D73" s="270">
        <f t="shared" si="20"/>
        <v>3.6995600109682836E-2</v>
      </c>
    </row>
    <row r="74" spans="2:4" x14ac:dyDescent="0.3">
      <c r="C74" s="31">
        <v>36</v>
      </c>
      <c r="D74" s="267">
        <f t="shared" si="20"/>
        <v>2.9722082717915117E-2</v>
      </c>
    </row>
    <row r="75" spans="2:4" x14ac:dyDescent="0.3">
      <c r="C75" s="31">
        <v>37</v>
      </c>
      <c r="D75" s="267">
        <f t="shared" si="20"/>
        <v>2.3233154039180019E-2</v>
      </c>
    </row>
    <row r="76" spans="2:4" x14ac:dyDescent="0.3">
      <c r="C76" s="31">
        <v>38</v>
      </c>
      <c r="D76" s="267">
        <f t="shared" si="20"/>
        <v>1.7682929981981402E-2</v>
      </c>
    </row>
    <row r="77" spans="2:4" x14ac:dyDescent="0.3">
      <c r="C77" s="31">
        <v>39</v>
      </c>
      <c r="D77" s="267">
        <f t="shared" si="20"/>
        <v>1.3113489320134073E-2</v>
      </c>
    </row>
    <row r="78" spans="2:4" ht="15" thickBot="1" x14ac:dyDescent="0.35">
      <c r="C78" s="31">
        <v>40</v>
      </c>
      <c r="D78" s="267">
        <f t="shared" si="20"/>
        <v>9.4816935948932764E-3</v>
      </c>
    </row>
    <row r="79" spans="2:4" ht="15" thickBot="1" x14ac:dyDescent="0.35">
      <c r="B79" s="222">
        <f>C79/C68</f>
        <v>1.3666666666666667</v>
      </c>
      <c r="C79" s="271">
        <v>41</v>
      </c>
      <c r="D79" s="272">
        <f t="shared" si="20"/>
        <v>6.6884994532029254E-3</v>
      </c>
    </row>
    <row r="80" spans="2:4" x14ac:dyDescent="0.3">
      <c r="C80" s="31">
        <v>42</v>
      </c>
      <c r="D80" s="4">
        <f t="shared" si="20"/>
        <v>4.6057995808687861E-3</v>
      </c>
    </row>
    <row r="81" spans="3:4" x14ac:dyDescent="0.3">
      <c r="C81" s="31">
        <v>43</v>
      </c>
      <c r="D81" s="4">
        <f t="shared" si="20"/>
        <v>3.0978558509920655E-3</v>
      </c>
    </row>
    <row r="82" spans="3:4" x14ac:dyDescent="0.3">
      <c r="C82" s="31">
        <v>44</v>
      </c>
      <c r="D82" s="4">
        <f t="shared" si="20"/>
        <v>2.0362549285323716E-3</v>
      </c>
    </row>
    <row r="83" spans="3:4" x14ac:dyDescent="0.3">
      <c r="C83" s="31">
        <v>45</v>
      </c>
      <c r="D83" s="4">
        <f t="shared" si="20"/>
        <v>1.3087064682174437E-3</v>
      </c>
    </row>
    <row r="84" spans="3:4" x14ac:dyDescent="0.3">
      <c r="C84" s="31">
        <v>46</v>
      </c>
      <c r="D84" s="4">
        <f t="shared" si="20"/>
        <v>8.2282224814498228E-4</v>
      </c>
    </row>
    <row r="85" spans="3:4" x14ac:dyDescent="0.3">
      <c r="C85" s="31">
        <v>47</v>
      </c>
      <c r="D85" s="4">
        <f t="shared" si="20"/>
        <v>5.063243005297962E-4</v>
      </c>
    </row>
    <row r="86" spans="3:4" x14ac:dyDescent="0.3">
      <c r="C86" s="31">
        <v>48</v>
      </c>
      <c r="D86" s="4">
        <f t="shared" si="20"/>
        <v>3.0507535968776056E-4</v>
      </c>
    </row>
    <row r="87" spans="3:4" x14ac:dyDescent="0.3">
      <c r="C87" s="31">
        <v>49</v>
      </c>
      <c r="D87" s="4">
        <f t="shared" si="20"/>
        <v>1.8006514060275015E-4</v>
      </c>
    </row>
    <row r="88" spans="3:4" x14ac:dyDescent="0.3">
      <c r="C88" s="31">
        <v>50</v>
      </c>
      <c r="D88" s="4">
        <f t="shared" si="20"/>
        <v>1.0415430546151815E-4</v>
      </c>
    </row>
    <row r="89" spans="3:4" x14ac:dyDescent="0.3">
      <c r="C89" s="31">
        <v>51</v>
      </c>
      <c r="D89" s="4">
        <f t="shared" si="20"/>
        <v>5.9064105724718743E-5</v>
      </c>
    </row>
    <row r="90" spans="3:4" x14ac:dyDescent="0.3">
      <c r="C90" s="31">
        <v>52</v>
      </c>
      <c r="D90" s="4">
        <f t="shared" si="20"/>
        <v>3.2850037177856475E-5</v>
      </c>
    </row>
    <row r="91" spans="3:4" x14ac:dyDescent="0.3">
      <c r="C91" s="31">
        <v>53</v>
      </c>
      <c r="D91" s="4">
        <f t="shared" si="20"/>
        <v>1.7925635722237725E-5</v>
      </c>
    </row>
    <row r="92" spans="3:4" x14ac:dyDescent="0.3">
      <c r="C92" s="31">
        <v>54</v>
      </c>
      <c r="D92" s="4">
        <f t="shared" si="20"/>
        <v>9.6005114997732023E-6</v>
      </c>
    </row>
    <row r="93" spans="3:4" x14ac:dyDescent="0.3">
      <c r="C93" s="31">
        <v>55</v>
      </c>
      <c r="D93" s="4">
        <f t="shared" si="20"/>
        <v>5.0482893900455215E-6</v>
      </c>
    </row>
    <row r="94" spans="3:4" x14ac:dyDescent="0.3">
      <c r="C94" s="31">
        <v>56</v>
      </c>
      <c r="D94" s="4">
        <f t="shared" si="20"/>
        <v>2.6071605144818731E-6</v>
      </c>
    </row>
    <row r="95" spans="3:4" x14ac:dyDescent="0.3">
      <c r="C95" s="31">
        <v>57</v>
      </c>
      <c r="D95" s="4">
        <f t="shared" si="20"/>
        <v>1.3228282575057024E-6</v>
      </c>
    </row>
    <row r="96" spans="3:4" x14ac:dyDescent="0.3">
      <c r="C96" s="31">
        <v>58</v>
      </c>
      <c r="D96" s="4">
        <f t="shared" si="20"/>
        <v>6.5960663192221551E-7</v>
      </c>
    </row>
    <row r="97" spans="3:33" x14ac:dyDescent="0.3">
      <c r="C97" s="31">
        <v>59</v>
      </c>
      <c r="D97" s="4">
        <f t="shared" si="20"/>
        <v>3.2332667794463098E-7</v>
      </c>
    </row>
    <row r="98" spans="3:33" x14ac:dyDescent="0.3">
      <c r="C98" s="31">
        <v>60</v>
      </c>
      <c r="D98" s="4">
        <f t="shared" si="20"/>
        <v>1.5584677598443772E-7</v>
      </c>
    </row>
    <row r="99" spans="3:33" x14ac:dyDescent="0.3">
      <c r="C99" s="6"/>
      <c r="D99" s="31"/>
    </row>
    <row r="100" spans="3:33" x14ac:dyDescent="0.3">
      <c r="C100" s="6"/>
      <c r="D100" s="31"/>
    </row>
    <row r="101" spans="3:33" s="22" customFormat="1" x14ac:dyDescent="0.3">
      <c r="D101" s="215"/>
      <c r="E101" s="132"/>
      <c r="F101" s="132"/>
      <c r="G101" s="132"/>
      <c r="H101" s="132"/>
      <c r="I101" s="132"/>
      <c r="J101" s="132"/>
      <c r="K101" s="132"/>
      <c r="L101" s="132"/>
      <c r="M101" s="6"/>
      <c r="N101" s="132"/>
      <c r="O101" s="132"/>
      <c r="P101" s="132"/>
      <c r="Q101" s="132"/>
      <c r="R101" s="132"/>
      <c r="S101" s="132"/>
      <c r="T101" s="132"/>
      <c r="U101" s="132"/>
      <c r="V101" s="132"/>
      <c r="Z101" s="132"/>
      <c r="AA101" s="132"/>
      <c r="AB101" s="132"/>
      <c r="AC101" s="132"/>
      <c r="AD101" s="132"/>
      <c r="AE101" s="132"/>
      <c r="AF101" s="132"/>
      <c r="AG101" s="132"/>
    </row>
    <row r="102" spans="3:33" s="22" customFormat="1" x14ac:dyDescent="0.3">
      <c r="D102" s="215"/>
      <c r="E102" s="132"/>
      <c r="F102" s="132"/>
      <c r="G102" s="132"/>
      <c r="H102" s="132"/>
      <c r="I102" s="132"/>
      <c r="J102" s="132"/>
      <c r="K102" s="132"/>
      <c r="L102" s="132"/>
      <c r="M102" s="6"/>
      <c r="N102" s="132"/>
      <c r="O102" s="132"/>
      <c r="P102" s="132"/>
      <c r="Q102" s="132"/>
      <c r="R102" s="132"/>
      <c r="S102" s="132"/>
      <c r="T102" s="132"/>
      <c r="U102" s="132"/>
      <c r="V102" s="132"/>
      <c r="Z102" s="132"/>
      <c r="AA102" s="132"/>
      <c r="AB102" s="132"/>
      <c r="AC102" s="132"/>
      <c r="AD102" s="132"/>
      <c r="AE102" s="132"/>
      <c r="AF102" s="132"/>
      <c r="AG102" s="132"/>
    </row>
    <row r="103" spans="3:33" s="22" customFormat="1" x14ac:dyDescent="0.3">
      <c r="D103" s="140"/>
      <c r="E103" s="132"/>
      <c r="F103" s="132"/>
      <c r="G103" s="132"/>
      <c r="H103" s="132"/>
      <c r="I103" s="132"/>
      <c r="J103" s="132"/>
      <c r="K103" s="132"/>
      <c r="L103" s="132"/>
      <c r="M103" s="6"/>
      <c r="N103" s="132"/>
      <c r="O103" s="132"/>
      <c r="P103" s="132"/>
      <c r="Q103" s="132"/>
      <c r="R103" s="132"/>
      <c r="S103" s="132"/>
      <c r="T103" s="132"/>
      <c r="U103" s="132"/>
      <c r="V103" s="132"/>
      <c r="Z103" s="132"/>
      <c r="AA103" s="132"/>
      <c r="AB103" s="132"/>
      <c r="AC103" s="132"/>
      <c r="AD103" s="132"/>
      <c r="AE103" s="132"/>
      <c r="AF103" s="132"/>
      <c r="AG103" s="132"/>
    </row>
    <row r="104" spans="3:33" s="22" customFormat="1" x14ac:dyDescent="0.3">
      <c r="D104" s="132"/>
      <c r="E104" s="132"/>
      <c r="F104" s="132"/>
      <c r="G104" s="132"/>
      <c r="H104" s="132"/>
      <c r="I104" s="132"/>
      <c r="J104" s="132"/>
      <c r="K104" s="132"/>
      <c r="L104" s="132"/>
      <c r="M104" s="6"/>
      <c r="N104" s="132"/>
      <c r="O104" s="132"/>
      <c r="P104" s="132"/>
      <c r="Q104" s="132"/>
      <c r="R104" s="132"/>
      <c r="S104" s="132"/>
      <c r="T104" s="132"/>
      <c r="U104" s="132"/>
      <c r="V104" s="132"/>
      <c r="Z104" s="132"/>
      <c r="AA104" s="132"/>
      <c r="AB104" s="132"/>
      <c r="AC104" s="132"/>
      <c r="AD104" s="132"/>
      <c r="AE104" s="132"/>
      <c r="AF104" s="132"/>
      <c r="AG104" s="132"/>
    </row>
    <row r="105" spans="3:33" s="22" customFormat="1" x14ac:dyDescent="0.3">
      <c r="C105" s="93"/>
      <c r="D105" s="132"/>
      <c r="E105" s="132"/>
      <c r="F105" s="132"/>
      <c r="G105" s="132"/>
      <c r="H105" s="132"/>
      <c r="I105" s="132"/>
      <c r="J105" s="132"/>
      <c r="K105" s="132"/>
      <c r="L105" s="132"/>
      <c r="M105" s="6"/>
      <c r="N105" s="132"/>
      <c r="O105" s="132"/>
      <c r="P105" s="132"/>
      <c r="Q105" s="132"/>
      <c r="R105" s="132"/>
      <c r="S105" s="132"/>
      <c r="T105" s="132"/>
      <c r="U105" s="132"/>
      <c r="V105" s="132"/>
      <c r="Z105" s="132"/>
      <c r="AA105" s="132"/>
      <c r="AB105" s="132"/>
      <c r="AC105" s="132"/>
      <c r="AD105" s="132"/>
      <c r="AE105" s="132"/>
      <c r="AF105" s="132"/>
      <c r="AG105" s="132"/>
    </row>
    <row r="106" spans="3:33" s="22" customFormat="1" x14ac:dyDescent="0.3">
      <c r="D106" s="132"/>
      <c r="E106" s="132"/>
      <c r="F106" s="132"/>
      <c r="G106" s="132"/>
      <c r="H106" s="132"/>
      <c r="I106" s="132"/>
      <c r="J106" s="132"/>
      <c r="K106" s="132"/>
      <c r="L106" s="132"/>
      <c r="M106" s="6"/>
      <c r="N106" s="132"/>
      <c r="O106" s="132"/>
      <c r="P106" s="132"/>
      <c r="Q106" s="132"/>
      <c r="R106" s="132"/>
      <c r="S106" s="132"/>
      <c r="T106" s="132"/>
      <c r="U106" s="132"/>
      <c r="V106" s="132"/>
      <c r="Z106" s="132"/>
      <c r="AA106" s="132"/>
      <c r="AB106" s="132"/>
      <c r="AC106" s="132"/>
      <c r="AD106" s="132"/>
      <c r="AE106" s="132"/>
      <c r="AF106" s="132"/>
      <c r="AG106" s="132"/>
    </row>
    <row r="107" spans="3:33" s="22" customFormat="1" x14ac:dyDescent="0.3">
      <c r="D107" s="216"/>
      <c r="E107" s="217"/>
      <c r="F107" s="217"/>
      <c r="G107" s="132"/>
      <c r="H107" s="132"/>
      <c r="I107" s="132"/>
      <c r="J107" s="132"/>
      <c r="K107" s="132"/>
      <c r="L107" s="132"/>
      <c r="M107" s="6"/>
      <c r="N107" s="132"/>
      <c r="O107" s="132"/>
      <c r="P107" s="132"/>
      <c r="Q107" s="132"/>
      <c r="R107" s="132"/>
      <c r="S107" s="132"/>
      <c r="T107" s="132"/>
      <c r="U107" s="132"/>
      <c r="V107" s="132"/>
      <c r="Z107" s="132"/>
      <c r="AA107" s="132"/>
      <c r="AB107" s="132"/>
      <c r="AC107" s="132"/>
      <c r="AD107" s="132"/>
      <c r="AE107" s="132"/>
      <c r="AF107" s="132"/>
      <c r="AG107" s="132"/>
    </row>
    <row r="108" spans="3:33" s="22" customFormat="1" x14ac:dyDescent="0.3">
      <c r="C108" s="93"/>
      <c r="D108" s="64"/>
      <c r="E108" s="132"/>
      <c r="F108" s="132"/>
      <c r="G108" s="132"/>
      <c r="H108" s="132"/>
      <c r="I108" s="132"/>
      <c r="J108" s="132"/>
      <c r="K108" s="132"/>
      <c r="L108" s="132"/>
      <c r="M108" s="6"/>
      <c r="N108" s="132"/>
      <c r="O108" s="132"/>
      <c r="P108" s="132"/>
      <c r="Q108" s="132"/>
      <c r="R108" s="132"/>
      <c r="S108" s="132"/>
      <c r="T108" s="132"/>
      <c r="U108" s="132"/>
      <c r="V108" s="132"/>
      <c r="Z108" s="132"/>
      <c r="AA108" s="132"/>
      <c r="AB108" s="132"/>
      <c r="AC108" s="132"/>
      <c r="AD108" s="132"/>
      <c r="AE108" s="132"/>
      <c r="AF108" s="132"/>
      <c r="AG108" s="132"/>
    </row>
    <row r="109" spans="3:33" s="22" customFormat="1" x14ac:dyDescent="0.3">
      <c r="D109" s="132"/>
      <c r="E109" s="132"/>
      <c r="F109" s="132"/>
      <c r="G109" s="132"/>
      <c r="H109" s="132"/>
      <c r="I109" s="132"/>
      <c r="J109" s="132"/>
      <c r="K109" s="132"/>
      <c r="L109" s="132"/>
      <c r="M109" s="6"/>
      <c r="N109" s="132"/>
      <c r="O109" s="132"/>
      <c r="P109" s="132"/>
      <c r="Q109" s="132"/>
      <c r="R109" s="132"/>
      <c r="S109" s="132"/>
      <c r="T109" s="132"/>
      <c r="U109" s="132"/>
      <c r="V109" s="132"/>
      <c r="Z109" s="132"/>
      <c r="AA109" s="132"/>
      <c r="AB109" s="132"/>
      <c r="AC109" s="132"/>
      <c r="AD109" s="132"/>
      <c r="AE109" s="132"/>
      <c r="AF109" s="132"/>
      <c r="AG109" s="132"/>
    </row>
    <row r="110" spans="3:33" s="22" customFormat="1" x14ac:dyDescent="0.3">
      <c r="D110" s="132"/>
      <c r="E110" s="132"/>
      <c r="F110" s="132"/>
      <c r="G110" s="132"/>
      <c r="H110" s="132"/>
      <c r="I110" s="132"/>
      <c r="J110" s="132"/>
      <c r="K110" s="132"/>
      <c r="L110" s="132"/>
      <c r="M110" s="6"/>
      <c r="N110" s="132"/>
      <c r="O110" s="132"/>
      <c r="P110" s="132"/>
      <c r="Q110" s="132"/>
      <c r="R110" s="132"/>
      <c r="S110" s="132"/>
      <c r="T110" s="132"/>
      <c r="U110" s="132"/>
      <c r="V110" s="132"/>
      <c r="Z110" s="132"/>
      <c r="AA110" s="132"/>
      <c r="AB110" s="132"/>
      <c r="AC110" s="132"/>
      <c r="AD110" s="132"/>
      <c r="AE110" s="132"/>
      <c r="AF110" s="132"/>
      <c r="AG110" s="132"/>
    </row>
    <row r="111" spans="3:33" s="22" customFormat="1" x14ac:dyDescent="0.3">
      <c r="C111" s="93"/>
      <c r="D111" s="132"/>
      <c r="E111" s="132"/>
      <c r="F111" s="132"/>
      <c r="G111" s="132"/>
      <c r="H111" s="132"/>
      <c r="I111" s="132"/>
      <c r="J111" s="132"/>
      <c r="K111" s="132"/>
      <c r="L111" s="132"/>
      <c r="M111" s="6"/>
      <c r="N111" s="132"/>
      <c r="O111" s="132"/>
      <c r="P111" s="132"/>
      <c r="Q111" s="132"/>
      <c r="R111" s="132"/>
      <c r="S111" s="132"/>
      <c r="T111" s="132"/>
      <c r="U111" s="132"/>
      <c r="V111" s="132"/>
      <c r="Z111" s="132"/>
      <c r="AA111" s="132"/>
      <c r="AB111" s="132"/>
      <c r="AC111" s="132"/>
      <c r="AD111" s="132"/>
      <c r="AE111" s="132"/>
      <c r="AF111" s="132"/>
      <c r="AG111" s="132"/>
    </row>
    <row r="112" spans="3:33" s="22" customFormat="1" x14ac:dyDescent="0.3">
      <c r="D112" s="132"/>
      <c r="E112" s="132"/>
      <c r="F112" s="132"/>
      <c r="G112" s="132"/>
      <c r="H112" s="132"/>
      <c r="I112" s="132"/>
      <c r="J112" s="132"/>
      <c r="K112" s="132"/>
      <c r="L112" s="132"/>
      <c r="M112" s="6"/>
      <c r="N112" s="132"/>
      <c r="O112" s="132"/>
      <c r="P112" s="132"/>
      <c r="Q112" s="132"/>
      <c r="R112" s="132"/>
      <c r="S112" s="132"/>
      <c r="T112" s="132"/>
      <c r="U112" s="132"/>
      <c r="V112" s="132"/>
      <c r="Z112" s="132"/>
      <c r="AA112" s="132"/>
      <c r="AB112" s="132"/>
      <c r="AC112" s="132"/>
      <c r="AD112" s="132"/>
      <c r="AE112" s="132"/>
      <c r="AF112" s="132"/>
      <c r="AG112" s="132"/>
    </row>
    <row r="113" spans="1:33" s="22" customFormat="1" x14ac:dyDescent="0.3">
      <c r="D113" s="218"/>
      <c r="E113" s="217"/>
      <c r="F113" s="217"/>
      <c r="G113" s="132"/>
      <c r="H113" s="132"/>
      <c r="I113" s="132"/>
      <c r="J113" s="132"/>
      <c r="K113" s="132"/>
      <c r="L113" s="132"/>
      <c r="M113" s="6"/>
      <c r="N113" s="132"/>
      <c r="O113" s="132"/>
      <c r="P113" s="132"/>
      <c r="Q113" s="132"/>
      <c r="R113" s="132"/>
      <c r="S113" s="132"/>
      <c r="T113" s="132"/>
      <c r="U113" s="132"/>
      <c r="V113" s="132"/>
      <c r="Z113" s="132"/>
      <c r="AA113" s="132"/>
      <c r="AB113" s="132"/>
      <c r="AC113" s="132"/>
      <c r="AD113" s="132"/>
      <c r="AE113" s="132"/>
      <c r="AF113" s="132"/>
      <c r="AG113" s="132"/>
    </row>
    <row r="114" spans="1:33" s="22" customFormat="1" x14ac:dyDescent="0.3">
      <c r="D114" s="134"/>
      <c r="E114" s="132"/>
      <c r="F114" s="132"/>
      <c r="G114" s="132"/>
      <c r="H114" s="132"/>
      <c r="I114" s="132"/>
      <c r="J114" s="132"/>
      <c r="K114" s="132"/>
      <c r="L114" s="132"/>
      <c r="M114" s="6"/>
      <c r="N114" s="132"/>
      <c r="O114" s="132"/>
      <c r="P114" s="132"/>
      <c r="Q114" s="132"/>
      <c r="R114" s="132"/>
      <c r="S114" s="132"/>
      <c r="T114" s="132"/>
      <c r="U114" s="132"/>
      <c r="V114" s="132"/>
      <c r="Z114" s="132"/>
      <c r="AA114" s="132"/>
      <c r="AB114" s="132"/>
      <c r="AC114" s="132"/>
      <c r="AD114" s="132"/>
      <c r="AE114" s="132"/>
      <c r="AF114" s="132"/>
      <c r="AG114" s="132"/>
    </row>
    <row r="115" spans="1:33" s="22" customFormat="1" x14ac:dyDescent="0.3">
      <c r="D115" s="132"/>
      <c r="E115" s="132"/>
      <c r="F115" s="132"/>
      <c r="G115" s="132"/>
      <c r="H115" s="132"/>
      <c r="I115" s="132"/>
      <c r="J115" s="132"/>
      <c r="K115" s="132"/>
      <c r="L115" s="132"/>
      <c r="M115" s="6"/>
      <c r="N115" s="132"/>
      <c r="O115" s="132"/>
      <c r="P115" s="132"/>
      <c r="Q115" s="132"/>
      <c r="R115" s="132"/>
      <c r="S115" s="132"/>
      <c r="T115" s="132"/>
      <c r="U115" s="132"/>
      <c r="V115" s="132"/>
      <c r="Z115" s="132"/>
      <c r="AA115" s="132"/>
      <c r="AB115" s="132"/>
      <c r="AC115" s="132"/>
      <c r="AD115" s="132"/>
      <c r="AE115" s="132"/>
      <c r="AF115" s="132"/>
      <c r="AG115" s="132"/>
    </row>
    <row r="116" spans="1:33" s="22" customFormat="1" x14ac:dyDescent="0.3">
      <c r="D116" s="132"/>
      <c r="G116" s="132"/>
      <c r="H116" s="132"/>
      <c r="I116" s="132"/>
      <c r="J116" s="132"/>
      <c r="K116" s="132"/>
      <c r="L116" s="132"/>
      <c r="M116" s="6"/>
      <c r="N116" s="132"/>
      <c r="O116" s="132"/>
      <c r="P116" s="132"/>
      <c r="Q116" s="132"/>
      <c r="R116" s="132"/>
      <c r="S116" s="132"/>
      <c r="T116" s="132"/>
      <c r="U116" s="132"/>
      <c r="V116" s="132"/>
      <c r="Z116" s="132"/>
      <c r="AA116" s="132"/>
      <c r="AB116" s="132"/>
      <c r="AC116" s="132"/>
      <c r="AD116" s="132"/>
      <c r="AE116" s="132"/>
      <c r="AF116" s="132"/>
      <c r="AG116" s="132"/>
    </row>
    <row r="117" spans="1:33" s="22" customFormat="1" x14ac:dyDescent="0.3">
      <c r="D117" s="132"/>
      <c r="G117" s="132"/>
      <c r="H117" s="132"/>
      <c r="I117" s="132"/>
      <c r="J117" s="132"/>
      <c r="K117" s="132"/>
      <c r="L117" s="132"/>
      <c r="M117" s="6"/>
      <c r="N117" s="132"/>
      <c r="O117" s="132"/>
      <c r="P117" s="132"/>
      <c r="Q117" s="132"/>
      <c r="R117" s="132"/>
      <c r="S117" s="132"/>
      <c r="T117" s="132"/>
      <c r="U117" s="132"/>
      <c r="V117" s="132"/>
      <c r="Z117" s="132"/>
      <c r="AA117" s="132"/>
      <c r="AB117" s="132"/>
      <c r="AC117" s="132"/>
      <c r="AD117" s="132"/>
      <c r="AE117" s="132"/>
      <c r="AF117" s="132"/>
      <c r="AG117" s="132"/>
    </row>
    <row r="118" spans="1:33" s="22" customFormat="1" x14ac:dyDescent="0.3">
      <c r="C118" s="131"/>
      <c r="D118" s="131"/>
      <c r="G118" s="132"/>
      <c r="H118" s="132"/>
      <c r="I118" s="132"/>
      <c r="J118" s="132"/>
      <c r="K118" s="132"/>
      <c r="L118" s="132"/>
      <c r="M118" s="6"/>
      <c r="N118" s="132"/>
      <c r="O118" s="132"/>
      <c r="P118" s="132"/>
      <c r="Q118" s="132"/>
      <c r="R118" s="132"/>
      <c r="S118" s="132"/>
      <c r="T118" s="132"/>
      <c r="U118" s="132"/>
      <c r="V118" s="132"/>
      <c r="Z118" s="132"/>
      <c r="AA118" s="132"/>
      <c r="AB118" s="132"/>
      <c r="AC118" s="132"/>
      <c r="AD118" s="132"/>
      <c r="AE118" s="132"/>
      <c r="AF118" s="132"/>
      <c r="AG118" s="132"/>
    </row>
    <row r="119" spans="1:33" s="22" customFormat="1" x14ac:dyDescent="0.3">
      <c r="C119" s="132"/>
      <c r="D119" s="134"/>
      <c r="G119" s="132"/>
      <c r="H119" s="132"/>
      <c r="I119" s="132"/>
      <c r="J119" s="132"/>
      <c r="K119" s="132"/>
      <c r="L119" s="132"/>
      <c r="M119" s="6"/>
      <c r="N119" s="132"/>
      <c r="O119" s="132"/>
      <c r="P119" s="132"/>
      <c r="Q119" s="132"/>
      <c r="R119" s="132"/>
      <c r="S119" s="132"/>
      <c r="T119" s="132"/>
      <c r="U119" s="132"/>
      <c r="V119" s="132"/>
      <c r="Z119" s="132"/>
      <c r="AA119" s="132"/>
      <c r="AB119" s="132"/>
      <c r="AC119" s="132"/>
      <c r="AD119" s="132"/>
      <c r="AE119" s="132"/>
      <c r="AF119" s="132"/>
      <c r="AG119" s="132"/>
    </row>
    <row r="120" spans="1:33" s="22" customFormat="1" x14ac:dyDescent="0.3">
      <c r="A120" s="219"/>
      <c r="B120" s="219"/>
      <c r="C120" s="132"/>
      <c r="D120" s="132"/>
      <c r="G120" s="132"/>
      <c r="H120" s="132"/>
      <c r="I120" s="132"/>
      <c r="J120" s="132"/>
      <c r="K120" s="132"/>
      <c r="L120" s="132"/>
      <c r="M120" s="6"/>
      <c r="N120" s="132"/>
      <c r="O120" s="132"/>
      <c r="P120" s="132"/>
      <c r="Q120" s="132"/>
      <c r="R120" s="132"/>
      <c r="S120" s="132"/>
      <c r="T120" s="132"/>
      <c r="U120" s="132"/>
      <c r="V120" s="132"/>
      <c r="Z120" s="132"/>
      <c r="AA120" s="132"/>
      <c r="AB120" s="132"/>
      <c r="AC120" s="132"/>
      <c r="AD120" s="132"/>
      <c r="AE120" s="132"/>
      <c r="AF120" s="132"/>
      <c r="AG120" s="132"/>
    </row>
    <row r="121" spans="1:33" s="22" customFormat="1" x14ac:dyDescent="0.3">
      <c r="A121" s="220"/>
      <c r="B121" s="220"/>
      <c r="C121" s="132"/>
      <c r="D121" s="132"/>
      <c r="G121" s="132"/>
      <c r="H121" s="132"/>
      <c r="I121" s="132"/>
      <c r="J121" s="132"/>
      <c r="K121" s="132"/>
      <c r="L121" s="132"/>
      <c r="M121" s="6"/>
      <c r="N121" s="132"/>
      <c r="O121" s="132"/>
      <c r="P121" s="132"/>
      <c r="Q121" s="132"/>
      <c r="R121" s="132"/>
      <c r="S121" s="132"/>
      <c r="T121" s="132"/>
      <c r="U121" s="132"/>
      <c r="V121" s="132"/>
      <c r="Z121" s="132"/>
      <c r="AA121" s="132"/>
      <c r="AB121" s="132"/>
      <c r="AC121" s="132"/>
      <c r="AD121" s="132"/>
      <c r="AE121" s="132"/>
      <c r="AF121" s="132"/>
      <c r="AG121" s="132"/>
    </row>
    <row r="122" spans="1:33" s="22" customFormat="1" x14ac:dyDescent="0.3">
      <c r="A122" s="220"/>
      <c r="B122" s="220"/>
      <c r="C122" s="132"/>
      <c r="D122" s="132"/>
      <c r="G122" s="132"/>
      <c r="H122" s="132"/>
      <c r="I122" s="132"/>
      <c r="J122" s="132"/>
      <c r="K122" s="132"/>
      <c r="L122" s="132"/>
      <c r="M122" s="6"/>
      <c r="N122" s="132"/>
      <c r="O122" s="132"/>
      <c r="P122" s="132"/>
      <c r="Q122" s="132"/>
      <c r="R122" s="132"/>
      <c r="S122" s="132"/>
      <c r="T122" s="132"/>
      <c r="U122" s="132"/>
      <c r="V122" s="132"/>
      <c r="Z122" s="132"/>
      <c r="AA122" s="132"/>
      <c r="AB122" s="132"/>
      <c r="AC122" s="132"/>
      <c r="AD122" s="132"/>
      <c r="AE122" s="132"/>
      <c r="AF122" s="132"/>
      <c r="AG122" s="132"/>
    </row>
    <row r="123" spans="1:33" s="22" customFormat="1" x14ac:dyDescent="0.3">
      <c r="A123" s="220"/>
      <c r="B123" s="220"/>
      <c r="C123" s="132"/>
      <c r="D123" s="132"/>
      <c r="G123" s="132"/>
      <c r="H123" s="132"/>
      <c r="I123" s="132"/>
      <c r="J123" s="132"/>
      <c r="K123" s="132"/>
      <c r="L123" s="132"/>
      <c r="M123" s="6"/>
      <c r="N123" s="132"/>
      <c r="O123" s="132"/>
      <c r="P123" s="132"/>
      <c r="Q123" s="132"/>
      <c r="R123" s="132"/>
      <c r="S123" s="132"/>
      <c r="T123" s="132"/>
      <c r="U123" s="132"/>
      <c r="V123" s="132"/>
      <c r="Z123" s="132"/>
      <c r="AA123" s="132"/>
      <c r="AB123" s="132"/>
      <c r="AC123" s="132"/>
      <c r="AD123" s="132"/>
      <c r="AE123" s="132"/>
      <c r="AF123" s="132"/>
      <c r="AG123" s="132"/>
    </row>
    <row r="124" spans="1:33" s="22" customFormat="1" x14ac:dyDescent="0.3">
      <c r="A124" s="220"/>
      <c r="B124" s="220"/>
      <c r="C124" s="132"/>
      <c r="D124" s="132"/>
      <c r="G124" s="132"/>
      <c r="H124" s="132"/>
      <c r="I124" s="132"/>
      <c r="J124" s="132"/>
      <c r="K124" s="132"/>
      <c r="L124" s="132"/>
      <c r="M124" s="6"/>
      <c r="N124" s="132"/>
      <c r="O124" s="132"/>
      <c r="P124" s="132"/>
      <c r="Q124" s="132"/>
      <c r="R124" s="132"/>
      <c r="S124" s="132"/>
      <c r="T124" s="132"/>
      <c r="U124" s="132"/>
      <c r="V124" s="132"/>
      <c r="Z124" s="132"/>
      <c r="AA124" s="132"/>
      <c r="AB124" s="132"/>
      <c r="AC124" s="132"/>
      <c r="AD124" s="132"/>
      <c r="AE124" s="132"/>
      <c r="AF124" s="132"/>
      <c r="AG124" s="132"/>
    </row>
    <row r="125" spans="1:33" s="22" customFormat="1" x14ac:dyDescent="0.3">
      <c r="A125" s="220"/>
      <c r="B125" s="220"/>
      <c r="C125" s="132"/>
      <c r="D125" s="132"/>
      <c r="G125" s="132"/>
      <c r="H125" s="132"/>
      <c r="I125" s="132"/>
      <c r="J125" s="132"/>
      <c r="K125" s="132"/>
      <c r="L125" s="132"/>
      <c r="M125" s="6"/>
      <c r="N125" s="132"/>
      <c r="O125" s="132"/>
      <c r="P125" s="132"/>
      <c r="Q125" s="132"/>
      <c r="R125" s="132"/>
      <c r="S125" s="132"/>
      <c r="T125" s="132"/>
      <c r="U125" s="132"/>
      <c r="V125" s="132"/>
      <c r="Z125" s="132"/>
      <c r="AA125" s="132"/>
      <c r="AB125" s="132"/>
      <c r="AC125" s="132"/>
      <c r="AD125" s="132"/>
      <c r="AE125" s="132"/>
      <c r="AF125" s="132"/>
      <c r="AG125" s="132"/>
    </row>
    <row r="126" spans="1:33" s="22" customFormat="1" x14ac:dyDescent="0.3">
      <c r="A126" s="220"/>
      <c r="B126" s="220"/>
      <c r="C126" s="132"/>
      <c r="D126" s="132"/>
      <c r="G126" s="132"/>
      <c r="H126" s="132"/>
      <c r="I126" s="132"/>
      <c r="J126" s="132"/>
      <c r="K126" s="132"/>
      <c r="L126" s="132"/>
      <c r="M126" s="6"/>
      <c r="N126" s="132"/>
      <c r="O126" s="132"/>
      <c r="P126" s="132"/>
      <c r="Q126" s="132"/>
      <c r="R126" s="132"/>
      <c r="S126" s="132"/>
      <c r="T126" s="132"/>
      <c r="U126" s="132"/>
      <c r="V126" s="132"/>
      <c r="Z126" s="132"/>
      <c r="AA126" s="132"/>
      <c r="AB126" s="132"/>
      <c r="AC126" s="132"/>
      <c r="AD126" s="132"/>
      <c r="AE126" s="132"/>
      <c r="AF126" s="132"/>
      <c r="AG126" s="132"/>
    </row>
    <row r="127" spans="1:33" s="22" customFormat="1" x14ac:dyDescent="0.3">
      <c r="A127" s="220"/>
      <c r="B127" s="220"/>
      <c r="C127" s="132"/>
      <c r="D127" s="132"/>
      <c r="G127" s="132"/>
      <c r="H127" s="132"/>
      <c r="I127" s="132"/>
      <c r="J127" s="132"/>
      <c r="K127" s="132"/>
      <c r="L127" s="132"/>
      <c r="M127" s="6"/>
      <c r="N127" s="132"/>
      <c r="O127" s="132"/>
      <c r="P127" s="132"/>
      <c r="Q127" s="132"/>
      <c r="R127" s="132"/>
      <c r="S127" s="132"/>
      <c r="T127" s="132"/>
      <c r="U127" s="132"/>
      <c r="V127" s="132"/>
      <c r="Z127" s="132"/>
      <c r="AA127" s="132"/>
      <c r="AB127" s="132"/>
      <c r="AC127" s="132"/>
      <c r="AD127" s="132"/>
      <c r="AE127" s="132"/>
      <c r="AF127" s="132"/>
      <c r="AG127" s="132"/>
    </row>
    <row r="128" spans="1:33" s="22" customFormat="1" x14ac:dyDescent="0.3">
      <c r="A128" s="220"/>
      <c r="B128" s="220"/>
      <c r="C128" s="132"/>
      <c r="D128" s="132"/>
      <c r="G128" s="132"/>
      <c r="H128" s="132"/>
      <c r="I128" s="132"/>
      <c r="J128" s="132"/>
      <c r="K128" s="132"/>
      <c r="L128" s="132"/>
      <c r="M128" s="6"/>
      <c r="N128" s="132"/>
      <c r="O128" s="132"/>
      <c r="P128" s="132"/>
      <c r="Q128" s="132"/>
      <c r="R128" s="132"/>
      <c r="S128" s="132"/>
      <c r="T128" s="132"/>
      <c r="U128" s="132"/>
      <c r="V128" s="132"/>
      <c r="Z128" s="132"/>
      <c r="AA128" s="132"/>
      <c r="AB128" s="132"/>
      <c r="AC128" s="132"/>
      <c r="AD128" s="132"/>
      <c r="AE128" s="132"/>
      <c r="AF128" s="132"/>
      <c r="AG128" s="132"/>
    </row>
    <row r="129" spans="1:33" s="22" customFormat="1" x14ac:dyDescent="0.3">
      <c r="A129" s="220"/>
      <c r="B129" s="220"/>
      <c r="C129" s="132"/>
      <c r="D129" s="132"/>
      <c r="G129" s="132"/>
      <c r="H129" s="132"/>
      <c r="I129" s="132"/>
      <c r="J129" s="132"/>
      <c r="K129" s="132"/>
      <c r="L129" s="132"/>
      <c r="M129" s="6"/>
      <c r="N129" s="132"/>
      <c r="O129" s="132"/>
      <c r="P129" s="132"/>
      <c r="Q129" s="132"/>
      <c r="R129" s="132"/>
      <c r="S129" s="132"/>
      <c r="T129" s="132"/>
      <c r="U129" s="132"/>
      <c r="V129" s="132"/>
      <c r="Z129" s="132"/>
      <c r="AA129" s="132"/>
      <c r="AB129" s="132"/>
      <c r="AC129" s="132"/>
      <c r="AD129" s="132"/>
      <c r="AE129" s="132"/>
      <c r="AF129" s="132"/>
      <c r="AG129" s="132"/>
    </row>
    <row r="130" spans="1:33" s="22" customFormat="1" x14ac:dyDescent="0.3">
      <c r="A130" s="220"/>
      <c r="B130" s="220"/>
      <c r="C130" s="132"/>
      <c r="D130" s="132"/>
      <c r="G130" s="132"/>
      <c r="H130" s="132"/>
      <c r="I130" s="132"/>
      <c r="J130" s="132"/>
      <c r="K130" s="132"/>
      <c r="L130" s="132"/>
      <c r="M130" s="6"/>
      <c r="N130" s="132"/>
      <c r="O130" s="132"/>
      <c r="P130" s="132"/>
      <c r="Q130" s="132"/>
      <c r="R130" s="132"/>
      <c r="S130" s="132"/>
      <c r="T130" s="132"/>
      <c r="U130" s="132"/>
      <c r="V130" s="132"/>
      <c r="Z130" s="132"/>
      <c r="AA130" s="132"/>
      <c r="AB130" s="132"/>
      <c r="AC130" s="132"/>
      <c r="AD130" s="132"/>
      <c r="AE130" s="132"/>
      <c r="AF130" s="132"/>
      <c r="AG130" s="132"/>
    </row>
    <row r="131" spans="1:33" s="22" customFormat="1" x14ac:dyDescent="0.3">
      <c r="A131" s="220"/>
      <c r="B131" s="220"/>
      <c r="C131" s="132"/>
      <c r="D131" s="132"/>
      <c r="G131" s="132"/>
      <c r="H131" s="132"/>
      <c r="I131" s="132"/>
      <c r="J131" s="132"/>
      <c r="K131" s="132"/>
      <c r="L131" s="132"/>
      <c r="M131" s="6"/>
      <c r="N131" s="132"/>
      <c r="O131" s="132"/>
      <c r="P131" s="132"/>
      <c r="Q131" s="132"/>
      <c r="R131" s="132"/>
      <c r="S131" s="132"/>
      <c r="T131" s="132"/>
      <c r="U131" s="132"/>
      <c r="V131" s="132"/>
      <c r="Z131" s="132"/>
      <c r="AA131" s="132"/>
      <c r="AB131" s="132"/>
      <c r="AC131" s="132"/>
      <c r="AD131" s="132"/>
      <c r="AE131" s="132"/>
      <c r="AF131" s="132"/>
      <c r="AG131" s="132"/>
    </row>
    <row r="132" spans="1:33" s="22" customFormat="1" x14ac:dyDescent="0.3">
      <c r="A132" s="220"/>
      <c r="B132" s="220"/>
      <c r="C132" s="132"/>
      <c r="D132" s="132"/>
      <c r="G132" s="132"/>
      <c r="H132" s="132"/>
      <c r="I132" s="132"/>
      <c r="J132" s="132"/>
      <c r="K132" s="132"/>
      <c r="L132" s="132"/>
      <c r="M132" s="6"/>
      <c r="N132" s="132"/>
      <c r="O132" s="132"/>
      <c r="P132" s="132"/>
      <c r="Q132" s="132"/>
      <c r="R132" s="132"/>
      <c r="S132" s="132"/>
      <c r="T132" s="132"/>
      <c r="U132" s="132"/>
      <c r="V132" s="132"/>
      <c r="Z132" s="132"/>
      <c r="AA132" s="132"/>
      <c r="AB132" s="132"/>
      <c r="AC132" s="132"/>
      <c r="AD132" s="132"/>
      <c r="AE132" s="132"/>
      <c r="AF132" s="132"/>
      <c r="AG132" s="132"/>
    </row>
    <row r="133" spans="1:33" s="22" customFormat="1" x14ac:dyDescent="0.3">
      <c r="A133" s="220"/>
      <c r="B133" s="220"/>
      <c r="C133" s="132"/>
      <c r="D133" s="132"/>
      <c r="G133" s="132"/>
      <c r="H133" s="132"/>
      <c r="I133" s="132"/>
      <c r="J133" s="132"/>
      <c r="K133" s="132"/>
      <c r="L133" s="132"/>
      <c r="M133" s="6"/>
      <c r="N133" s="132"/>
      <c r="O133" s="132"/>
      <c r="P133" s="132"/>
      <c r="Q133" s="132"/>
      <c r="R133" s="132"/>
      <c r="S133" s="132"/>
      <c r="T133" s="132"/>
      <c r="U133" s="132"/>
      <c r="V133" s="132"/>
      <c r="Z133" s="132"/>
      <c r="AA133" s="132"/>
      <c r="AB133" s="132"/>
      <c r="AC133" s="132"/>
      <c r="AD133" s="132"/>
      <c r="AE133" s="132"/>
      <c r="AF133" s="132"/>
      <c r="AG133" s="132"/>
    </row>
    <row r="134" spans="1:33" s="22" customFormat="1" x14ac:dyDescent="0.3">
      <c r="A134" s="220"/>
      <c r="B134" s="220"/>
      <c r="C134" s="132"/>
      <c r="D134" s="132"/>
      <c r="G134" s="132"/>
      <c r="H134" s="132"/>
      <c r="I134" s="132"/>
      <c r="J134" s="132"/>
      <c r="K134" s="132"/>
      <c r="L134" s="132"/>
      <c r="M134" s="6"/>
      <c r="N134" s="132"/>
      <c r="O134" s="132"/>
      <c r="P134" s="132"/>
      <c r="Q134" s="132"/>
      <c r="R134" s="132"/>
      <c r="S134" s="132"/>
      <c r="T134" s="132"/>
      <c r="U134" s="132"/>
      <c r="V134" s="132"/>
      <c r="Z134" s="132"/>
      <c r="AA134" s="132"/>
      <c r="AB134" s="132"/>
      <c r="AC134" s="132"/>
      <c r="AD134" s="132"/>
      <c r="AE134" s="132"/>
      <c r="AF134" s="132"/>
      <c r="AG134" s="132"/>
    </row>
    <row r="135" spans="1:33" s="22" customFormat="1" x14ac:dyDescent="0.3">
      <c r="A135" s="220"/>
      <c r="B135" s="220"/>
      <c r="C135" s="132"/>
      <c r="D135" s="132"/>
      <c r="G135" s="132"/>
      <c r="H135" s="132"/>
      <c r="I135" s="132"/>
      <c r="J135" s="132"/>
      <c r="K135" s="132"/>
      <c r="L135" s="132"/>
      <c r="M135" s="6"/>
      <c r="N135" s="132"/>
      <c r="O135" s="132"/>
      <c r="P135" s="132"/>
      <c r="Q135" s="132"/>
      <c r="R135" s="132"/>
      <c r="S135" s="132"/>
      <c r="T135" s="132"/>
      <c r="U135" s="132"/>
      <c r="V135" s="132"/>
      <c r="Z135" s="132"/>
      <c r="AA135" s="132"/>
      <c r="AB135" s="132"/>
      <c r="AC135" s="132"/>
      <c r="AD135" s="132"/>
      <c r="AE135" s="132"/>
      <c r="AF135" s="132"/>
      <c r="AG135" s="132"/>
    </row>
    <row r="136" spans="1:33" s="22" customFormat="1" x14ac:dyDescent="0.3">
      <c r="A136" s="220"/>
      <c r="B136" s="220"/>
      <c r="C136" s="132"/>
      <c r="D136" s="132"/>
      <c r="G136" s="132"/>
      <c r="H136" s="132"/>
      <c r="I136" s="132"/>
      <c r="J136" s="132"/>
      <c r="K136" s="132"/>
      <c r="L136" s="132"/>
      <c r="M136" s="6"/>
      <c r="N136" s="132"/>
      <c r="O136" s="132"/>
      <c r="P136" s="132"/>
      <c r="Q136" s="132"/>
      <c r="R136" s="132"/>
      <c r="S136" s="132"/>
      <c r="T136" s="132"/>
      <c r="U136" s="132"/>
      <c r="V136" s="132"/>
      <c r="Z136" s="132"/>
      <c r="AA136" s="132"/>
      <c r="AB136" s="132"/>
      <c r="AC136" s="132"/>
      <c r="AD136" s="132"/>
      <c r="AE136" s="132"/>
      <c r="AF136" s="132"/>
      <c r="AG136" s="132"/>
    </row>
    <row r="137" spans="1:33" s="22" customFormat="1" x14ac:dyDescent="0.3">
      <c r="A137" s="220"/>
      <c r="B137" s="220"/>
      <c r="C137" s="132"/>
      <c r="D137" s="132"/>
      <c r="G137" s="132"/>
      <c r="H137" s="132"/>
      <c r="I137" s="132"/>
      <c r="J137" s="132"/>
      <c r="K137" s="132"/>
      <c r="L137" s="132"/>
      <c r="M137" s="6"/>
      <c r="N137" s="132"/>
      <c r="O137" s="132"/>
      <c r="P137" s="132"/>
      <c r="Q137" s="132"/>
      <c r="R137" s="132"/>
      <c r="S137" s="132"/>
      <c r="T137" s="132"/>
      <c r="U137" s="132"/>
      <c r="V137" s="132"/>
      <c r="Z137" s="132"/>
      <c r="AA137" s="132"/>
      <c r="AB137" s="132"/>
      <c r="AC137" s="132"/>
      <c r="AD137" s="132"/>
      <c r="AE137" s="132"/>
      <c r="AF137" s="132"/>
      <c r="AG137" s="132"/>
    </row>
    <row r="138" spans="1:33" s="22" customFormat="1" x14ac:dyDescent="0.3">
      <c r="A138" s="220"/>
      <c r="B138" s="220"/>
      <c r="C138" s="132"/>
      <c r="D138" s="132"/>
      <c r="G138" s="132"/>
      <c r="H138" s="132"/>
      <c r="I138" s="132"/>
      <c r="J138" s="132"/>
      <c r="K138" s="132"/>
      <c r="L138" s="132"/>
      <c r="M138" s="6"/>
      <c r="N138" s="132"/>
      <c r="O138" s="132"/>
      <c r="P138" s="132"/>
      <c r="Q138" s="132"/>
      <c r="R138" s="132"/>
      <c r="S138" s="132"/>
      <c r="T138" s="132"/>
      <c r="U138" s="132"/>
      <c r="V138" s="132"/>
      <c r="Z138" s="132"/>
      <c r="AA138" s="132"/>
      <c r="AB138" s="132"/>
      <c r="AC138" s="132"/>
      <c r="AD138" s="132"/>
      <c r="AE138" s="132"/>
      <c r="AF138" s="132"/>
      <c r="AG138" s="132"/>
    </row>
    <row r="139" spans="1:33" s="22" customFormat="1" x14ac:dyDescent="0.3">
      <c r="A139" s="220"/>
      <c r="B139" s="220"/>
      <c r="C139" s="132"/>
      <c r="D139" s="132"/>
      <c r="G139" s="132"/>
      <c r="H139" s="132"/>
      <c r="I139" s="132"/>
      <c r="J139" s="132"/>
      <c r="K139" s="132"/>
      <c r="L139" s="132"/>
      <c r="M139" s="6"/>
      <c r="N139" s="132"/>
      <c r="O139" s="132"/>
      <c r="P139" s="132"/>
      <c r="Q139" s="132"/>
      <c r="R139" s="132"/>
      <c r="S139" s="132"/>
      <c r="T139" s="132"/>
      <c r="U139" s="132"/>
      <c r="V139" s="132"/>
      <c r="Z139" s="132"/>
      <c r="AA139" s="132"/>
      <c r="AB139" s="132"/>
      <c r="AC139" s="132"/>
      <c r="AD139" s="132"/>
      <c r="AE139" s="132"/>
      <c r="AF139" s="132"/>
      <c r="AG139" s="132"/>
    </row>
    <row r="140" spans="1:33" s="22" customFormat="1" x14ac:dyDescent="0.3">
      <c r="A140" s="220"/>
      <c r="B140" s="220"/>
      <c r="C140" s="132"/>
      <c r="D140" s="132"/>
      <c r="G140" s="132"/>
      <c r="H140" s="132"/>
      <c r="I140" s="132"/>
      <c r="J140" s="132"/>
      <c r="K140" s="132"/>
      <c r="L140" s="132"/>
      <c r="M140" s="6"/>
      <c r="N140" s="132"/>
      <c r="O140" s="132"/>
      <c r="P140" s="132"/>
      <c r="Q140" s="132"/>
      <c r="R140" s="132"/>
      <c r="S140" s="132"/>
      <c r="T140" s="132"/>
      <c r="U140" s="132"/>
      <c r="V140" s="132"/>
      <c r="Z140" s="132"/>
      <c r="AA140" s="132"/>
      <c r="AB140" s="132"/>
      <c r="AC140" s="132"/>
      <c r="AD140" s="132"/>
      <c r="AE140" s="132"/>
      <c r="AF140" s="132"/>
      <c r="AG140" s="132"/>
    </row>
    <row r="141" spans="1:33" s="22" customFormat="1" x14ac:dyDescent="0.3">
      <c r="D141" s="132"/>
      <c r="G141" s="132"/>
      <c r="H141" s="132"/>
      <c r="I141" s="132"/>
      <c r="J141" s="132"/>
      <c r="K141" s="132"/>
      <c r="L141" s="132"/>
      <c r="M141" s="6"/>
      <c r="N141" s="132"/>
      <c r="O141" s="132"/>
      <c r="P141" s="132"/>
      <c r="Q141" s="132"/>
      <c r="R141" s="132"/>
      <c r="S141" s="132"/>
      <c r="T141" s="132"/>
      <c r="U141" s="132"/>
      <c r="V141" s="132"/>
      <c r="Z141" s="132"/>
      <c r="AA141" s="132"/>
      <c r="AB141" s="132"/>
      <c r="AC141" s="132"/>
      <c r="AD141" s="132"/>
      <c r="AE141" s="132"/>
      <c r="AF141" s="132"/>
      <c r="AG141" s="132"/>
    </row>
    <row r="142" spans="1:33" s="22" customFormat="1" x14ac:dyDescent="0.3">
      <c r="D142" s="132"/>
      <c r="G142" s="132"/>
      <c r="H142" s="132"/>
      <c r="I142" s="132"/>
      <c r="J142" s="132"/>
      <c r="K142" s="132"/>
      <c r="L142" s="132"/>
      <c r="M142" s="6"/>
      <c r="N142" s="132"/>
      <c r="O142" s="132"/>
      <c r="P142" s="132"/>
      <c r="Q142" s="132"/>
      <c r="R142" s="132"/>
      <c r="S142" s="132"/>
      <c r="T142" s="132"/>
      <c r="U142" s="132"/>
      <c r="V142" s="132"/>
      <c r="Z142" s="132"/>
      <c r="AA142" s="132"/>
      <c r="AB142" s="132"/>
      <c r="AC142" s="132"/>
      <c r="AD142" s="132"/>
      <c r="AE142" s="132"/>
      <c r="AF142" s="132"/>
      <c r="AG142" s="132"/>
    </row>
    <row r="143" spans="1:33" x14ac:dyDescent="0.3">
      <c r="C143" s="6"/>
      <c r="D143" s="31"/>
    </row>
    <row r="144" spans="1:33" x14ac:dyDescent="0.3">
      <c r="C144" s="6"/>
      <c r="D144" s="31"/>
    </row>
    <row r="145" spans="3:4" x14ac:dyDescent="0.3">
      <c r="C145" s="6"/>
      <c r="D145" s="31"/>
    </row>
    <row r="146" spans="3:4" x14ac:dyDescent="0.3">
      <c r="C146" s="6"/>
      <c r="D146" s="31"/>
    </row>
    <row r="147" spans="3:4" x14ac:dyDescent="0.3">
      <c r="C147" s="6"/>
      <c r="D147" s="31"/>
    </row>
    <row r="148" spans="3:4" x14ac:dyDescent="0.3">
      <c r="C148" s="6"/>
      <c r="D148" s="31"/>
    </row>
    <row r="149" spans="3:4" x14ac:dyDescent="0.3">
      <c r="C149" s="6"/>
      <c r="D149" s="31"/>
    </row>
    <row r="150" spans="3:4" x14ac:dyDescent="0.3">
      <c r="C150" s="6"/>
      <c r="D150" s="31"/>
    </row>
  </sheetData>
  <mergeCells count="3">
    <mergeCell ref="G2:L2"/>
    <mergeCell ref="N2:R2"/>
    <mergeCell ref="T2:V2"/>
  </mergeCells>
  <phoneticPr fontId="9" type="noConversion"/>
  <pageMargins left="0.7" right="0.7" top="0.75" bottom="0.75" header="0.3" footer="0.3"/>
  <pageSetup orientation="portrait" r:id="rId1"/>
  <ignoredErrors>
    <ignoredError sqref="R6:R23 O6:O23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0BBB-A21A-479B-8293-27459A309C06}">
  <dimension ref="A1:AM172"/>
  <sheetViews>
    <sheetView zoomScale="81" zoomScaleNormal="81" workbookViewId="0">
      <selection activeCell="J4" sqref="J4:J7"/>
    </sheetView>
  </sheetViews>
  <sheetFormatPr defaultRowHeight="14.4" x14ac:dyDescent="0.3"/>
  <cols>
    <col min="1" max="1" width="2.33203125" style="6" customWidth="1"/>
    <col min="2" max="2" width="12.6640625" style="6" bestFit="1" customWidth="1"/>
    <col min="3" max="3" width="27.109375" bestFit="1" customWidth="1"/>
    <col min="4" max="4" width="20.33203125" style="1" bestFit="1" customWidth="1"/>
    <col min="5" max="5" width="20.6640625" style="6" bestFit="1" customWidth="1"/>
    <col min="6" max="6" width="20.6640625" style="6" customWidth="1"/>
    <col min="7" max="7" width="14.6640625" style="31" bestFit="1" customWidth="1"/>
    <col min="8" max="8" width="16.109375" style="31" customWidth="1"/>
    <col min="9" max="9" width="8.109375" style="31" bestFit="1" customWidth="1"/>
    <col min="10" max="10" width="12.109375" style="31" bestFit="1" customWidth="1"/>
    <col min="11" max="12" width="12.109375" style="31" customWidth="1"/>
    <col min="13" max="13" width="3.109375" style="6" customWidth="1"/>
    <col min="14" max="14" width="12.109375" style="31" customWidth="1"/>
    <col min="15" max="15" width="25.109375" style="31" bestFit="1" customWidth="1"/>
    <col min="16" max="17" width="19.33203125" style="31" customWidth="1"/>
    <col min="18" max="18" width="10.5546875" style="31" bestFit="1" customWidth="1"/>
    <col min="19" max="19" width="2.33203125" style="31" customWidth="1"/>
    <col min="20" max="20" width="12.88671875" style="31" bestFit="1" customWidth="1"/>
    <col min="21" max="21" width="14.6640625" style="31" bestFit="1" customWidth="1"/>
    <col min="22" max="22" width="11.88671875" style="31" bestFit="1" customWidth="1"/>
    <col min="23" max="23" width="2.5546875" style="6" customWidth="1"/>
    <col min="24" max="25" width="8.88671875" style="6"/>
    <col min="26" max="33" width="8.88671875" style="31"/>
    <col min="34" max="39" width="8.88671875" style="6"/>
  </cols>
  <sheetData>
    <row r="1" spans="1:39" s="6" customFormat="1" ht="15" thickBot="1" x14ac:dyDescent="0.35">
      <c r="D1" s="31"/>
      <c r="G1" s="31"/>
      <c r="H1" s="31"/>
      <c r="I1" s="31"/>
      <c r="J1" s="31"/>
      <c r="K1" s="31"/>
      <c r="L1" s="31"/>
      <c r="N1" s="31"/>
      <c r="O1" s="31"/>
      <c r="P1" s="31"/>
      <c r="Q1" s="31"/>
      <c r="R1" s="31"/>
      <c r="S1" s="31"/>
      <c r="T1" s="31"/>
      <c r="U1" s="31"/>
      <c r="V1" s="31"/>
      <c r="Z1" s="31"/>
      <c r="AA1" s="31"/>
      <c r="AB1" s="31"/>
      <c r="AC1" s="31"/>
      <c r="AD1" s="31"/>
      <c r="AE1" s="31"/>
      <c r="AF1" s="31"/>
      <c r="AG1" s="31"/>
    </row>
    <row r="2" spans="1:39" s="6" customFormat="1" x14ac:dyDescent="0.3">
      <c r="D2" s="31"/>
      <c r="G2" s="287" t="s">
        <v>153</v>
      </c>
      <c r="H2" s="288"/>
      <c r="I2" s="288"/>
      <c r="J2" s="288"/>
      <c r="K2" s="288"/>
      <c r="L2" s="289"/>
      <c r="N2" s="287" t="s">
        <v>151</v>
      </c>
      <c r="O2" s="288"/>
      <c r="P2" s="288"/>
      <c r="Q2" s="288"/>
      <c r="R2" s="289"/>
      <c r="S2" s="31"/>
      <c r="T2" s="287" t="s">
        <v>152</v>
      </c>
      <c r="U2" s="288"/>
      <c r="V2" s="289"/>
      <c r="Z2" s="31"/>
      <c r="AA2" s="31"/>
      <c r="AB2" s="31"/>
      <c r="AC2" s="31"/>
      <c r="AD2" s="31"/>
      <c r="AE2" s="31"/>
      <c r="AF2" s="31"/>
      <c r="AG2" s="31"/>
    </row>
    <row r="3" spans="1:39" s="102" customFormat="1" ht="15" thickBot="1" x14ac:dyDescent="0.35">
      <c r="A3" s="17"/>
      <c r="B3" s="17" t="s">
        <v>148</v>
      </c>
      <c r="C3" s="3" t="s">
        <v>55</v>
      </c>
      <c r="D3" s="141" t="s">
        <v>110</v>
      </c>
      <c r="E3" s="3" t="s">
        <v>104</v>
      </c>
      <c r="F3" s="3" t="s">
        <v>146</v>
      </c>
      <c r="G3" s="229" t="s">
        <v>102</v>
      </c>
      <c r="H3" s="131" t="s">
        <v>103</v>
      </c>
      <c r="I3" s="131" t="s">
        <v>46</v>
      </c>
      <c r="J3" s="131" t="s">
        <v>106</v>
      </c>
      <c r="K3" s="131" t="s">
        <v>113</v>
      </c>
      <c r="L3" s="230" t="s">
        <v>114</v>
      </c>
      <c r="M3" s="6"/>
      <c r="N3" s="229" t="s">
        <v>115</v>
      </c>
      <c r="O3" s="131" t="s">
        <v>150</v>
      </c>
      <c r="P3" s="131" t="s">
        <v>147</v>
      </c>
      <c r="Q3" s="131" t="s">
        <v>120</v>
      </c>
      <c r="R3" s="230" t="s">
        <v>95</v>
      </c>
      <c r="S3" s="3"/>
      <c r="T3" s="229" t="s">
        <v>111</v>
      </c>
      <c r="U3" s="131" t="s">
        <v>112</v>
      </c>
      <c r="V3" s="230" t="s">
        <v>107</v>
      </c>
      <c r="W3" s="17"/>
      <c r="X3" s="192" t="s">
        <v>0</v>
      </c>
      <c r="Y3" s="192" t="s">
        <v>105</v>
      </c>
      <c r="Z3" s="3" t="s">
        <v>108</v>
      </c>
      <c r="AA3" s="142" t="s">
        <v>3</v>
      </c>
      <c r="AB3" s="142" t="s">
        <v>5</v>
      </c>
      <c r="AC3" s="3" t="s">
        <v>38</v>
      </c>
      <c r="AD3" s="142" t="s">
        <v>6</v>
      </c>
      <c r="AE3" s="3" t="s">
        <v>9</v>
      </c>
      <c r="AI3" s="17"/>
      <c r="AJ3" s="17"/>
      <c r="AK3" s="17"/>
      <c r="AL3" s="17"/>
      <c r="AM3" s="17"/>
    </row>
    <row r="4" spans="1:39" ht="15" thickBot="1" x14ac:dyDescent="0.35">
      <c r="B4" s="226">
        <f>'Epoch Dates'!B3</f>
        <v>44066.738888888889</v>
      </c>
      <c r="C4" s="31">
        <v>211</v>
      </c>
      <c r="D4" s="30">
        <f>rho!E6 * (1-tr_tax)</f>
        <v>31829474.020034879</v>
      </c>
      <c r="E4" s="199">
        <f>SKY!E4</f>
        <v>31704823791.377499</v>
      </c>
      <c r="F4" s="246">
        <v>100000</v>
      </c>
      <c r="G4" s="247">
        <v>14182000</v>
      </c>
      <c r="H4" s="228">
        <f>SKY!$H4</f>
        <v>10177000000</v>
      </c>
      <c r="I4" s="228">
        <v>150000</v>
      </c>
      <c r="J4" s="248">
        <v>1</v>
      </c>
      <c r="K4" s="248">
        <v>340</v>
      </c>
      <c r="L4" s="249">
        <v>0.03</v>
      </c>
      <c r="N4" s="231">
        <f t="shared" ref="N4:N23" si="0">V4*T4 *L4 +K4</f>
        <v>668.63290173856831</v>
      </c>
      <c r="O4" s="197">
        <f t="shared" ref="O4:O23" si="1">V4*T4-N4</f>
        <v>10285.797156213706</v>
      </c>
      <c r="P4" s="197">
        <f t="shared" ref="P4:P23" si="2">F4/G4 * O4</f>
        <v>72.527127035775678</v>
      </c>
      <c r="Q4" s="202">
        <f t="shared" ref="Q4:Q23" si="3">(1+O4/G4)^(365/5) -1</f>
        <v>5.4351211485045958E-2</v>
      </c>
      <c r="R4" s="232">
        <f t="shared" ref="R4:R23" si="4">O4/J4</f>
        <v>10285.797156213706</v>
      </c>
      <c r="S4" s="175"/>
      <c r="T4" s="239">
        <f t="shared" ref="T4:T23" si="5">(((AD4-((1-AD4/AC4)*AE4))/AC4*AE4*Y4)+AD4) * D4/(1+Y4)</f>
        <v>10954.430057952275</v>
      </c>
      <c r="U4" s="205">
        <f t="shared" ref="U4:U22" si="6">G4/H4 * 21600 * (1-Z4)</f>
        <v>3.0100343912744418</v>
      </c>
      <c r="V4" s="240">
        <f>IF(Z4&gt;=0.8,1,J4/U4)</f>
        <v>1</v>
      </c>
      <c r="X4" s="200">
        <v>150</v>
      </c>
      <c r="Y4" s="139">
        <v>0.3</v>
      </c>
      <c r="Z4" s="178">
        <v>0.9</v>
      </c>
      <c r="AA4" s="179">
        <f t="shared" ref="AA4:AA23" si="7">I4/E4</f>
        <v>4.7311412606177069E-6</v>
      </c>
      <c r="AB4" s="179">
        <f t="shared" ref="AB4:AB23" si="8">G4/E4</f>
        <v>4.4731363572053542E-4</v>
      </c>
      <c r="AC4" s="180">
        <f t="shared" ref="AC4:AC23" si="9">1/X4</f>
        <v>6.6666666666666671E-3</v>
      </c>
      <c r="AD4" s="181">
        <f>MIN(AB4,AC4)</f>
        <v>4.4731363572053542E-4</v>
      </c>
      <c r="AE4" s="182">
        <f>MIN(AA4,AC4)</f>
        <v>4.7311412606177069E-6</v>
      </c>
    </row>
    <row r="5" spans="1:39" x14ac:dyDescent="0.3">
      <c r="B5" s="226">
        <f>'Epoch Dates'!B4</f>
        <v>44071.738888888889</v>
      </c>
      <c r="C5" s="31">
        <v>212</v>
      </c>
      <c r="D5" s="30">
        <f>rho!E7 * (1-tr_tax)</f>
        <v>31733985.597974777</v>
      </c>
      <c r="E5" s="30">
        <f t="shared" ref="E5:E23" si="10">E4+(D4/(1-tr_tax))</f>
        <v>31744610633.902542</v>
      </c>
      <c r="F5" s="30">
        <f>F4</f>
        <v>100000</v>
      </c>
      <c r="G5" s="247">
        <v>15531000</v>
      </c>
      <c r="H5" s="228">
        <f>SKY!$H5</f>
        <v>12100000000</v>
      </c>
      <c r="I5" s="228">
        <v>150000</v>
      </c>
      <c r="J5" s="248">
        <v>5</v>
      </c>
      <c r="K5" s="248">
        <v>340</v>
      </c>
      <c r="L5" s="249">
        <v>0.03</v>
      </c>
      <c r="N5" s="233">
        <f t="shared" si="0"/>
        <v>698.36323449878671</v>
      </c>
      <c r="O5" s="196">
        <f t="shared" si="1"/>
        <v>11247.07791546077</v>
      </c>
      <c r="P5" s="196">
        <f t="shared" si="2"/>
        <v>72.416959084803111</v>
      </c>
      <c r="Q5" s="203">
        <f t="shared" si="3"/>
        <v>5.4266482626694756E-2</v>
      </c>
      <c r="R5" s="234">
        <f t="shared" si="4"/>
        <v>2249.4155830921541</v>
      </c>
      <c r="S5" s="175"/>
      <c r="T5" s="241">
        <f t="shared" si="5"/>
        <v>11945.441149959557</v>
      </c>
      <c r="U5" s="204">
        <f t="shared" si="6"/>
        <v>5.5449520661157008</v>
      </c>
      <c r="V5" s="242">
        <f>IF(Z5&gt;=0.8,1,J5/U5)</f>
        <v>1</v>
      </c>
      <c r="X5" s="200">
        <v>150</v>
      </c>
      <c r="Y5" s="139">
        <v>0.3</v>
      </c>
      <c r="Z5" s="183">
        <v>0.8</v>
      </c>
      <c r="AA5" s="128">
        <f t="shared" si="7"/>
        <v>4.7252115242454201E-6</v>
      </c>
      <c r="AB5" s="128">
        <f t="shared" si="8"/>
        <v>4.892484012203708E-4</v>
      </c>
      <c r="AC5" s="184">
        <f t="shared" si="9"/>
        <v>6.6666666666666671E-3</v>
      </c>
      <c r="AD5" s="185">
        <f t="shared" ref="AD5:AD23" si="11">MIN(AB5,AC5)</f>
        <v>4.892484012203708E-4</v>
      </c>
      <c r="AE5" s="186">
        <f t="shared" ref="AE5:AE23" si="12">MIN(AA5,AC5)</f>
        <v>4.7252115242454201E-6</v>
      </c>
    </row>
    <row r="6" spans="1:39" x14ac:dyDescent="0.3">
      <c r="B6" s="226">
        <f>'Epoch Dates'!B5</f>
        <v>44076.738888888889</v>
      </c>
      <c r="C6" s="31">
        <v>213</v>
      </c>
      <c r="D6" s="30">
        <f>rho!E8 * (1-tr_tax)</f>
        <v>31638783.641180851</v>
      </c>
      <c r="E6" s="30">
        <f t="shared" si="10"/>
        <v>31784278115.900009</v>
      </c>
      <c r="F6" s="30">
        <f t="shared" ref="F6:F23" si="13">F5</f>
        <v>100000</v>
      </c>
      <c r="G6" s="247">
        <v>15260000</v>
      </c>
      <c r="H6" s="228">
        <f>SKY!$H6</f>
        <v>12760000000</v>
      </c>
      <c r="I6" s="228">
        <v>150000</v>
      </c>
      <c r="J6" s="248">
        <v>2</v>
      </c>
      <c r="K6" s="248">
        <v>340</v>
      </c>
      <c r="L6" s="249">
        <v>0.03</v>
      </c>
      <c r="N6" s="233">
        <f t="shared" si="0"/>
        <v>463.39027914950498</v>
      </c>
      <c r="O6" s="196">
        <f t="shared" si="1"/>
        <v>3649.6190258339957</v>
      </c>
      <c r="P6" s="196">
        <f t="shared" si="2"/>
        <v>23.916245254482277</v>
      </c>
      <c r="Q6" s="203">
        <f t="shared" si="3"/>
        <v>1.7610031563569217E-2</v>
      </c>
      <c r="R6" s="234">
        <f t="shared" si="4"/>
        <v>1824.8095129169978</v>
      </c>
      <c r="S6" s="175"/>
      <c r="T6" s="241">
        <f t="shared" si="5"/>
        <v>11687.18685406415</v>
      </c>
      <c r="U6" s="204">
        <f t="shared" si="6"/>
        <v>5.6830344827586199</v>
      </c>
      <c r="V6" s="242">
        <f>IF(Z6&gt;=0.8,1,J6/U6)</f>
        <v>0.35192466385126941</v>
      </c>
      <c r="X6" s="200">
        <v>150</v>
      </c>
      <c r="Y6" s="139">
        <v>0.3</v>
      </c>
      <c r="Z6" s="183">
        <v>0.78</v>
      </c>
      <c r="AA6" s="128">
        <f t="shared" si="7"/>
        <v>4.7193143557651811E-6</v>
      </c>
      <c r="AB6" s="128">
        <f t="shared" si="8"/>
        <v>4.8011158045984444E-4</v>
      </c>
      <c r="AC6" s="184">
        <f t="shared" si="9"/>
        <v>6.6666666666666671E-3</v>
      </c>
      <c r="AD6" s="185">
        <f t="shared" si="11"/>
        <v>4.8011158045984444E-4</v>
      </c>
      <c r="AE6" s="186">
        <f t="shared" si="12"/>
        <v>4.7193143557651811E-6</v>
      </c>
    </row>
    <row r="7" spans="1:39" x14ac:dyDescent="0.3">
      <c r="B7" s="226">
        <f>'Epoch Dates'!B6</f>
        <v>44081.738888888889</v>
      </c>
      <c r="C7" s="31">
        <v>214</v>
      </c>
      <c r="D7" s="30">
        <f>rho!E9 * (1-tr_tax)</f>
        <v>31543867.290257312</v>
      </c>
      <c r="E7" s="30">
        <f t="shared" si="10"/>
        <v>31823826595.451485</v>
      </c>
      <c r="F7" s="30">
        <f t="shared" si="13"/>
        <v>100000</v>
      </c>
      <c r="G7" s="250">
        <v>11460000</v>
      </c>
      <c r="H7" s="228">
        <f>SKY!$H7</f>
        <v>13370000000</v>
      </c>
      <c r="I7" s="228">
        <v>150000</v>
      </c>
      <c r="J7" s="248">
        <v>6</v>
      </c>
      <c r="K7" s="248">
        <v>340</v>
      </c>
      <c r="L7" s="249">
        <v>0.03</v>
      </c>
      <c r="N7" s="233">
        <f t="shared" si="0"/>
        <v>694.03734137901688</v>
      </c>
      <c r="O7" s="196">
        <f t="shared" si="1"/>
        <v>11107.207371254879</v>
      </c>
      <c r="P7" s="196">
        <f t="shared" si="2"/>
        <v>96.92153029018219</v>
      </c>
      <c r="Q7" s="203">
        <f t="shared" si="3"/>
        <v>7.3279003706331336E-2</v>
      </c>
      <c r="R7" s="234">
        <f t="shared" si="4"/>
        <v>1851.2012285424798</v>
      </c>
      <c r="S7" s="175"/>
      <c r="T7" s="241">
        <f t="shared" si="5"/>
        <v>8739.6646557563017</v>
      </c>
      <c r="U7" s="177">
        <f t="shared" si="6"/>
        <v>4.4434285714285711</v>
      </c>
      <c r="V7" s="242">
        <f t="shared" ref="V7:V23" si="14">IF(OR(C7=212, C7=211),1,J7/U7)</f>
        <v>1.3503086419753088</v>
      </c>
      <c r="X7" s="200">
        <v>150</v>
      </c>
      <c r="Y7" s="139">
        <v>0.3</v>
      </c>
      <c r="Z7" s="183">
        <f>Z6-0.02</f>
        <v>0.76</v>
      </c>
      <c r="AA7" s="128">
        <f t="shared" si="7"/>
        <v>4.7134495140015377E-6</v>
      </c>
      <c r="AB7" s="128">
        <f t="shared" si="8"/>
        <v>3.6010754286971747E-4</v>
      </c>
      <c r="AC7" s="184">
        <f t="shared" si="9"/>
        <v>6.6666666666666671E-3</v>
      </c>
      <c r="AD7" s="185">
        <f t="shared" si="11"/>
        <v>3.6010754286971747E-4</v>
      </c>
      <c r="AE7" s="186">
        <f t="shared" si="12"/>
        <v>4.7134495140015377E-6</v>
      </c>
    </row>
    <row r="8" spans="1:39" x14ac:dyDescent="0.3">
      <c r="B8" s="226">
        <f>'Epoch Dates'!B7</f>
        <v>44086.738888888889</v>
      </c>
      <c r="C8" s="31">
        <v>215</v>
      </c>
      <c r="D8" s="30">
        <f>rho!E10 * (1-tr_tax)</f>
        <v>31449235.688386537</v>
      </c>
      <c r="E8" s="30">
        <f t="shared" si="10"/>
        <v>31863256429.564308</v>
      </c>
      <c r="F8" s="30">
        <f t="shared" si="13"/>
        <v>100000</v>
      </c>
      <c r="G8" s="250"/>
      <c r="H8" s="228">
        <f>SKY!$H8</f>
        <v>0</v>
      </c>
      <c r="I8" s="228">
        <v>150000</v>
      </c>
      <c r="J8" s="248"/>
      <c r="K8" s="248">
        <v>340</v>
      </c>
      <c r="L8" s="249">
        <v>0.03</v>
      </c>
      <c r="N8" s="233" t="e">
        <f t="shared" si="0"/>
        <v>#DIV/0!</v>
      </c>
      <c r="O8" s="196" t="e">
        <f t="shared" si="1"/>
        <v>#DIV/0!</v>
      </c>
      <c r="P8" s="196" t="e">
        <f t="shared" si="2"/>
        <v>#DIV/0!</v>
      </c>
      <c r="Q8" s="203" t="e">
        <f t="shared" si="3"/>
        <v>#DIV/0!</v>
      </c>
      <c r="R8" s="234" t="e">
        <f t="shared" si="4"/>
        <v>#DIV/0!</v>
      </c>
      <c r="S8" s="175"/>
      <c r="T8" s="241">
        <f t="shared" si="5"/>
        <v>-2.4125785233164585E-2</v>
      </c>
      <c r="U8" s="177" t="e">
        <f t="shared" si="6"/>
        <v>#DIV/0!</v>
      </c>
      <c r="V8" s="242" t="e">
        <f t="shared" si="14"/>
        <v>#DIV/0!</v>
      </c>
      <c r="X8" s="200">
        <v>150</v>
      </c>
      <c r="Y8" s="139">
        <v>0.3</v>
      </c>
      <c r="Z8" s="183">
        <f t="shared" ref="Z8:Z20" si="15">Z7-0.02</f>
        <v>0.74</v>
      </c>
      <c r="AA8" s="128">
        <f t="shared" si="7"/>
        <v>4.7076167601257025E-6</v>
      </c>
      <c r="AB8" s="128">
        <f t="shared" si="8"/>
        <v>0</v>
      </c>
      <c r="AC8" s="184">
        <f t="shared" si="9"/>
        <v>6.6666666666666671E-3</v>
      </c>
      <c r="AD8" s="185">
        <f t="shared" si="11"/>
        <v>0</v>
      </c>
      <c r="AE8" s="186">
        <f t="shared" si="12"/>
        <v>4.7076167601257025E-6</v>
      </c>
    </row>
    <row r="9" spans="1:39" x14ac:dyDescent="0.3">
      <c r="B9" s="226">
        <f>'Epoch Dates'!B8</f>
        <v>44091.738888888889</v>
      </c>
      <c r="C9" s="31">
        <v>216</v>
      </c>
      <c r="D9" s="30">
        <f>rho!E11 * (1-tr_tax)</f>
        <v>31354887.98132138</v>
      </c>
      <c r="E9" s="30">
        <f t="shared" si="10"/>
        <v>31902567974.174789</v>
      </c>
      <c r="F9" s="30">
        <f t="shared" si="13"/>
        <v>100000</v>
      </c>
      <c r="G9" s="250"/>
      <c r="H9" s="228">
        <f>SKY!$H9</f>
        <v>0</v>
      </c>
      <c r="I9" s="228">
        <v>150000</v>
      </c>
      <c r="J9" s="248"/>
      <c r="K9" s="248">
        <v>340</v>
      </c>
      <c r="L9" s="249">
        <v>0.03</v>
      </c>
      <c r="N9" s="233" t="e">
        <f t="shared" si="0"/>
        <v>#DIV/0!</v>
      </c>
      <c r="O9" s="196" t="e">
        <f t="shared" si="1"/>
        <v>#DIV/0!</v>
      </c>
      <c r="P9" s="196" t="e">
        <f t="shared" si="2"/>
        <v>#DIV/0!</v>
      </c>
      <c r="Q9" s="203" t="e">
        <f t="shared" si="3"/>
        <v>#DIV/0!</v>
      </c>
      <c r="R9" s="234" t="e">
        <f t="shared" si="4"/>
        <v>#DIV/0!</v>
      </c>
      <c r="S9" s="175"/>
      <c r="T9" s="241">
        <f t="shared" si="5"/>
        <v>-2.3994165371969519E-2</v>
      </c>
      <c r="U9" s="177" t="e">
        <f t="shared" si="6"/>
        <v>#DIV/0!</v>
      </c>
      <c r="V9" s="242" t="e">
        <f t="shared" si="14"/>
        <v>#DIV/0!</v>
      </c>
      <c r="X9" s="200">
        <v>150</v>
      </c>
      <c r="Y9" s="139">
        <v>0.3</v>
      </c>
      <c r="Z9" s="183">
        <f t="shared" si="15"/>
        <v>0.72</v>
      </c>
      <c r="AA9" s="128">
        <f t="shared" si="7"/>
        <v>4.7018158576270533E-6</v>
      </c>
      <c r="AB9" s="128">
        <f t="shared" si="8"/>
        <v>0</v>
      </c>
      <c r="AC9" s="184">
        <f t="shared" si="9"/>
        <v>6.6666666666666671E-3</v>
      </c>
      <c r="AD9" s="185">
        <f t="shared" si="11"/>
        <v>0</v>
      </c>
      <c r="AE9" s="186">
        <f t="shared" si="12"/>
        <v>4.7018158576270533E-6</v>
      </c>
    </row>
    <row r="10" spans="1:39" x14ac:dyDescent="0.3">
      <c r="B10" s="226">
        <f>'Epoch Dates'!B9</f>
        <v>44096.738888888889</v>
      </c>
      <c r="C10" s="31">
        <v>217</v>
      </c>
      <c r="D10" s="30">
        <f>rho!E12 * (1-tr_tax)</f>
        <v>31260823.317377415</v>
      </c>
      <c r="E10" s="30">
        <f t="shared" si="10"/>
        <v>31941761584.15144</v>
      </c>
      <c r="F10" s="30">
        <f t="shared" si="13"/>
        <v>100000</v>
      </c>
      <c r="G10" s="250"/>
      <c r="H10" s="228">
        <f>SKY!$H10</f>
        <v>0</v>
      </c>
      <c r="I10" s="228">
        <v>150000</v>
      </c>
      <c r="J10" s="248"/>
      <c r="K10" s="248">
        <v>340</v>
      </c>
      <c r="L10" s="249">
        <v>0.03</v>
      </c>
      <c r="N10" s="233" t="e">
        <f t="shared" si="0"/>
        <v>#DIV/0!</v>
      </c>
      <c r="O10" s="196" t="e">
        <f t="shared" si="1"/>
        <v>#DIV/0!</v>
      </c>
      <c r="P10" s="196" t="e">
        <f t="shared" si="2"/>
        <v>#DIV/0!</v>
      </c>
      <c r="Q10" s="203" t="e">
        <f t="shared" si="3"/>
        <v>#DIV/0!</v>
      </c>
      <c r="R10" s="234" t="e">
        <f t="shared" si="4"/>
        <v>#DIV/0!</v>
      </c>
      <c r="S10" s="175"/>
      <c r="T10" s="241">
        <f t="shared" si="5"/>
        <v>-2.3863512256094788E-2</v>
      </c>
      <c r="U10" s="177" t="e">
        <f t="shared" si="6"/>
        <v>#DIV/0!</v>
      </c>
      <c r="V10" s="242" t="e">
        <f t="shared" si="14"/>
        <v>#DIV/0!</v>
      </c>
      <c r="X10" s="200">
        <v>150</v>
      </c>
      <c r="Y10" s="139">
        <v>0.3</v>
      </c>
      <c r="Z10" s="183">
        <f t="shared" si="15"/>
        <v>0.7</v>
      </c>
      <c r="AA10" s="128">
        <f t="shared" si="7"/>
        <v>4.6960465722850295E-6</v>
      </c>
      <c r="AB10" s="128">
        <f t="shared" si="8"/>
        <v>0</v>
      </c>
      <c r="AC10" s="184">
        <f t="shared" si="9"/>
        <v>6.6666666666666671E-3</v>
      </c>
      <c r="AD10" s="185">
        <f t="shared" si="11"/>
        <v>0</v>
      </c>
      <c r="AE10" s="186">
        <f t="shared" si="12"/>
        <v>4.6960465722850295E-6</v>
      </c>
    </row>
    <row r="11" spans="1:39" x14ac:dyDescent="0.3">
      <c r="B11" s="226">
        <f>'Epoch Dates'!B10</f>
        <v>44101.738888888889</v>
      </c>
      <c r="C11" s="31">
        <v>218</v>
      </c>
      <c r="D11" s="30">
        <f>rho!E13 * (1-tr_tax)</f>
        <v>31167040.847425282</v>
      </c>
      <c r="E11" s="30">
        <f t="shared" si="10"/>
        <v>31980837613.298161</v>
      </c>
      <c r="F11" s="30">
        <f t="shared" si="13"/>
        <v>100000</v>
      </c>
      <c r="G11" s="250"/>
      <c r="H11" s="228">
        <f>SKY!$H11</f>
        <v>0</v>
      </c>
      <c r="I11" s="228">
        <v>150000</v>
      </c>
      <c r="J11" s="248"/>
      <c r="K11" s="248">
        <v>340</v>
      </c>
      <c r="L11" s="249">
        <v>0.03</v>
      </c>
      <c r="N11" s="233" t="e">
        <f t="shared" si="0"/>
        <v>#DIV/0!</v>
      </c>
      <c r="O11" s="196" t="e">
        <f t="shared" si="1"/>
        <v>#DIV/0!</v>
      </c>
      <c r="P11" s="196" t="e">
        <f t="shared" si="2"/>
        <v>#DIV/0!</v>
      </c>
      <c r="Q11" s="203" t="e">
        <f t="shared" si="3"/>
        <v>#DIV/0!</v>
      </c>
      <c r="R11" s="234" t="e">
        <f t="shared" si="4"/>
        <v>#DIV/0!</v>
      </c>
      <c r="S11" s="175"/>
      <c r="T11" s="241">
        <f t="shared" si="5"/>
        <v>-2.3733816558913462E-2</v>
      </c>
      <c r="U11" s="177" t="e">
        <f t="shared" si="6"/>
        <v>#DIV/0!</v>
      </c>
      <c r="V11" s="242" t="e">
        <f t="shared" si="14"/>
        <v>#DIV/0!</v>
      </c>
      <c r="X11" s="200">
        <v>150</v>
      </c>
      <c r="Y11" s="139">
        <v>0.3</v>
      </c>
      <c r="Z11" s="183">
        <f t="shared" si="15"/>
        <v>0.67999999999999994</v>
      </c>
      <c r="AA11" s="128">
        <f t="shared" si="7"/>
        <v>4.6903086721414553E-6</v>
      </c>
      <c r="AB11" s="128">
        <f t="shared" si="8"/>
        <v>0</v>
      </c>
      <c r="AC11" s="184">
        <f t="shared" si="9"/>
        <v>6.6666666666666671E-3</v>
      </c>
      <c r="AD11" s="185">
        <f t="shared" si="11"/>
        <v>0</v>
      </c>
      <c r="AE11" s="186">
        <f t="shared" si="12"/>
        <v>4.6903086721414553E-6</v>
      </c>
    </row>
    <row r="12" spans="1:39" x14ac:dyDescent="0.3">
      <c r="B12" s="226">
        <f>'Epoch Dates'!B11</f>
        <v>44106.738888888889</v>
      </c>
      <c r="C12" s="31">
        <v>219</v>
      </c>
      <c r="D12" s="30">
        <f>rho!E14 * (1-tr_tax)</f>
        <v>31073539.724883009</v>
      </c>
      <c r="E12" s="30">
        <f t="shared" si="10"/>
        <v>32019796414.357441</v>
      </c>
      <c r="F12" s="30">
        <f t="shared" si="13"/>
        <v>100000</v>
      </c>
      <c r="G12" s="250"/>
      <c r="H12" s="228">
        <f>SKY!$H12</f>
        <v>0</v>
      </c>
      <c r="I12" s="228">
        <v>150000</v>
      </c>
      <c r="J12" s="248"/>
      <c r="K12" s="248">
        <v>340</v>
      </c>
      <c r="L12" s="249">
        <v>0.03</v>
      </c>
      <c r="N12" s="233" t="e">
        <f t="shared" si="0"/>
        <v>#DIV/0!</v>
      </c>
      <c r="O12" s="196" t="e">
        <f t="shared" si="1"/>
        <v>#DIV/0!</v>
      </c>
      <c r="P12" s="196" t="e">
        <f t="shared" si="2"/>
        <v>#DIV/0!</v>
      </c>
      <c r="Q12" s="203" t="e">
        <f t="shared" si="3"/>
        <v>#DIV/0!</v>
      </c>
      <c r="R12" s="234" t="e">
        <f t="shared" si="4"/>
        <v>#DIV/0!</v>
      </c>
      <c r="S12" s="175"/>
      <c r="T12" s="241">
        <f t="shared" si="5"/>
        <v>-2.3605069066140728E-2</v>
      </c>
      <c r="U12" s="177" t="e">
        <f t="shared" si="6"/>
        <v>#DIV/0!</v>
      </c>
      <c r="V12" s="242" t="e">
        <f t="shared" si="14"/>
        <v>#DIV/0!</v>
      </c>
      <c r="X12" s="200">
        <v>150</v>
      </c>
      <c r="Y12" s="139">
        <v>0.3</v>
      </c>
      <c r="Z12" s="183">
        <f t="shared" si="15"/>
        <v>0.65999999999999992</v>
      </c>
      <c r="AA12" s="128">
        <f t="shared" si="7"/>
        <v>4.6846019274732525E-6</v>
      </c>
      <c r="AB12" s="128">
        <f t="shared" si="8"/>
        <v>0</v>
      </c>
      <c r="AC12" s="184">
        <f t="shared" si="9"/>
        <v>6.6666666666666671E-3</v>
      </c>
      <c r="AD12" s="185">
        <f t="shared" si="11"/>
        <v>0</v>
      </c>
      <c r="AE12" s="186">
        <f t="shared" si="12"/>
        <v>4.6846019274732525E-6</v>
      </c>
    </row>
    <row r="13" spans="1:39" x14ac:dyDescent="0.3">
      <c r="B13" s="226">
        <f>'Epoch Dates'!B12</f>
        <v>44111.738888888889</v>
      </c>
      <c r="C13" s="31">
        <v>220</v>
      </c>
      <c r="D13" s="30">
        <f>rho!E15 * (1-tr_tax)</f>
        <v>30980319.105708361</v>
      </c>
      <c r="E13" s="30">
        <f t="shared" si="10"/>
        <v>32058638339.013546</v>
      </c>
      <c r="F13" s="30">
        <f t="shared" si="13"/>
        <v>100000</v>
      </c>
      <c r="G13" s="250"/>
      <c r="H13" s="228">
        <f>SKY!$H13</f>
        <v>0</v>
      </c>
      <c r="I13" s="228">
        <v>150000</v>
      </c>
      <c r="J13" s="248"/>
      <c r="K13" s="248">
        <v>340</v>
      </c>
      <c r="L13" s="249">
        <v>0.03</v>
      </c>
      <c r="N13" s="233" t="e">
        <f t="shared" si="0"/>
        <v>#DIV/0!</v>
      </c>
      <c r="O13" s="196" t="e">
        <f t="shared" si="1"/>
        <v>#DIV/0!</v>
      </c>
      <c r="P13" s="196" t="e">
        <f t="shared" si="2"/>
        <v>#DIV/0!</v>
      </c>
      <c r="Q13" s="203" t="e">
        <f t="shared" si="3"/>
        <v>#DIV/0!</v>
      </c>
      <c r="R13" s="234" t="e">
        <f t="shared" si="4"/>
        <v>#DIV/0!</v>
      </c>
      <c r="S13" s="175"/>
      <c r="T13" s="241">
        <f t="shared" si="5"/>
        <v>-2.3477260674213119E-2</v>
      </c>
      <c r="U13" s="177" t="e">
        <f t="shared" si="6"/>
        <v>#DIV/0!</v>
      </c>
      <c r="V13" s="242" t="e">
        <f t="shared" si="14"/>
        <v>#DIV/0!</v>
      </c>
      <c r="X13" s="200">
        <v>150</v>
      </c>
      <c r="Y13" s="139">
        <v>0.3</v>
      </c>
      <c r="Z13" s="183">
        <f t="shared" si="15"/>
        <v>0.6399999999999999</v>
      </c>
      <c r="AA13" s="128">
        <f t="shared" si="7"/>
        <v>4.6789261107655503E-6</v>
      </c>
      <c r="AB13" s="128">
        <f t="shared" si="8"/>
        <v>0</v>
      </c>
      <c r="AC13" s="184">
        <f t="shared" si="9"/>
        <v>6.6666666666666671E-3</v>
      </c>
      <c r="AD13" s="185">
        <f t="shared" si="11"/>
        <v>0</v>
      </c>
      <c r="AE13" s="186">
        <f t="shared" si="12"/>
        <v>4.6789261107655503E-6</v>
      </c>
    </row>
    <row r="14" spans="1:39" x14ac:dyDescent="0.3">
      <c r="B14" s="226">
        <f>'Epoch Dates'!B13</f>
        <v>44116.738888888889</v>
      </c>
      <c r="C14" s="31">
        <v>221</v>
      </c>
      <c r="D14" s="30">
        <f>rho!E16 * (1-tr_tax)</f>
        <v>30887378.148391236</v>
      </c>
      <c r="E14" s="30">
        <f t="shared" si="10"/>
        <v>32097363737.895683</v>
      </c>
      <c r="F14" s="30">
        <f t="shared" si="13"/>
        <v>100000</v>
      </c>
      <c r="G14" s="250"/>
      <c r="H14" s="228">
        <f>SKY!$H14</f>
        <v>0</v>
      </c>
      <c r="I14" s="228">
        <v>150000</v>
      </c>
      <c r="J14" s="248"/>
      <c r="K14" s="248">
        <v>340</v>
      </c>
      <c r="L14" s="249">
        <v>0.03</v>
      </c>
      <c r="N14" s="233" t="e">
        <f t="shared" si="0"/>
        <v>#DIV/0!</v>
      </c>
      <c r="O14" s="196" t="e">
        <f t="shared" si="1"/>
        <v>#DIV/0!</v>
      </c>
      <c r="P14" s="196" t="e">
        <f t="shared" si="2"/>
        <v>#DIV/0!</v>
      </c>
      <c r="Q14" s="203" t="e">
        <f t="shared" si="3"/>
        <v>#DIV/0!</v>
      </c>
      <c r="R14" s="234" t="e">
        <f t="shared" si="4"/>
        <v>#DIV/0!</v>
      </c>
      <c r="S14" s="175"/>
      <c r="T14" s="241">
        <f t="shared" si="5"/>
        <v>-2.3350382388694978E-2</v>
      </c>
      <c r="U14" s="177" t="e">
        <f t="shared" si="6"/>
        <v>#DIV/0!</v>
      </c>
      <c r="V14" s="242" t="e">
        <f t="shared" si="14"/>
        <v>#DIV/0!</v>
      </c>
      <c r="X14" s="200">
        <v>150</v>
      </c>
      <c r="Y14" s="139">
        <v>0.3</v>
      </c>
      <c r="Z14" s="183">
        <f t="shared" si="15"/>
        <v>0.61999999999999988</v>
      </c>
      <c r="AA14" s="128">
        <f t="shared" si="7"/>
        <v>4.6732809966851835E-6</v>
      </c>
      <c r="AB14" s="128">
        <f t="shared" si="8"/>
        <v>0</v>
      </c>
      <c r="AC14" s="184">
        <f t="shared" si="9"/>
        <v>6.6666666666666671E-3</v>
      </c>
      <c r="AD14" s="185">
        <f t="shared" si="11"/>
        <v>0</v>
      </c>
      <c r="AE14" s="186">
        <f t="shared" si="12"/>
        <v>4.6732809966851835E-6</v>
      </c>
    </row>
    <row r="15" spans="1:39" x14ac:dyDescent="0.3">
      <c r="B15" s="226">
        <f>'Epoch Dates'!B14</f>
        <v>44121.738888888889</v>
      </c>
      <c r="C15" s="31">
        <v>222</v>
      </c>
      <c r="D15" s="30">
        <f>rho!E17 * (1-tr_tax)</f>
        <v>30794716.013946056</v>
      </c>
      <c r="E15" s="30">
        <f t="shared" si="10"/>
        <v>32135972960.581173</v>
      </c>
      <c r="F15" s="30">
        <f t="shared" si="13"/>
        <v>100000</v>
      </c>
      <c r="G15" s="250"/>
      <c r="H15" s="228">
        <f>SKY!$H15</f>
        <v>0</v>
      </c>
      <c r="I15" s="228">
        <v>150000</v>
      </c>
      <c r="J15" s="248"/>
      <c r="K15" s="248">
        <v>340</v>
      </c>
      <c r="L15" s="249">
        <v>0.03</v>
      </c>
      <c r="N15" s="233" t="e">
        <f t="shared" si="0"/>
        <v>#DIV/0!</v>
      </c>
      <c r="O15" s="196" t="e">
        <f t="shared" si="1"/>
        <v>#DIV/0!</v>
      </c>
      <c r="P15" s="196" t="e">
        <f t="shared" si="2"/>
        <v>#DIV/0!</v>
      </c>
      <c r="Q15" s="203" t="e">
        <f t="shared" si="3"/>
        <v>#DIV/0!</v>
      </c>
      <c r="R15" s="234" t="e">
        <f t="shared" si="4"/>
        <v>#DIV/0!</v>
      </c>
      <c r="S15" s="175"/>
      <c r="T15" s="241">
        <f t="shared" si="5"/>
        <v>-2.322442532271158E-2</v>
      </c>
      <c r="U15" s="177" t="e">
        <f t="shared" si="6"/>
        <v>#DIV/0!</v>
      </c>
      <c r="V15" s="242" t="e">
        <f t="shared" si="14"/>
        <v>#DIV/0!</v>
      </c>
      <c r="X15" s="200">
        <v>150</v>
      </c>
      <c r="Y15" s="139">
        <v>0.3</v>
      </c>
      <c r="Z15" s="183">
        <f t="shared" si="15"/>
        <v>0.59999999999999987</v>
      </c>
      <c r="AA15" s="128">
        <f t="shared" si="7"/>
        <v>4.6676663620545718E-6</v>
      </c>
      <c r="AB15" s="128">
        <f t="shared" si="8"/>
        <v>0</v>
      </c>
      <c r="AC15" s="184">
        <f t="shared" si="9"/>
        <v>6.6666666666666671E-3</v>
      </c>
      <c r="AD15" s="185">
        <f t="shared" si="11"/>
        <v>0</v>
      </c>
      <c r="AE15" s="186">
        <f t="shared" si="12"/>
        <v>4.6676663620545718E-6</v>
      </c>
    </row>
    <row r="16" spans="1:39" x14ac:dyDescent="0.3">
      <c r="B16" s="226">
        <f>'Epoch Dates'!B15</f>
        <v>44126.738888888889</v>
      </c>
      <c r="C16" s="31">
        <v>223</v>
      </c>
      <c r="D16" s="30">
        <f>rho!E18 * (1-tr_tax)</f>
        <v>30702331.865904219</v>
      </c>
      <c r="E16" s="30">
        <f t="shared" si="10"/>
        <v>32174466355.598606</v>
      </c>
      <c r="F16" s="30">
        <f t="shared" si="13"/>
        <v>100000</v>
      </c>
      <c r="G16" s="250"/>
      <c r="H16" s="228">
        <f>SKY!$H16</f>
        <v>0</v>
      </c>
      <c r="I16" s="228">
        <v>150000</v>
      </c>
      <c r="J16" s="248"/>
      <c r="K16" s="248">
        <v>340</v>
      </c>
      <c r="L16" s="249">
        <v>0.03</v>
      </c>
      <c r="N16" s="233" t="e">
        <f t="shared" si="0"/>
        <v>#DIV/0!</v>
      </c>
      <c r="O16" s="196" t="e">
        <f t="shared" si="1"/>
        <v>#DIV/0!</v>
      </c>
      <c r="P16" s="196" t="e">
        <f t="shared" si="2"/>
        <v>#DIV/0!</v>
      </c>
      <c r="Q16" s="203" t="e">
        <f t="shared" si="3"/>
        <v>#DIV/0!</v>
      </c>
      <c r="R16" s="234" t="e">
        <f t="shared" si="4"/>
        <v>#DIV/0!</v>
      </c>
      <c r="S16" s="175"/>
      <c r="T16" s="241">
        <f t="shared" si="5"/>
        <v>-2.3099380695408452E-2</v>
      </c>
      <c r="U16" s="177" t="e">
        <f t="shared" si="6"/>
        <v>#DIV/0!</v>
      </c>
      <c r="V16" s="242" t="e">
        <f t="shared" si="14"/>
        <v>#DIV/0!</v>
      </c>
      <c r="X16" s="200">
        <v>150</v>
      </c>
      <c r="Y16" s="139">
        <v>0.3</v>
      </c>
      <c r="Z16" s="183">
        <f t="shared" si="15"/>
        <v>0.57999999999999985</v>
      </c>
      <c r="AA16" s="128">
        <f t="shared" si="7"/>
        <v>4.6620819858259698E-6</v>
      </c>
      <c r="AB16" s="128">
        <f t="shared" si="8"/>
        <v>0</v>
      </c>
      <c r="AC16" s="184">
        <f t="shared" si="9"/>
        <v>6.6666666666666671E-3</v>
      </c>
      <c r="AD16" s="185">
        <f t="shared" si="11"/>
        <v>0</v>
      </c>
      <c r="AE16" s="186">
        <f t="shared" si="12"/>
        <v>4.6620819858259698E-6</v>
      </c>
    </row>
    <row r="17" spans="2:31" x14ac:dyDescent="0.3">
      <c r="B17" s="226">
        <f>'Epoch Dates'!B16</f>
        <v>44131.738888888889</v>
      </c>
      <c r="C17" s="31">
        <v>224</v>
      </c>
      <c r="D17" s="30">
        <f>rho!E19 * (1-tr_tax)</f>
        <v>30610224.870306507</v>
      </c>
      <c r="E17" s="30">
        <f t="shared" si="10"/>
        <v>32212844270.430984</v>
      </c>
      <c r="F17" s="30">
        <f t="shared" si="13"/>
        <v>100000</v>
      </c>
      <c r="G17" s="250"/>
      <c r="H17" s="228">
        <f>SKY!$H17</f>
        <v>0</v>
      </c>
      <c r="I17" s="228">
        <v>150000</v>
      </c>
      <c r="J17" s="248"/>
      <c r="K17" s="248">
        <v>340</v>
      </c>
      <c r="L17" s="249">
        <v>0.03</v>
      </c>
      <c r="N17" s="233" t="e">
        <f t="shared" si="0"/>
        <v>#DIV/0!</v>
      </c>
      <c r="O17" s="196" t="e">
        <f t="shared" si="1"/>
        <v>#DIV/0!</v>
      </c>
      <c r="P17" s="196" t="e">
        <f t="shared" si="2"/>
        <v>#DIV/0!</v>
      </c>
      <c r="Q17" s="203" t="e">
        <f t="shared" si="3"/>
        <v>#DIV/0!</v>
      </c>
      <c r="R17" s="234" t="e">
        <f t="shared" si="4"/>
        <v>#DIV/0!</v>
      </c>
      <c r="S17" s="175"/>
      <c r="T17" s="241">
        <f t="shared" si="5"/>
        <v>-2.2975239830436374E-2</v>
      </c>
      <c r="U17" s="177" t="e">
        <f t="shared" si="6"/>
        <v>#DIV/0!</v>
      </c>
      <c r="V17" s="242" t="e">
        <f t="shared" si="14"/>
        <v>#DIV/0!</v>
      </c>
      <c r="X17" s="200">
        <v>150</v>
      </c>
      <c r="Y17" s="139">
        <v>0.3</v>
      </c>
      <c r="Z17" s="183">
        <f t="shared" si="15"/>
        <v>0.55999999999999983</v>
      </c>
      <c r="AA17" s="128">
        <f t="shared" si="7"/>
        <v>4.6565276490560923E-6</v>
      </c>
      <c r="AB17" s="128">
        <f t="shared" si="8"/>
        <v>0</v>
      </c>
      <c r="AC17" s="184">
        <f t="shared" si="9"/>
        <v>6.6666666666666671E-3</v>
      </c>
      <c r="AD17" s="185">
        <f t="shared" si="11"/>
        <v>0</v>
      </c>
      <c r="AE17" s="186">
        <f t="shared" si="12"/>
        <v>4.6565276490560923E-6</v>
      </c>
    </row>
    <row r="18" spans="2:31" x14ac:dyDescent="0.3">
      <c r="B18" s="226">
        <f>'Epoch Dates'!B17</f>
        <v>44136.738888888889</v>
      </c>
      <c r="C18" s="31">
        <v>225</v>
      </c>
      <c r="D18" s="30">
        <f>rho!E20 * (1-tr_tax)</f>
        <v>30518394.195695587</v>
      </c>
      <c r="E18" s="30">
        <f t="shared" si="10"/>
        <v>32251107051.518867</v>
      </c>
      <c r="F18" s="30">
        <f t="shared" si="13"/>
        <v>100000</v>
      </c>
      <c r="G18" s="250"/>
      <c r="H18" s="228">
        <f>SKY!$H18</f>
        <v>0</v>
      </c>
      <c r="I18" s="228">
        <v>150000</v>
      </c>
      <c r="J18" s="248"/>
      <c r="K18" s="248">
        <v>340</v>
      </c>
      <c r="L18" s="249">
        <v>0.03</v>
      </c>
      <c r="N18" s="233" t="e">
        <f t="shared" si="0"/>
        <v>#DIV/0!</v>
      </c>
      <c r="O18" s="196" t="e">
        <f t="shared" si="1"/>
        <v>#DIV/0!</v>
      </c>
      <c r="P18" s="196" t="e">
        <f t="shared" si="2"/>
        <v>#DIV/0!</v>
      </c>
      <c r="Q18" s="203" t="e">
        <f t="shared" si="3"/>
        <v>#DIV/0!</v>
      </c>
      <c r="R18" s="234" t="e">
        <f t="shared" si="4"/>
        <v>#DIV/0!</v>
      </c>
      <c r="S18" s="175"/>
      <c r="T18" s="241">
        <f t="shared" si="5"/>
        <v>-2.2851994154461572E-2</v>
      </c>
      <c r="U18" s="177" t="e">
        <f t="shared" si="6"/>
        <v>#DIV/0!</v>
      </c>
      <c r="V18" s="242" t="e">
        <f t="shared" si="14"/>
        <v>#DIV/0!</v>
      </c>
      <c r="X18" s="200">
        <v>150</v>
      </c>
      <c r="Y18" s="139">
        <v>0.3</v>
      </c>
      <c r="Z18" s="183">
        <f t="shared" si="15"/>
        <v>0.53999999999999981</v>
      </c>
      <c r="AA18" s="128">
        <f t="shared" si="7"/>
        <v>4.6510031348810936E-6</v>
      </c>
      <c r="AB18" s="128">
        <f t="shared" si="8"/>
        <v>0</v>
      </c>
      <c r="AC18" s="184">
        <f t="shared" si="9"/>
        <v>6.6666666666666671E-3</v>
      </c>
      <c r="AD18" s="185">
        <f t="shared" si="11"/>
        <v>0</v>
      </c>
      <c r="AE18" s="186">
        <f t="shared" si="12"/>
        <v>4.6510031348810936E-6</v>
      </c>
    </row>
    <row r="19" spans="2:31" x14ac:dyDescent="0.3">
      <c r="B19" s="226">
        <f>'Epoch Dates'!B18</f>
        <v>44141.738888888889</v>
      </c>
      <c r="C19" s="31">
        <v>226</v>
      </c>
      <c r="D19" s="30">
        <f>rho!E21 * (1-tr_tax)</f>
        <v>30426839.013108499</v>
      </c>
      <c r="E19" s="30">
        <f t="shared" si="10"/>
        <v>32289255044.263489</v>
      </c>
      <c r="F19" s="30">
        <f t="shared" si="13"/>
        <v>100000</v>
      </c>
      <c r="G19" s="250"/>
      <c r="H19" s="228">
        <f>SKY!$H19</f>
        <v>0</v>
      </c>
      <c r="I19" s="228">
        <v>150000</v>
      </c>
      <c r="J19" s="248"/>
      <c r="K19" s="248">
        <v>340</v>
      </c>
      <c r="L19" s="249">
        <v>0.03</v>
      </c>
      <c r="N19" s="233" t="e">
        <f t="shared" si="0"/>
        <v>#DIV/0!</v>
      </c>
      <c r="O19" s="196" t="e">
        <f t="shared" si="1"/>
        <v>#DIV/0!</v>
      </c>
      <c r="P19" s="196" t="e">
        <f t="shared" si="2"/>
        <v>#DIV/0!</v>
      </c>
      <c r="Q19" s="203" t="e">
        <f t="shared" si="3"/>
        <v>#DIV/0!</v>
      </c>
      <c r="R19" s="234" t="e">
        <f t="shared" si="4"/>
        <v>#DIV/0!</v>
      </c>
      <c r="S19" s="175"/>
      <c r="T19" s="241">
        <f t="shared" si="5"/>
        <v>-2.2729635195700672E-2</v>
      </c>
      <c r="U19" s="177" t="e">
        <f t="shared" si="6"/>
        <v>#DIV/0!</v>
      </c>
      <c r="V19" s="242" t="e">
        <f t="shared" si="14"/>
        <v>#DIV/0!</v>
      </c>
      <c r="X19" s="200">
        <v>150</v>
      </c>
      <c r="Y19" s="139">
        <v>0.3</v>
      </c>
      <c r="Z19" s="183">
        <f t="shared" si="15"/>
        <v>0.5199999999999998</v>
      </c>
      <c r="AA19" s="128">
        <f t="shared" si="7"/>
        <v>4.6455082284919114E-6</v>
      </c>
      <c r="AB19" s="128">
        <f t="shared" si="8"/>
        <v>0</v>
      </c>
      <c r="AC19" s="184">
        <f t="shared" si="9"/>
        <v>6.6666666666666671E-3</v>
      </c>
      <c r="AD19" s="185">
        <f t="shared" si="11"/>
        <v>0</v>
      </c>
      <c r="AE19" s="186">
        <f t="shared" si="12"/>
        <v>4.6455082284919114E-6</v>
      </c>
    </row>
    <row r="20" spans="2:31" x14ac:dyDescent="0.3">
      <c r="B20" s="226">
        <f>'Epoch Dates'!B19</f>
        <v>44146.738888888889</v>
      </c>
      <c r="C20" s="31">
        <v>227</v>
      </c>
      <c r="D20" s="30">
        <f>rho!E22 * (1-tr_tax)</f>
        <v>30335558.496069178</v>
      </c>
      <c r="E20" s="30">
        <f t="shared" si="10"/>
        <v>32327288593.029873</v>
      </c>
      <c r="F20" s="30">
        <f t="shared" si="13"/>
        <v>100000</v>
      </c>
      <c r="G20" s="250"/>
      <c r="H20" s="228">
        <f>SKY!$H20</f>
        <v>0</v>
      </c>
      <c r="I20" s="228">
        <v>150000</v>
      </c>
      <c r="J20" s="248"/>
      <c r="K20" s="248">
        <v>340</v>
      </c>
      <c r="L20" s="249">
        <v>0.03</v>
      </c>
      <c r="N20" s="233" t="e">
        <f t="shared" si="0"/>
        <v>#DIV/0!</v>
      </c>
      <c r="O20" s="196" t="e">
        <f t="shared" si="1"/>
        <v>#DIV/0!</v>
      </c>
      <c r="P20" s="196" t="e">
        <f t="shared" si="2"/>
        <v>#DIV/0!</v>
      </c>
      <c r="Q20" s="203" t="e">
        <f t="shared" si="3"/>
        <v>#DIV/0!</v>
      </c>
      <c r="R20" s="234" t="e">
        <f t="shared" si="4"/>
        <v>#DIV/0!</v>
      </c>
      <c r="S20" s="175"/>
      <c r="T20" s="241">
        <f t="shared" si="5"/>
        <v>-2.2608154582479861E-2</v>
      </c>
      <c r="U20" s="177" t="e">
        <f t="shared" si="6"/>
        <v>#DIV/0!</v>
      </c>
      <c r="V20" s="242" t="e">
        <f t="shared" si="14"/>
        <v>#DIV/0!</v>
      </c>
      <c r="X20" s="200">
        <v>150</v>
      </c>
      <c r="Y20" s="139">
        <v>0.3</v>
      </c>
      <c r="Z20" s="183">
        <f t="shared" si="15"/>
        <v>0.49999999999999978</v>
      </c>
      <c r="AA20" s="128">
        <f t="shared" si="7"/>
        <v>4.6400427171099554E-6</v>
      </c>
      <c r="AB20" s="128">
        <f t="shared" si="8"/>
        <v>0</v>
      </c>
      <c r="AC20" s="184">
        <f t="shared" si="9"/>
        <v>6.6666666666666671E-3</v>
      </c>
      <c r="AD20" s="185">
        <f t="shared" si="11"/>
        <v>0</v>
      </c>
      <c r="AE20" s="186">
        <f t="shared" si="12"/>
        <v>4.6400427171099554E-6</v>
      </c>
    </row>
    <row r="21" spans="2:31" x14ac:dyDescent="0.3">
      <c r="B21" s="226">
        <f>'Epoch Dates'!B20</f>
        <v>44151.738888888889</v>
      </c>
      <c r="C21" s="31">
        <v>228</v>
      </c>
      <c r="D21" s="30">
        <f>rho!E23 * (1-tr_tax)</f>
        <v>30244551.820580967</v>
      </c>
      <c r="E21" s="30">
        <f t="shared" si="10"/>
        <v>32365208041.14996</v>
      </c>
      <c r="F21" s="30">
        <f t="shared" si="13"/>
        <v>100000</v>
      </c>
      <c r="G21" s="250"/>
      <c r="H21" s="228">
        <f>SKY!$H21</f>
        <v>0</v>
      </c>
      <c r="I21" s="228">
        <v>150000</v>
      </c>
      <c r="J21" s="248"/>
      <c r="K21" s="248">
        <v>340</v>
      </c>
      <c r="L21" s="249">
        <v>0.03</v>
      </c>
      <c r="N21" s="233" t="e">
        <f t="shared" si="0"/>
        <v>#DIV/0!</v>
      </c>
      <c r="O21" s="196" t="e">
        <f t="shared" si="1"/>
        <v>#DIV/0!</v>
      </c>
      <c r="P21" s="196" t="e">
        <f t="shared" si="2"/>
        <v>#DIV/0!</v>
      </c>
      <c r="Q21" s="203" t="e">
        <f t="shared" si="3"/>
        <v>#DIV/0!</v>
      </c>
      <c r="R21" s="234" t="e">
        <f t="shared" si="4"/>
        <v>#DIV/0!</v>
      </c>
      <c r="S21" s="175"/>
      <c r="T21" s="241">
        <f t="shared" si="5"/>
        <v>-2.2487544041817797E-2</v>
      </c>
      <c r="U21" s="177" t="e">
        <f t="shared" si="6"/>
        <v>#DIV/0!</v>
      </c>
      <c r="V21" s="242" t="e">
        <f t="shared" si="14"/>
        <v>#DIV/0!</v>
      </c>
      <c r="X21" s="200">
        <v>150</v>
      </c>
      <c r="Y21" s="139">
        <v>0.3</v>
      </c>
      <c r="Z21" s="183">
        <v>0.5</v>
      </c>
      <c r="AA21" s="128">
        <f t="shared" si="7"/>
        <v>4.6346063899631398E-6</v>
      </c>
      <c r="AB21" s="128">
        <f t="shared" si="8"/>
        <v>0</v>
      </c>
      <c r="AC21" s="184">
        <f t="shared" si="9"/>
        <v>6.6666666666666671E-3</v>
      </c>
      <c r="AD21" s="185">
        <f t="shared" si="11"/>
        <v>0</v>
      </c>
      <c r="AE21" s="186">
        <f t="shared" si="12"/>
        <v>4.6346063899631398E-6</v>
      </c>
    </row>
    <row r="22" spans="2:31" x14ac:dyDescent="0.3">
      <c r="B22" s="226">
        <f>'Epoch Dates'!B21</f>
        <v>44156.738888888889</v>
      </c>
      <c r="C22" s="31">
        <v>229</v>
      </c>
      <c r="D22" s="30">
        <f>rho!E24 * (1-tr_tax)</f>
        <v>30153818.165119227</v>
      </c>
      <c r="E22" s="30">
        <f t="shared" si="10"/>
        <v>32403013730.925686</v>
      </c>
      <c r="F22" s="30">
        <f t="shared" si="13"/>
        <v>100000</v>
      </c>
      <c r="G22" s="250"/>
      <c r="H22" s="228">
        <f>SKY!$H22</f>
        <v>0</v>
      </c>
      <c r="I22" s="228">
        <v>150000</v>
      </c>
      <c r="J22" s="248"/>
      <c r="K22" s="248">
        <v>340</v>
      </c>
      <c r="L22" s="249">
        <v>0.03</v>
      </c>
      <c r="N22" s="233" t="e">
        <f t="shared" si="0"/>
        <v>#DIV/0!</v>
      </c>
      <c r="O22" s="196" t="e">
        <f t="shared" si="1"/>
        <v>#DIV/0!</v>
      </c>
      <c r="P22" s="196" t="e">
        <f t="shared" si="2"/>
        <v>#DIV/0!</v>
      </c>
      <c r="Q22" s="203" t="e">
        <f t="shared" si="3"/>
        <v>#DIV/0!</v>
      </c>
      <c r="R22" s="234" t="e">
        <f t="shared" si="4"/>
        <v>#DIV/0!</v>
      </c>
      <c r="S22" s="175"/>
      <c r="T22" s="241">
        <f t="shared" si="5"/>
        <v>-2.236779539803203E-2</v>
      </c>
      <c r="U22" s="177" t="e">
        <f t="shared" si="6"/>
        <v>#DIV/0!</v>
      </c>
      <c r="V22" s="242" t="e">
        <f t="shared" si="14"/>
        <v>#DIV/0!</v>
      </c>
      <c r="X22" s="200">
        <v>150</v>
      </c>
      <c r="Y22" s="139">
        <v>0.3</v>
      </c>
      <c r="Z22" s="183">
        <v>0.5</v>
      </c>
      <c r="AA22" s="128">
        <f t="shared" si="7"/>
        <v>4.6291990382622606E-6</v>
      </c>
      <c r="AB22" s="128">
        <f t="shared" si="8"/>
        <v>0</v>
      </c>
      <c r="AC22" s="184">
        <f t="shared" si="9"/>
        <v>6.6666666666666671E-3</v>
      </c>
      <c r="AD22" s="185">
        <f t="shared" si="11"/>
        <v>0</v>
      </c>
      <c r="AE22" s="186">
        <f t="shared" si="12"/>
        <v>4.6291990382622606E-6</v>
      </c>
    </row>
    <row r="23" spans="2:31" ht="15" thickBot="1" x14ac:dyDescent="0.35">
      <c r="B23" s="226">
        <f>'Epoch Dates'!B22</f>
        <v>44161.738888888889</v>
      </c>
      <c r="C23" s="31">
        <v>230</v>
      </c>
      <c r="D23" s="30">
        <f>rho!E25 * (1-tr_tax)</f>
        <v>30063356.71062386</v>
      </c>
      <c r="E23" s="30">
        <f t="shared" si="10"/>
        <v>32440706003.632084</v>
      </c>
      <c r="F23" s="30">
        <f t="shared" si="13"/>
        <v>100000</v>
      </c>
      <c r="G23" s="251"/>
      <c r="H23" s="252">
        <f>SKY!$H23</f>
        <v>0</v>
      </c>
      <c r="I23" s="252">
        <v>150000</v>
      </c>
      <c r="J23" s="253"/>
      <c r="K23" s="253">
        <v>340</v>
      </c>
      <c r="L23" s="254">
        <v>0.03</v>
      </c>
      <c r="N23" s="235" t="e">
        <f t="shared" si="0"/>
        <v>#DIV/0!</v>
      </c>
      <c r="O23" s="236" t="e">
        <f t="shared" si="1"/>
        <v>#DIV/0!</v>
      </c>
      <c r="P23" s="236" t="e">
        <f t="shared" si="2"/>
        <v>#DIV/0!</v>
      </c>
      <c r="Q23" s="237" t="e">
        <f t="shared" si="3"/>
        <v>#DIV/0!</v>
      </c>
      <c r="R23" s="238" t="e">
        <f t="shared" si="4"/>
        <v>#DIV/0!</v>
      </c>
      <c r="S23" s="175"/>
      <c r="T23" s="243">
        <f t="shared" si="5"/>
        <v>-2.2248900571368097E-2</v>
      </c>
      <c r="U23" s="244" t="e">
        <f>G23/H23 * 21600 * (1-#REF!)</f>
        <v>#DIV/0!</v>
      </c>
      <c r="V23" s="245" t="e">
        <f t="shared" si="14"/>
        <v>#DIV/0!</v>
      </c>
      <c r="X23" s="200">
        <v>150</v>
      </c>
      <c r="Y23" s="139">
        <v>0.3</v>
      </c>
      <c r="Z23" s="187">
        <v>0.5</v>
      </c>
      <c r="AA23" s="188">
        <f t="shared" si="7"/>
        <v>4.6238204551776989E-6</v>
      </c>
      <c r="AB23" s="188">
        <f t="shared" si="8"/>
        <v>0</v>
      </c>
      <c r="AC23" s="189">
        <f t="shared" si="9"/>
        <v>6.6666666666666671E-3</v>
      </c>
      <c r="AD23" s="190">
        <f t="shared" si="11"/>
        <v>0</v>
      </c>
      <c r="AE23" s="191">
        <f t="shared" si="12"/>
        <v>4.6238204551776989E-6</v>
      </c>
    </row>
    <row r="24" spans="2:31" x14ac:dyDescent="0.3">
      <c r="C24" s="6"/>
      <c r="D24" s="119"/>
    </row>
    <row r="25" spans="2:31" ht="15" thickBot="1" x14ac:dyDescent="0.35">
      <c r="C25" s="19" t="s">
        <v>109</v>
      </c>
      <c r="D25" s="143"/>
    </row>
    <row r="26" spans="2:31" x14ac:dyDescent="0.3">
      <c r="C26" s="6" t="s">
        <v>99</v>
      </c>
      <c r="D26" s="193">
        <f>H7</f>
        <v>13370000000</v>
      </c>
    </row>
    <row r="27" spans="2:31" x14ac:dyDescent="0.3">
      <c r="C27" s="6" t="s">
        <v>93</v>
      </c>
      <c r="D27" s="194">
        <v>11460000</v>
      </c>
    </row>
    <row r="28" spans="2:31" ht="15" thickBot="1" x14ac:dyDescent="0.35">
      <c r="C28" s="6" t="s">
        <v>108</v>
      </c>
      <c r="D28" s="195">
        <v>0.76</v>
      </c>
    </row>
    <row r="29" spans="2:31" x14ac:dyDescent="0.3">
      <c r="C29" s="6"/>
      <c r="D29" s="31"/>
    </row>
    <row r="30" spans="2:31" x14ac:dyDescent="0.3">
      <c r="C30" s="6"/>
      <c r="D30" s="72"/>
    </row>
    <row r="31" spans="2:31" x14ac:dyDescent="0.3">
      <c r="C31" s="6" t="s">
        <v>116</v>
      </c>
      <c r="D31" s="30">
        <v>432000</v>
      </c>
      <c r="E31" s="131"/>
      <c r="F31" s="131"/>
      <c r="G31" s="131"/>
      <c r="H31" s="131"/>
      <c r="I31" s="132"/>
      <c r="J31" s="132"/>
      <c r="K31" s="132"/>
      <c r="L31" s="132"/>
      <c r="N31" s="132"/>
      <c r="T31" s="132"/>
    </row>
    <row r="32" spans="2:31" x14ac:dyDescent="0.3">
      <c r="C32" s="6" t="s">
        <v>117</v>
      </c>
      <c r="D32" s="121">
        <f>(D27/D26) *0.05 * 0.985 *(1-D28)</f>
        <v>1.0131428571428571E-5</v>
      </c>
      <c r="E32" s="132"/>
      <c r="F32" s="132"/>
      <c r="G32" s="104"/>
      <c r="H32" s="132"/>
      <c r="I32" s="132"/>
      <c r="J32" s="132"/>
      <c r="K32" s="132"/>
      <c r="L32" s="132"/>
      <c r="N32" s="132"/>
      <c r="T32" s="132"/>
    </row>
    <row r="33" spans="3:20" x14ac:dyDescent="0.3">
      <c r="C33" s="6" t="s">
        <v>88</v>
      </c>
      <c r="D33" s="24">
        <f>D31*D32*(1-D32)</f>
        <v>4.3767327998521468</v>
      </c>
      <c r="E33" s="132"/>
      <c r="F33" s="132"/>
      <c r="G33" s="105"/>
      <c r="H33" s="140"/>
      <c r="I33" s="132"/>
      <c r="J33" s="132"/>
      <c r="K33" s="132"/>
      <c r="L33" s="132"/>
      <c r="N33" s="132"/>
      <c r="T33" s="132"/>
    </row>
    <row r="34" spans="3:20" x14ac:dyDescent="0.3">
      <c r="C34" s="6" t="s">
        <v>91</v>
      </c>
      <c r="D34" s="24">
        <f>SQRT(D33)</f>
        <v>2.0920642437200985</v>
      </c>
      <c r="E34" s="132"/>
      <c r="F34" s="132"/>
      <c r="G34" s="138"/>
      <c r="H34" s="132"/>
      <c r="I34" s="132"/>
      <c r="J34" s="132"/>
      <c r="K34" s="132"/>
      <c r="L34" s="132"/>
      <c r="N34" s="132"/>
      <c r="T34" s="132"/>
    </row>
    <row r="35" spans="3:20" x14ac:dyDescent="0.3">
      <c r="C35" s="6" t="s">
        <v>92</v>
      </c>
      <c r="D35" s="24">
        <f>D34*3</f>
        <v>6.276192731160295</v>
      </c>
      <c r="E35" s="133"/>
      <c r="F35" s="133"/>
      <c r="G35" s="132"/>
      <c r="H35" s="132"/>
      <c r="I35" s="132"/>
      <c r="J35" s="132"/>
      <c r="K35" s="132"/>
      <c r="L35" s="132"/>
      <c r="N35" s="132"/>
      <c r="T35" s="132"/>
    </row>
    <row r="36" spans="3:20" x14ac:dyDescent="0.3">
      <c r="C36" s="6"/>
      <c r="D36" s="31"/>
      <c r="E36" s="132"/>
      <c r="F36" s="132"/>
      <c r="G36" s="132"/>
      <c r="H36" s="132"/>
      <c r="I36" s="132"/>
      <c r="J36" s="132"/>
      <c r="K36" s="132"/>
      <c r="L36" s="132"/>
      <c r="N36" s="132"/>
      <c r="T36" s="132"/>
    </row>
    <row r="37" spans="3:20" x14ac:dyDescent="0.3">
      <c r="C37" s="3" t="s">
        <v>89</v>
      </c>
      <c r="D37" s="3" t="s">
        <v>90</v>
      </c>
      <c r="E37" s="133"/>
      <c r="F37" s="133"/>
      <c r="G37" s="132"/>
      <c r="H37" s="132"/>
      <c r="I37" s="132"/>
      <c r="J37" s="132"/>
      <c r="K37" s="132"/>
      <c r="L37" s="132"/>
      <c r="N37" s="132"/>
      <c r="T37" s="132"/>
    </row>
    <row r="38" spans="3:20" x14ac:dyDescent="0.3">
      <c r="C38" s="31">
        <v>0</v>
      </c>
      <c r="D38" s="4">
        <f t="shared" ref="D38:D98" si="16">_xlfn.BINOM.DIST(C38,$D$31,$D$32,FALSE)</f>
        <v>1.2565512580495753E-2</v>
      </c>
      <c r="E38" s="132"/>
      <c r="F38" s="132"/>
      <c r="G38" s="132"/>
      <c r="H38" s="132"/>
      <c r="I38" s="132"/>
      <c r="J38" s="132"/>
      <c r="K38" s="132"/>
      <c r="L38" s="132"/>
      <c r="N38" s="132"/>
      <c r="T38" s="132"/>
    </row>
    <row r="39" spans="3:20" x14ac:dyDescent="0.3">
      <c r="C39" s="31">
        <v>1</v>
      </c>
      <c r="D39" s="4">
        <f t="shared" si="16"/>
        <v>5.4997005448830051E-2</v>
      </c>
      <c r="E39" s="22"/>
      <c r="F39" s="22"/>
      <c r="G39" s="132"/>
      <c r="H39" s="132"/>
      <c r="I39" s="132"/>
      <c r="J39" s="132"/>
      <c r="K39" s="132"/>
      <c r="L39" s="132"/>
      <c r="N39" s="132"/>
      <c r="T39" s="132"/>
    </row>
    <row r="40" spans="3:20" x14ac:dyDescent="0.3">
      <c r="C40" s="31">
        <v>2</v>
      </c>
      <c r="D40" s="4">
        <f t="shared" si="16"/>
        <v>0.1203557589636734</v>
      </c>
      <c r="E40" s="132"/>
      <c r="F40" s="132"/>
      <c r="G40" s="134"/>
      <c r="H40" s="132"/>
      <c r="I40" s="132"/>
      <c r="J40" s="132"/>
      <c r="K40" s="132"/>
      <c r="L40" s="132"/>
      <c r="N40" s="132"/>
      <c r="T40" s="132"/>
    </row>
    <row r="41" spans="3:20" x14ac:dyDescent="0.3">
      <c r="C41" s="31">
        <v>3</v>
      </c>
      <c r="D41" s="4">
        <f t="shared" si="16"/>
        <v>0.17559107768575449</v>
      </c>
      <c r="E41" s="132"/>
      <c r="F41" s="132"/>
      <c r="G41" s="135"/>
      <c r="H41" s="132"/>
      <c r="I41" s="132"/>
      <c r="J41" s="132"/>
      <c r="K41" s="132"/>
      <c r="L41" s="132"/>
      <c r="N41" s="132"/>
      <c r="T41" s="132"/>
    </row>
    <row r="42" spans="3:20" x14ac:dyDescent="0.3">
      <c r="C42" s="31">
        <v>4</v>
      </c>
      <c r="D42" s="4">
        <f t="shared" si="16"/>
        <v>0.19213136615003229</v>
      </c>
      <c r="E42" s="132"/>
      <c r="F42" s="132"/>
      <c r="G42" s="135"/>
      <c r="H42" s="132"/>
      <c r="I42" s="132"/>
      <c r="J42" s="132"/>
      <c r="K42" s="132"/>
      <c r="L42" s="132"/>
      <c r="N42" s="132"/>
      <c r="T42" s="132"/>
    </row>
    <row r="43" spans="3:20" x14ac:dyDescent="0.3">
      <c r="C43" s="31">
        <v>5</v>
      </c>
      <c r="D43" s="4">
        <f t="shared" si="16"/>
        <v>0.16818338104401748</v>
      </c>
      <c r="E43" s="132"/>
      <c r="F43" s="132"/>
      <c r="G43" s="135"/>
      <c r="H43" s="132"/>
      <c r="I43" s="132"/>
      <c r="J43" s="132"/>
      <c r="K43" s="132"/>
      <c r="L43" s="132"/>
      <c r="N43" s="132"/>
      <c r="T43" s="132"/>
    </row>
    <row r="44" spans="3:20" x14ac:dyDescent="0.3">
      <c r="C44" s="31">
        <v>6</v>
      </c>
      <c r="D44" s="4">
        <f t="shared" si="16"/>
        <v>0.12268335266967945</v>
      </c>
      <c r="E44" s="132"/>
      <c r="F44" s="132"/>
      <c r="G44" s="135"/>
      <c r="H44" s="132"/>
      <c r="I44" s="132"/>
      <c r="J44" s="132"/>
      <c r="K44" s="132"/>
      <c r="L44" s="132"/>
      <c r="N44" s="132"/>
      <c r="T44" s="132"/>
    </row>
    <row r="45" spans="3:20" x14ac:dyDescent="0.3">
      <c r="C45" s="31">
        <v>7</v>
      </c>
      <c r="D45" s="4">
        <f t="shared" si="16"/>
        <v>7.6707953736580986E-2</v>
      </c>
      <c r="E45" s="132"/>
      <c r="F45" s="132"/>
      <c r="G45" s="136"/>
      <c r="H45" s="132"/>
      <c r="I45" s="132"/>
      <c r="J45" s="132"/>
      <c r="K45" s="132"/>
      <c r="L45" s="132"/>
      <c r="N45" s="132"/>
      <c r="T45" s="132"/>
    </row>
    <row r="46" spans="3:20" x14ac:dyDescent="0.3">
      <c r="C46" s="31">
        <v>8</v>
      </c>
      <c r="D46" s="4">
        <f t="shared" si="16"/>
        <v>4.1966447487756575E-2</v>
      </c>
      <c r="E46" s="132"/>
      <c r="F46" s="132"/>
      <c r="G46" s="135"/>
      <c r="H46" s="132"/>
      <c r="I46" s="132"/>
      <c r="J46" s="132"/>
      <c r="K46" s="132"/>
      <c r="L46" s="132"/>
      <c r="N46" s="132"/>
      <c r="T46" s="132"/>
    </row>
    <row r="47" spans="3:20" x14ac:dyDescent="0.3">
      <c r="C47" s="31">
        <v>9</v>
      </c>
      <c r="D47" s="4">
        <f t="shared" si="16"/>
        <v>2.0408471954843268E-2</v>
      </c>
      <c r="E47" s="131"/>
      <c r="F47" s="131"/>
      <c r="G47" s="137"/>
      <c r="H47" s="132"/>
      <c r="I47" s="132"/>
      <c r="J47" s="132"/>
      <c r="K47" s="132"/>
      <c r="L47" s="132"/>
      <c r="N47" s="132"/>
      <c r="T47" s="132"/>
    </row>
    <row r="48" spans="3:20" x14ac:dyDescent="0.3">
      <c r="C48" s="31">
        <v>10</v>
      </c>
      <c r="D48" s="4">
        <f t="shared" si="16"/>
        <v>8.9322377633105042E-3</v>
      </c>
      <c r="E48" s="22"/>
      <c r="F48" s="22"/>
      <c r="G48" s="132"/>
      <c r="H48" s="132"/>
      <c r="I48" s="132"/>
      <c r="J48" s="132"/>
      <c r="K48" s="132"/>
      <c r="L48" s="132"/>
      <c r="N48" s="132"/>
      <c r="T48" s="132"/>
    </row>
    <row r="49" spans="3:4" x14ac:dyDescent="0.3">
      <c r="C49" s="31">
        <v>11</v>
      </c>
      <c r="D49" s="4">
        <f t="shared" si="16"/>
        <v>3.553991380985643E-3</v>
      </c>
    </row>
    <row r="50" spans="3:4" x14ac:dyDescent="0.3">
      <c r="C50" s="31">
        <v>12</v>
      </c>
      <c r="D50" s="4">
        <f t="shared" si="16"/>
        <v>1.2962324797785505E-3</v>
      </c>
    </row>
    <row r="51" spans="3:4" x14ac:dyDescent="0.3">
      <c r="C51" s="31">
        <v>13</v>
      </c>
      <c r="D51" s="4">
        <f t="shared" si="16"/>
        <v>4.3640158268549447E-4</v>
      </c>
    </row>
    <row r="52" spans="3:4" x14ac:dyDescent="0.3">
      <c r="C52" s="31">
        <v>14</v>
      </c>
      <c r="D52" s="4">
        <f t="shared" si="16"/>
        <v>1.3642816752477242E-4</v>
      </c>
    </row>
    <row r="53" spans="3:4" x14ac:dyDescent="0.3">
      <c r="C53" s="31">
        <v>15</v>
      </c>
      <c r="D53" s="4">
        <f t="shared" si="16"/>
        <v>3.9806825586211948E-5</v>
      </c>
    </row>
    <row r="54" spans="3:4" x14ac:dyDescent="0.3">
      <c r="C54" s="31">
        <v>16</v>
      </c>
      <c r="D54" s="4">
        <f t="shared" si="16"/>
        <v>1.0888832497883838E-5</v>
      </c>
    </row>
    <row r="55" spans="3:4" x14ac:dyDescent="0.3">
      <c r="C55" s="31">
        <v>17</v>
      </c>
      <c r="D55" s="4">
        <f t="shared" si="16"/>
        <v>2.8033359358142108E-6</v>
      </c>
    </row>
    <row r="56" spans="3:4" x14ac:dyDescent="0.3">
      <c r="C56" s="31">
        <v>18</v>
      </c>
      <c r="D56" s="4">
        <f t="shared" si="16"/>
        <v>6.8162322898701197E-7</v>
      </c>
    </row>
    <row r="57" spans="3:4" x14ac:dyDescent="0.3">
      <c r="C57" s="31">
        <v>19</v>
      </c>
      <c r="D57" s="4">
        <f t="shared" si="16"/>
        <v>1.5701152043330908E-7</v>
      </c>
    </row>
    <row r="58" spans="3:4" x14ac:dyDescent="0.3">
      <c r="C58" s="31">
        <v>20</v>
      </c>
      <c r="D58" s="4">
        <f t="shared" si="16"/>
        <v>3.43590585827815E-8</v>
      </c>
    </row>
    <row r="59" spans="3:4" x14ac:dyDescent="0.3">
      <c r="C59" s="31">
        <v>21</v>
      </c>
      <c r="D59" s="4">
        <f t="shared" si="16"/>
        <v>7.1607858884313439E-9</v>
      </c>
    </row>
    <row r="60" spans="3:4" x14ac:dyDescent="0.3">
      <c r="C60" s="31">
        <v>22</v>
      </c>
      <c r="D60" s="4">
        <f t="shared" si="16"/>
        <v>1.4245435450509162E-9</v>
      </c>
    </row>
    <row r="61" spans="3:4" x14ac:dyDescent="0.3">
      <c r="C61" s="31">
        <v>23</v>
      </c>
      <c r="D61" s="4">
        <f t="shared" si="16"/>
        <v>2.7107196845227602E-10</v>
      </c>
    </row>
    <row r="62" spans="3:4" x14ac:dyDescent="0.3">
      <c r="C62" s="31">
        <v>24</v>
      </c>
      <c r="D62" s="4">
        <f t="shared" si="16"/>
        <v>4.9432102052253758E-11</v>
      </c>
    </row>
    <row r="63" spans="3:4" x14ac:dyDescent="0.3">
      <c r="C63" s="31">
        <v>25</v>
      </c>
      <c r="D63" s="4">
        <f t="shared" si="16"/>
        <v>8.6537386650639431E-12</v>
      </c>
    </row>
    <row r="64" spans="3:4" x14ac:dyDescent="0.3">
      <c r="C64" s="31">
        <v>26</v>
      </c>
      <c r="D64" s="4">
        <f t="shared" si="16"/>
        <v>1.4566799013688294E-12</v>
      </c>
    </row>
    <row r="65" spans="3:4" x14ac:dyDescent="0.3">
      <c r="C65" s="31">
        <v>27</v>
      </c>
      <c r="D65" s="4">
        <f t="shared" si="16"/>
        <v>2.3612015454236413E-13</v>
      </c>
    </row>
    <row r="66" spans="3:4" x14ac:dyDescent="0.3">
      <c r="C66" s="31">
        <v>28</v>
      </c>
      <c r="D66" s="4">
        <f t="shared" si="16"/>
        <v>3.6906827670243886E-14</v>
      </c>
    </row>
    <row r="67" spans="3:4" x14ac:dyDescent="0.3">
      <c r="C67" s="31">
        <v>29</v>
      </c>
      <c r="D67" s="4">
        <f t="shared" si="16"/>
        <v>5.56979746564714E-15</v>
      </c>
    </row>
    <row r="68" spans="3:4" x14ac:dyDescent="0.3">
      <c r="C68" s="31">
        <v>30</v>
      </c>
      <c r="D68" s="4">
        <f t="shared" si="16"/>
        <v>8.1254575784389596E-16</v>
      </c>
    </row>
    <row r="69" spans="3:4" x14ac:dyDescent="0.3">
      <c r="C69" s="31">
        <v>31</v>
      </c>
      <c r="D69" s="4">
        <f t="shared" si="16"/>
        <v>1.1471357295358062E-16</v>
      </c>
    </row>
    <row r="70" spans="3:4" x14ac:dyDescent="0.3">
      <c r="C70" s="31">
        <v>32</v>
      </c>
      <c r="D70" s="4">
        <f t="shared" si="16"/>
        <v>1.5688900060195982E-17</v>
      </c>
    </row>
    <row r="71" spans="3:4" x14ac:dyDescent="0.3">
      <c r="C71" s="31">
        <v>33</v>
      </c>
      <c r="D71" s="4">
        <f t="shared" si="16"/>
        <v>2.080679648408327E-18</v>
      </c>
    </row>
    <row r="72" spans="3:4" x14ac:dyDescent="0.3">
      <c r="C72" s="31">
        <v>34</v>
      </c>
      <c r="D72" s="4">
        <f t="shared" si="16"/>
        <v>2.6782552163963364E-19</v>
      </c>
    </row>
    <row r="73" spans="3:4" x14ac:dyDescent="0.3">
      <c r="C73" s="31">
        <v>35</v>
      </c>
      <c r="D73" s="4">
        <f t="shared" si="16"/>
        <v>3.3489492551010743E-20</v>
      </c>
    </row>
    <row r="74" spans="3:4" x14ac:dyDescent="0.3">
      <c r="C74" s="31">
        <v>36</v>
      </c>
      <c r="D74" s="4">
        <f t="shared" si="16"/>
        <v>4.0712681963486963E-21</v>
      </c>
    </row>
    <row r="75" spans="3:4" x14ac:dyDescent="0.3">
      <c r="C75" s="31">
        <v>37</v>
      </c>
      <c r="D75" s="4">
        <f t="shared" si="16"/>
        <v>4.8156024821095484E-22</v>
      </c>
    </row>
    <row r="76" spans="3:4" x14ac:dyDescent="0.3">
      <c r="C76" s="31">
        <v>38</v>
      </c>
      <c r="D76" s="4">
        <f t="shared" si="16"/>
        <v>5.5461124222203126E-23</v>
      </c>
    </row>
    <row r="77" spans="3:4" x14ac:dyDescent="0.3">
      <c r="C77" s="31">
        <v>39</v>
      </c>
      <c r="D77" s="4">
        <f t="shared" si="16"/>
        <v>6.2236432748330853E-24</v>
      </c>
    </row>
    <row r="78" spans="3:4" x14ac:dyDescent="0.3">
      <c r="C78" s="31">
        <v>40</v>
      </c>
      <c r="D78" s="4">
        <f t="shared" si="16"/>
        <v>6.809329115504419E-25</v>
      </c>
    </row>
    <row r="79" spans="3:4" x14ac:dyDescent="0.3">
      <c r="C79" s="31">
        <v>41</v>
      </c>
      <c r="D79" s="4">
        <f t="shared" si="16"/>
        <v>7.2684044933864705E-26</v>
      </c>
    </row>
    <row r="80" spans="3:4" x14ac:dyDescent="0.3">
      <c r="C80" s="31">
        <v>42</v>
      </c>
      <c r="D80" s="4">
        <f t="shared" si="16"/>
        <v>7.5736880274068098E-27</v>
      </c>
    </row>
    <row r="81" spans="3:4" x14ac:dyDescent="0.3">
      <c r="C81" s="31">
        <v>43</v>
      </c>
      <c r="D81" s="4">
        <f t="shared" si="16"/>
        <v>7.7082459768819743E-28</v>
      </c>
    </row>
    <row r="82" spans="3:4" x14ac:dyDescent="0.3">
      <c r="C82" s="31">
        <v>44</v>
      </c>
      <c r="D82" s="4">
        <f t="shared" si="16"/>
        <v>7.6668769252263566E-29</v>
      </c>
    </row>
    <row r="83" spans="3:4" x14ac:dyDescent="0.3">
      <c r="C83" s="31">
        <v>45</v>
      </c>
      <c r="D83" s="4">
        <f t="shared" si="16"/>
        <v>7.4562519694017366E-30</v>
      </c>
    </row>
    <row r="84" spans="3:4" x14ac:dyDescent="0.3">
      <c r="C84" s="31">
        <v>46</v>
      </c>
      <c r="D84" s="4">
        <f t="shared" si="16"/>
        <v>7.0937574740862275E-31</v>
      </c>
    </row>
    <row r="85" spans="3:4" x14ac:dyDescent="0.3">
      <c r="C85" s="31">
        <v>47</v>
      </c>
      <c r="D85" s="4">
        <f t="shared" si="16"/>
        <v>6.6052774643616375E-32</v>
      </c>
    </row>
    <row r="86" spans="3:4" x14ac:dyDescent="0.3">
      <c r="C86" s="31">
        <v>48</v>
      </c>
      <c r="D86" s="4">
        <f t="shared" si="16"/>
        <v>6.0222864614683068E-33</v>
      </c>
    </row>
    <row r="87" spans="3:4" x14ac:dyDescent="0.3">
      <c r="C87" s="31">
        <v>49</v>
      </c>
      <c r="D87" s="4">
        <f t="shared" si="16"/>
        <v>5.3786824616489453E-34</v>
      </c>
    </row>
    <row r="88" spans="3:4" x14ac:dyDescent="0.3">
      <c r="C88" s="31">
        <v>50</v>
      </c>
      <c r="D88" s="4">
        <f t="shared" si="16"/>
        <v>4.7077725492034181E-35</v>
      </c>
    </row>
    <row r="89" spans="3:4" x14ac:dyDescent="0.3">
      <c r="C89" s="31">
        <v>51</v>
      </c>
      <c r="D89" s="4">
        <f t="shared" si="16"/>
        <v>4.0397441566260536E-36</v>
      </c>
    </row>
    <row r="90" spans="3:4" x14ac:dyDescent="0.3">
      <c r="C90" s="31">
        <v>52</v>
      </c>
      <c r="D90" s="4">
        <f t="shared" si="16"/>
        <v>3.3998368568125394E-37</v>
      </c>
    </row>
    <row r="91" spans="3:4" x14ac:dyDescent="0.3">
      <c r="C91" s="31">
        <v>53</v>
      </c>
      <c r="D91" s="4">
        <f t="shared" si="16"/>
        <v>2.8072995917135483E-38</v>
      </c>
    </row>
    <row r="92" spans="3:4" x14ac:dyDescent="0.3">
      <c r="C92" s="31">
        <v>54</v>
      </c>
      <c r="D92" s="4">
        <f t="shared" si="16"/>
        <v>2.2751003208559139E-39</v>
      </c>
    </row>
    <row r="93" spans="3:4" x14ac:dyDescent="0.3">
      <c r="C93" s="31">
        <v>55</v>
      </c>
      <c r="D93" s="4">
        <f t="shared" si="16"/>
        <v>1.8102660462436985E-40</v>
      </c>
    </row>
    <row r="94" spans="3:4" x14ac:dyDescent="0.3">
      <c r="C94" s="31">
        <v>56</v>
      </c>
      <c r="D94" s="4">
        <f t="shared" si="16"/>
        <v>1.4146790330279402E-41</v>
      </c>
    </row>
    <row r="95" spans="3:4" x14ac:dyDescent="0.3">
      <c r="C95" s="31">
        <v>57</v>
      </c>
      <c r="D95" s="4">
        <f t="shared" si="16"/>
        <v>1.0861394644847128E-42</v>
      </c>
    </row>
    <row r="96" spans="3:4" x14ac:dyDescent="0.3">
      <c r="C96" s="31">
        <v>58</v>
      </c>
      <c r="D96" s="4">
        <f t="shared" si="16"/>
        <v>8.1951919012094414E-44</v>
      </c>
    </row>
    <row r="97" spans="1:39" x14ac:dyDescent="0.3">
      <c r="C97" s="31">
        <v>59</v>
      </c>
      <c r="D97" s="4">
        <f t="shared" si="16"/>
        <v>6.0786569943711115E-45</v>
      </c>
    </row>
    <row r="98" spans="1:39" s="31" customFormat="1" x14ac:dyDescent="0.3">
      <c r="A98" s="6"/>
      <c r="B98" s="6"/>
      <c r="C98" s="31">
        <v>60</v>
      </c>
      <c r="D98" s="4">
        <f t="shared" si="16"/>
        <v>4.4335938267995818E-46</v>
      </c>
      <c r="E98" s="6"/>
      <c r="F98" s="6"/>
      <c r="M98" s="6"/>
      <c r="W98" s="6"/>
      <c r="X98" s="6"/>
      <c r="Y98" s="6"/>
      <c r="AH98" s="6"/>
      <c r="AI98" s="6"/>
      <c r="AJ98" s="6"/>
      <c r="AK98" s="6"/>
      <c r="AL98" s="6"/>
      <c r="AM98" s="6"/>
    </row>
    <row r="99" spans="1:39" s="31" customFormat="1" x14ac:dyDescent="0.3">
      <c r="A99" s="6"/>
      <c r="B99" s="6"/>
      <c r="D99" s="4"/>
      <c r="E99" s="6"/>
      <c r="F99" s="6"/>
      <c r="M99" s="6"/>
      <c r="W99" s="6"/>
      <c r="X99" s="6"/>
      <c r="Y99" s="6"/>
      <c r="AH99" s="6"/>
      <c r="AI99" s="6"/>
      <c r="AJ99" s="6"/>
      <c r="AK99" s="6"/>
      <c r="AL99" s="6"/>
      <c r="AM99" s="6"/>
    </row>
    <row r="100" spans="1:39" s="31" customFormat="1" x14ac:dyDescent="0.3">
      <c r="A100" s="6"/>
      <c r="B100" s="6"/>
      <c r="D100" s="4"/>
      <c r="E100" s="6"/>
      <c r="F100" s="6"/>
      <c r="M100" s="6"/>
      <c r="W100" s="6"/>
      <c r="X100" s="6"/>
      <c r="Y100" s="6"/>
      <c r="AH100" s="6"/>
      <c r="AI100" s="6"/>
      <c r="AJ100" s="6"/>
      <c r="AK100" s="6"/>
      <c r="AL100" s="6"/>
      <c r="AM100" s="6"/>
    </row>
    <row r="101" spans="1:39" s="132" customFormat="1" x14ac:dyDescent="0.3">
      <c r="A101" s="22"/>
      <c r="B101" s="22"/>
      <c r="C101" s="22"/>
      <c r="D101" s="215"/>
      <c r="M101" s="6"/>
      <c r="W101" s="22"/>
      <c r="X101" s="22"/>
      <c r="Y101" s="22"/>
      <c r="AH101" s="22"/>
      <c r="AI101" s="22"/>
      <c r="AJ101" s="22"/>
      <c r="AK101" s="22"/>
      <c r="AL101" s="22"/>
      <c r="AM101" s="22"/>
    </row>
    <row r="102" spans="1:39" s="132" customFormat="1" x14ac:dyDescent="0.3">
      <c r="A102" s="22"/>
      <c r="B102" s="22"/>
      <c r="C102" s="22"/>
      <c r="D102" s="215"/>
      <c r="M102" s="6"/>
      <c r="W102" s="22"/>
      <c r="X102" s="22"/>
      <c r="Y102" s="22"/>
      <c r="AH102" s="22"/>
      <c r="AI102" s="22"/>
      <c r="AJ102" s="22"/>
      <c r="AK102" s="22"/>
      <c r="AL102" s="22"/>
      <c r="AM102" s="22"/>
    </row>
    <row r="103" spans="1:39" s="132" customFormat="1" x14ac:dyDescent="0.3">
      <c r="A103" s="22"/>
      <c r="B103" s="22"/>
      <c r="C103" s="22"/>
      <c r="D103" s="140"/>
      <c r="M103" s="6"/>
      <c r="W103" s="22"/>
      <c r="X103" s="22"/>
      <c r="Y103" s="22"/>
      <c r="AH103" s="22"/>
      <c r="AI103" s="22"/>
      <c r="AJ103" s="22"/>
      <c r="AK103" s="22"/>
      <c r="AL103" s="22"/>
      <c r="AM103" s="22"/>
    </row>
    <row r="104" spans="1:39" s="132" customFormat="1" x14ac:dyDescent="0.3">
      <c r="A104" s="22"/>
      <c r="B104" s="22"/>
      <c r="C104" s="22"/>
      <c r="M104" s="6"/>
      <c r="W104" s="22"/>
      <c r="X104" s="22"/>
      <c r="Y104" s="22"/>
      <c r="AH104" s="22"/>
      <c r="AI104" s="22"/>
      <c r="AJ104" s="22"/>
      <c r="AK104" s="22"/>
      <c r="AL104" s="22"/>
      <c r="AM104" s="22"/>
    </row>
    <row r="105" spans="1:39" s="132" customFormat="1" x14ac:dyDescent="0.3">
      <c r="A105" s="22"/>
      <c r="B105" s="22"/>
      <c r="C105" s="93"/>
      <c r="M105" s="6"/>
      <c r="W105" s="22"/>
      <c r="X105" s="22"/>
      <c r="Y105" s="22"/>
      <c r="AH105" s="22"/>
      <c r="AI105" s="22"/>
      <c r="AJ105" s="22"/>
      <c r="AK105" s="22"/>
      <c r="AL105" s="22"/>
      <c r="AM105" s="22"/>
    </row>
    <row r="106" spans="1:39" s="132" customFormat="1" x14ac:dyDescent="0.3">
      <c r="A106" s="22"/>
      <c r="B106" s="22"/>
      <c r="C106" s="22"/>
      <c r="M106" s="6"/>
      <c r="W106" s="22"/>
      <c r="X106" s="22"/>
      <c r="Y106" s="22"/>
      <c r="AH106" s="22"/>
      <c r="AI106" s="22"/>
      <c r="AJ106" s="22"/>
      <c r="AK106" s="22"/>
      <c r="AL106" s="22"/>
      <c r="AM106" s="22"/>
    </row>
    <row r="107" spans="1:39" s="132" customFormat="1" x14ac:dyDescent="0.3">
      <c r="A107" s="22"/>
      <c r="B107" s="22"/>
      <c r="C107" s="22"/>
      <c r="D107" s="216"/>
      <c r="E107" s="217"/>
      <c r="F107" s="217"/>
      <c r="M107" s="6"/>
      <c r="W107" s="22"/>
      <c r="X107" s="22"/>
      <c r="Y107" s="22"/>
      <c r="AH107" s="22"/>
      <c r="AI107" s="22"/>
      <c r="AJ107" s="22"/>
      <c r="AK107" s="22"/>
      <c r="AL107" s="22"/>
      <c r="AM107" s="22"/>
    </row>
    <row r="108" spans="1:39" s="132" customFormat="1" x14ac:dyDescent="0.3">
      <c r="A108" s="22"/>
      <c r="B108" s="22"/>
      <c r="C108" s="93"/>
      <c r="D108" s="64"/>
      <c r="M108" s="6"/>
      <c r="W108" s="22"/>
      <c r="X108" s="22"/>
      <c r="Y108" s="22"/>
      <c r="AH108" s="22"/>
      <c r="AI108" s="22"/>
      <c r="AJ108" s="22"/>
      <c r="AK108" s="22"/>
      <c r="AL108" s="22"/>
      <c r="AM108" s="22"/>
    </row>
    <row r="109" spans="1:39" s="132" customFormat="1" x14ac:dyDescent="0.3">
      <c r="A109" s="22"/>
      <c r="B109" s="22"/>
      <c r="C109" s="22"/>
      <c r="M109" s="6"/>
      <c r="W109" s="22"/>
      <c r="X109" s="22"/>
      <c r="Y109" s="22"/>
      <c r="AH109" s="22"/>
      <c r="AI109" s="22"/>
      <c r="AJ109" s="22"/>
      <c r="AK109" s="22"/>
      <c r="AL109" s="22"/>
      <c r="AM109" s="22"/>
    </row>
    <row r="110" spans="1:39" s="132" customFormat="1" x14ac:dyDescent="0.3">
      <c r="A110" s="22"/>
      <c r="B110" s="22"/>
      <c r="C110" s="22"/>
      <c r="M110" s="6"/>
      <c r="W110" s="22"/>
      <c r="X110" s="22"/>
      <c r="Y110" s="22"/>
      <c r="AH110" s="22"/>
      <c r="AI110" s="22"/>
      <c r="AJ110" s="22"/>
      <c r="AK110" s="22"/>
      <c r="AL110" s="22"/>
      <c r="AM110" s="22"/>
    </row>
    <row r="111" spans="1:39" s="132" customFormat="1" x14ac:dyDescent="0.3">
      <c r="A111" s="22"/>
      <c r="B111" s="22"/>
      <c r="C111" s="93"/>
      <c r="M111" s="6"/>
      <c r="W111" s="22"/>
      <c r="X111" s="22"/>
      <c r="Y111" s="22"/>
      <c r="AH111" s="22"/>
      <c r="AI111" s="22"/>
      <c r="AJ111" s="22"/>
      <c r="AK111" s="22"/>
      <c r="AL111" s="22"/>
      <c r="AM111" s="22"/>
    </row>
    <row r="112" spans="1:39" s="132" customFormat="1" x14ac:dyDescent="0.3">
      <c r="A112" s="22"/>
      <c r="B112" s="22"/>
      <c r="C112" s="22"/>
      <c r="M112" s="6"/>
      <c r="W112" s="22"/>
      <c r="X112" s="22"/>
      <c r="Y112" s="22"/>
      <c r="AH112" s="22"/>
      <c r="AI112" s="22"/>
      <c r="AJ112" s="22"/>
      <c r="AK112" s="22"/>
      <c r="AL112" s="22"/>
      <c r="AM112" s="22"/>
    </row>
    <row r="113" spans="1:39" s="132" customFormat="1" x14ac:dyDescent="0.3">
      <c r="A113" s="22"/>
      <c r="B113" s="22"/>
      <c r="C113" s="22"/>
      <c r="D113" s="218"/>
      <c r="E113" s="217"/>
      <c r="F113" s="217"/>
      <c r="M113" s="6"/>
      <c r="W113" s="22"/>
      <c r="X113" s="22"/>
      <c r="Y113" s="22"/>
      <c r="AH113" s="22"/>
      <c r="AI113" s="22"/>
      <c r="AJ113" s="22"/>
      <c r="AK113" s="22"/>
      <c r="AL113" s="22"/>
      <c r="AM113" s="22"/>
    </row>
    <row r="114" spans="1:39" s="132" customFormat="1" x14ac:dyDescent="0.3">
      <c r="A114" s="22"/>
      <c r="B114" s="22"/>
      <c r="C114" s="22"/>
      <c r="D114" s="134"/>
      <c r="M114" s="6"/>
      <c r="W114" s="22"/>
      <c r="X114" s="22"/>
      <c r="Y114" s="22"/>
      <c r="AH114" s="22"/>
      <c r="AI114" s="22"/>
      <c r="AJ114" s="22"/>
      <c r="AK114" s="22"/>
      <c r="AL114" s="22"/>
      <c r="AM114" s="22"/>
    </row>
    <row r="115" spans="1:39" s="132" customFormat="1" x14ac:dyDescent="0.3">
      <c r="A115" s="22"/>
      <c r="B115" s="22"/>
      <c r="C115" s="22"/>
      <c r="E115" s="22"/>
      <c r="F115" s="22"/>
      <c r="M115" s="6"/>
      <c r="W115" s="22"/>
      <c r="X115" s="22"/>
      <c r="Y115" s="22"/>
      <c r="AH115" s="22"/>
      <c r="AI115" s="22"/>
      <c r="AJ115" s="22"/>
      <c r="AK115" s="22"/>
      <c r="AL115" s="22"/>
      <c r="AM115" s="22"/>
    </row>
    <row r="116" spans="1:39" s="132" customFormat="1" x14ac:dyDescent="0.3">
      <c r="A116" s="22"/>
      <c r="B116" s="22"/>
      <c r="C116" s="22"/>
      <c r="E116" s="22"/>
      <c r="F116" s="22"/>
      <c r="M116" s="6"/>
      <c r="W116" s="22"/>
      <c r="X116" s="22"/>
      <c r="Y116" s="22"/>
      <c r="AH116" s="22"/>
      <c r="AI116" s="22"/>
      <c r="AJ116" s="22"/>
      <c r="AK116" s="22"/>
      <c r="AL116" s="22"/>
      <c r="AM116" s="22"/>
    </row>
    <row r="117" spans="1:39" s="132" customFormat="1" x14ac:dyDescent="0.3">
      <c r="A117" s="22"/>
      <c r="B117" s="22"/>
      <c r="C117" s="22"/>
      <c r="E117" s="22"/>
      <c r="F117" s="22"/>
      <c r="M117" s="6"/>
      <c r="W117" s="22"/>
      <c r="X117" s="22"/>
      <c r="Y117" s="22"/>
      <c r="AH117" s="22"/>
      <c r="AI117" s="22"/>
      <c r="AJ117" s="22"/>
      <c r="AK117" s="22"/>
      <c r="AL117" s="22"/>
      <c r="AM117" s="22"/>
    </row>
    <row r="118" spans="1:39" s="22" customFormat="1" x14ac:dyDescent="0.3">
      <c r="C118" s="131"/>
      <c r="D118" s="131"/>
      <c r="E118" s="132"/>
      <c r="F118" s="132"/>
      <c r="G118" s="132"/>
      <c r="H118" s="132"/>
      <c r="I118" s="132"/>
      <c r="J118" s="132"/>
      <c r="K118" s="132"/>
      <c r="L118" s="132"/>
      <c r="M118" s="6"/>
      <c r="N118" s="132"/>
      <c r="O118" s="132"/>
      <c r="P118" s="132"/>
      <c r="Q118" s="132"/>
      <c r="R118" s="132"/>
      <c r="S118" s="132"/>
      <c r="T118" s="132"/>
      <c r="U118" s="132"/>
      <c r="V118" s="132"/>
      <c r="Z118" s="132"/>
      <c r="AA118" s="132"/>
      <c r="AB118" s="132"/>
      <c r="AC118" s="132"/>
      <c r="AD118" s="132"/>
      <c r="AE118" s="132"/>
      <c r="AF118" s="132"/>
      <c r="AG118" s="132"/>
    </row>
    <row r="119" spans="1:39" s="22" customFormat="1" x14ac:dyDescent="0.3">
      <c r="C119" s="132"/>
      <c r="D119" s="134"/>
      <c r="E119" s="132"/>
      <c r="F119" s="132"/>
      <c r="G119" s="132"/>
      <c r="H119" s="132"/>
      <c r="I119" s="132"/>
      <c r="J119" s="132"/>
      <c r="K119" s="132"/>
      <c r="L119" s="132"/>
      <c r="M119" s="6"/>
      <c r="N119" s="132"/>
      <c r="O119" s="132"/>
      <c r="P119" s="132"/>
      <c r="Q119" s="132"/>
      <c r="R119" s="132"/>
      <c r="S119" s="132"/>
      <c r="T119" s="132"/>
      <c r="U119" s="132"/>
      <c r="V119" s="132"/>
      <c r="Z119" s="132"/>
      <c r="AA119" s="132"/>
      <c r="AB119" s="132"/>
      <c r="AC119" s="132"/>
      <c r="AD119" s="132"/>
      <c r="AE119" s="132"/>
      <c r="AF119" s="132"/>
      <c r="AG119" s="132"/>
    </row>
    <row r="120" spans="1:39" s="22" customFormat="1" x14ac:dyDescent="0.3">
      <c r="A120" s="219"/>
      <c r="B120" s="219"/>
      <c r="C120" s="132"/>
      <c r="D120" s="132"/>
      <c r="G120" s="132"/>
      <c r="H120" s="132"/>
      <c r="I120" s="132"/>
      <c r="J120" s="132"/>
      <c r="K120" s="132"/>
      <c r="L120" s="132"/>
      <c r="M120" s="6"/>
      <c r="N120" s="132"/>
      <c r="O120" s="132"/>
      <c r="P120" s="132"/>
      <c r="Q120" s="132"/>
      <c r="R120" s="132"/>
      <c r="S120" s="132"/>
      <c r="T120" s="132"/>
      <c r="U120" s="132"/>
      <c r="V120" s="132"/>
      <c r="Z120" s="132"/>
      <c r="AA120" s="132"/>
      <c r="AB120" s="132"/>
      <c r="AC120" s="132"/>
      <c r="AD120" s="132"/>
      <c r="AE120" s="132"/>
      <c r="AF120" s="132"/>
      <c r="AG120" s="132"/>
    </row>
    <row r="121" spans="1:39" s="22" customFormat="1" x14ac:dyDescent="0.3">
      <c r="A121" s="220"/>
      <c r="B121" s="220"/>
      <c r="C121" s="132"/>
      <c r="D121" s="132"/>
      <c r="G121" s="132"/>
      <c r="H121" s="132"/>
      <c r="I121" s="132"/>
      <c r="J121" s="132"/>
      <c r="K121" s="132"/>
      <c r="L121" s="132"/>
      <c r="M121" s="6"/>
      <c r="N121" s="132"/>
      <c r="O121" s="132"/>
      <c r="P121" s="132"/>
      <c r="Q121" s="132"/>
      <c r="R121" s="132"/>
      <c r="S121" s="132"/>
      <c r="T121" s="132"/>
      <c r="U121" s="132"/>
      <c r="V121" s="132"/>
      <c r="Z121" s="132"/>
      <c r="AA121" s="132"/>
      <c r="AB121" s="132"/>
      <c r="AC121" s="132"/>
      <c r="AD121" s="132"/>
      <c r="AE121" s="132"/>
      <c r="AF121" s="132"/>
      <c r="AG121" s="132"/>
    </row>
    <row r="122" spans="1:39" s="22" customFormat="1" x14ac:dyDescent="0.3">
      <c r="A122" s="220"/>
      <c r="B122" s="220"/>
      <c r="C122" s="132"/>
      <c r="D122" s="132"/>
      <c r="G122" s="132"/>
      <c r="H122" s="132"/>
      <c r="I122" s="132"/>
      <c r="J122" s="132"/>
      <c r="K122" s="132"/>
      <c r="L122" s="132"/>
      <c r="M122" s="6"/>
      <c r="N122" s="132"/>
      <c r="O122" s="132"/>
      <c r="P122" s="132"/>
      <c r="Q122" s="132"/>
      <c r="R122" s="132"/>
      <c r="S122" s="132"/>
      <c r="T122" s="132"/>
      <c r="U122" s="132"/>
      <c r="V122" s="132"/>
      <c r="Z122" s="132"/>
      <c r="AA122" s="132"/>
      <c r="AB122" s="132"/>
      <c r="AC122" s="132"/>
      <c r="AD122" s="132"/>
      <c r="AE122" s="132"/>
      <c r="AF122" s="132"/>
      <c r="AG122" s="132"/>
    </row>
    <row r="123" spans="1:39" s="22" customFormat="1" x14ac:dyDescent="0.3">
      <c r="A123" s="220"/>
      <c r="B123" s="220"/>
      <c r="C123" s="132"/>
      <c r="D123" s="132"/>
      <c r="G123" s="132"/>
      <c r="H123" s="132"/>
      <c r="I123" s="132"/>
      <c r="J123" s="132"/>
      <c r="K123" s="132"/>
      <c r="L123" s="132"/>
      <c r="M123" s="6"/>
      <c r="N123" s="132"/>
      <c r="O123" s="132"/>
      <c r="P123" s="132"/>
      <c r="Q123" s="132"/>
      <c r="R123" s="132"/>
      <c r="S123" s="132"/>
      <c r="T123" s="132"/>
      <c r="U123" s="132"/>
      <c r="V123" s="132"/>
      <c r="Z123" s="132"/>
      <c r="AA123" s="132"/>
      <c r="AB123" s="132"/>
      <c r="AC123" s="132"/>
      <c r="AD123" s="132"/>
      <c r="AE123" s="132"/>
      <c r="AF123" s="132"/>
      <c r="AG123" s="132"/>
    </row>
    <row r="124" spans="1:39" s="22" customFormat="1" x14ac:dyDescent="0.3">
      <c r="A124" s="220"/>
      <c r="B124" s="220"/>
      <c r="C124" s="132"/>
      <c r="D124" s="132"/>
      <c r="G124" s="132"/>
      <c r="H124" s="132"/>
      <c r="I124" s="132"/>
      <c r="J124" s="132"/>
      <c r="K124" s="132"/>
      <c r="L124" s="132"/>
      <c r="M124" s="6"/>
      <c r="N124" s="132"/>
      <c r="O124" s="132"/>
      <c r="P124" s="132"/>
      <c r="Q124" s="132"/>
      <c r="R124" s="132"/>
      <c r="S124" s="132"/>
      <c r="T124" s="132"/>
      <c r="U124" s="132"/>
      <c r="V124" s="132"/>
      <c r="Z124" s="132"/>
      <c r="AA124" s="132"/>
      <c r="AB124" s="132"/>
      <c r="AC124" s="132"/>
      <c r="AD124" s="132"/>
      <c r="AE124" s="132"/>
      <c r="AF124" s="132"/>
      <c r="AG124" s="132"/>
    </row>
    <row r="125" spans="1:39" s="22" customFormat="1" x14ac:dyDescent="0.3">
      <c r="A125" s="220"/>
      <c r="B125" s="220"/>
      <c r="C125" s="132"/>
      <c r="D125" s="132"/>
      <c r="G125" s="132"/>
      <c r="H125" s="132"/>
      <c r="I125" s="132"/>
      <c r="J125" s="132"/>
      <c r="K125" s="132"/>
      <c r="L125" s="132"/>
      <c r="M125" s="6"/>
      <c r="N125" s="132"/>
      <c r="O125" s="132"/>
      <c r="P125" s="132"/>
      <c r="Q125" s="132"/>
      <c r="R125" s="132"/>
      <c r="S125" s="132"/>
      <c r="T125" s="132"/>
      <c r="U125" s="132"/>
      <c r="V125" s="132"/>
      <c r="Z125" s="132"/>
      <c r="AA125" s="132"/>
      <c r="AB125" s="132"/>
      <c r="AC125" s="132"/>
      <c r="AD125" s="132"/>
      <c r="AE125" s="132"/>
      <c r="AF125" s="132"/>
      <c r="AG125" s="132"/>
    </row>
    <row r="126" spans="1:39" s="22" customFormat="1" x14ac:dyDescent="0.3">
      <c r="A126" s="220"/>
      <c r="B126" s="220"/>
      <c r="C126" s="132"/>
      <c r="D126" s="132"/>
      <c r="G126" s="132"/>
      <c r="H126" s="132"/>
      <c r="I126" s="132"/>
      <c r="J126" s="132"/>
      <c r="K126" s="132"/>
      <c r="L126" s="132"/>
      <c r="M126" s="6"/>
      <c r="N126" s="132"/>
      <c r="O126" s="132"/>
      <c r="P126" s="132"/>
      <c r="Q126" s="132"/>
      <c r="R126" s="132"/>
      <c r="S126" s="132"/>
      <c r="T126" s="132"/>
      <c r="U126" s="132"/>
      <c r="V126" s="132"/>
      <c r="Z126" s="132"/>
      <c r="AA126" s="132"/>
      <c r="AB126" s="132"/>
      <c r="AC126" s="132"/>
      <c r="AD126" s="132"/>
      <c r="AE126" s="132"/>
      <c r="AF126" s="132"/>
      <c r="AG126" s="132"/>
    </row>
    <row r="127" spans="1:39" s="22" customFormat="1" x14ac:dyDescent="0.3">
      <c r="A127" s="220"/>
      <c r="B127" s="220"/>
      <c r="C127" s="132"/>
      <c r="D127" s="132"/>
      <c r="G127" s="132"/>
      <c r="H127" s="132"/>
      <c r="I127" s="132"/>
      <c r="J127" s="132"/>
      <c r="K127" s="132"/>
      <c r="L127" s="132"/>
      <c r="M127" s="6"/>
      <c r="N127" s="132"/>
      <c r="O127" s="132"/>
      <c r="P127" s="132"/>
      <c r="Q127" s="132"/>
      <c r="R127" s="132"/>
      <c r="S127" s="132"/>
      <c r="T127" s="132"/>
      <c r="U127" s="132"/>
      <c r="V127" s="132"/>
      <c r="Z127" s="132"/>
      <c r="AA127" s="132"/>
      <c r="AB127" s="132"/>
      <c r="AC127" s="132"/>
      <c r="AD127" s="132"/>
      <c r="AE127" s="132"/>
      <c r="AF127" s="132"/>
      <c r="AG127" s="132"/>
    </row>
    <row r="128" spans="1:39" s="22" customFormat="1" x14ac:dyDescent="0.3">
      <c r="A128" s="220"/>
      <c r="B128" s="220"/>
      <c r="C128" s="132"/>
      <c r="D128" s="132"/>
      <c r="G128" s="132"/>
      <c r="H128" s="132"/>
      <c r="I128" s="132"/>
      <c r="J128" s="132"/>
      <c r="K128" s="132"/>
      <c r="L128" s="132"/>
      <c r="M128" s="6"/>
      <c r="N128" s="132"/>
      <c r="O128" s="132"/>
      <c r="P128" s="132"/>
      <c r="Q128" s="132"/>
      <c r="R128" s="132"/>
      <c r="S128" s="132"/>
      <c r="T128" s="132"/>
      <c r="U128" s="132"/>
      <c r="V128" s="132"/>
      <c r="Z128" s="132"/>
      <c r="AA128" s="132"/>
      <c r="AB128" s="132"/>
      <c r="AC128" s="132"/>
      <c r="AD128" s="132"/>
      <c r="AE128" s="132"/>
      <c r="AF128" s="132"/>
      <c r="AG128" s="132"/>
    </row>
    <row r="129" spans="1:33" s="22" customFormat="1" x14ac:dyDescent="0.3">
      <c r="A129" s="220"/>
      <c r="B129" s="220"/>
      <c r="C129" s="132"/>
      <c r="D129" s="132"/>
      <c r="G129" s="132"/>
      <c r="H129" s="132"/>
      <c r="I129" s="132"/>
      <c r="J129" s="132"/>
      <c r="K129" s="132"/>
      <c r="L129" s="132"/>
      <c r="M129" s="6"/>
      <c r="N129" s="132"/>
      <c r="O129" s="132"/>
      <c r="P129" s="132"/>
      <c r="Q129" s="132"/>
      <c r="R129" s="132"/>
      <c r="S129" s="132"/>
      <c r="T129" s="132"/>
      <c r="U129" s="132"/>
      <c r="V129" s="132"/>
      <c r="Z129" s="132"/>
      <c r="AA129" s="132"/>
      <c r="AB129" s="132"/>
      <c r="AC129" s="132"/>
      <c r="AD129" s="132"/>
      <c r="AE129" s="132"/>
      <c r="AF129" s="132"/>
      <c r="AG129" s="132"/>
    </row>
    <row r="130" spans="1:33" s="22" customFormat="1" x14ac:dyDescent="0.3">
      <c r="A130" s="220"/>
      <c r="B130" s="220"/>
      <c r="C130" s="132"/>
      <c r="D130" s="132"/>
      <c r="G130" s="132"/>
      <c r="H130" s="132"/>
      <c r="I130" s="132"/>
      <c r="J130" s="132"/>
      <c r="K130" s="132"/>
      <c r="L130" s="132"/>
      <c r="M130" s="6"/>
      <c r="N130" s="132"/>
      <c r="O130" s="132"/>
      <c r="P130" s="132"/>
      <c r="Q130" s="132"/>
      <c r="R130" s="132"/>
      <c r="S130" s="132"/>
      <c r="T130" s="132"/>
      <c r="U130" s="132"/>
      <c r="V130" s="132"/>
      <c r="Z130" s="132"/>
      <c r="AA130" s="132"/>
      <c r="AB130" s="132"/>
      <c r="AC130" s="132"/>
      <c r="AD130" s="132"/>
      <c r="AE130" s="132"/>
      <c r="AF130" s="132"/>
      <c r="AG130" s="132"/>
    </row>
    <row r="131" spans="1:33" s="22" customFormat="1" x14ac:dyDescent="0.3">
      <c r="A131" s="220"/>
      <c r="B131" s="220"/>
      <c r="C131" s="132"/>
      <c r="D131" s="132"/>
      <c r="G131" s="132"/>
      <c r="H131" s="132"/>
      <c r="I131" s="132"/>
      <c r="J131" s="132"/>
      <c r="K131" s="132"/>
      <c r="L131" s="132"/>
      <c r="M131" s="6"/>
      <c r="N131" s="132"/>
      <c r="O131" s="132"/>
      <c r="P131" s="132"/>
      <c r="Q131" s="132"/>
      <c r="R131" s="132"/>
      <c r="S131" s="132"/>
      <c r="T131" s="132"/>
      <c r="U131" s="132"/>
      <c r="V131" s="132"/>
      <c r="Z131" s="132"/>
      <c r="AA131" s="132"/>
      <c r="AB131" s="132"/>
      <c r="AC131" s="132"/>
      <c r="AD131" s="132"/>
      <c r="AE131" s="132"/>
      <c r="AF131" s="132"/>
      <c r="AG131" s="132"/>
    </row>
    <row r="132" spans="1:33" s="22" customFormat="1" x14ac:dyDescent="0.3">
      <c r="A132" s="220"/>
      <c r="B132" s="220"/>
      <c r="C132" s="132"/>
      <c r="D132" s="132"/>
      <c r="G132" s="132"/>
      <c r="H132" s="132"/>
      <c r="I132" s="132"/>
      <c r="J132" s="132"/>
      <c r="K132" s="132"/>
      <c r="L132" s="132"/>
      <c r="M132" s="6"/>
      <c r="N132" s="132"/>
      <c r="O132" s="132"/>
      <c r="P132" s="132"/>
      <c r="Q132" s="132"/>
      <c r="R132" s="132"/>
      <c r="S132" s="132"/>
      <c r="T132" s="132"/>
      <c r="U132" s="132"/>
      <c r="V132" s="132"/>
      <c r="Z132" s="132"/>
      <c r="AA132" s="132"/>
      <c r="AB132" s="132"/>
      <c r="AC132" s="132"/>
      <c r="AD132" s="132"/>
      <c r="AE132" s="132"/>
      <c r="AF132" s="132"/>
      <c r="AG132" s="132"/>
    </row>
    <row r="133" spans="1:33" s="22" customFormat="1" x14ac:dyDescent="0.3">
      <c r="A133" s="220"/>
      <c r="B133" s="220"/>
      <c r="C133" s="132"/>
      <c r="D133" s="132"/>
      <c r="G133" s="132"/>
      <c r="H133" s="132"/>
      <c r="I133" s="132"/>
      <c r="J133" s="132"/>
      <c r="K133" s="132"/>
      <c r="L133" s="132"/>
      <c r="M133" s="6"/>
      <c r="N133" s="132"/>
      <c r="O133" s="132"/>
      <c r="P133" s="132"/>
      <c r="Q133" s="132"/>
      <c r="R133" s="132"/>
      <c r="S133" s="132"/>
      <c r="T133" s="132"/>
      <c r="U133" s="132"/>
      <c r="V133" s="132"/>
      <c r="Z133" s="132"/>
      <c r="AA133" s="132"/>
      <c r="AB133" s="132"/>
      <c r="AC133" s="132"/>
      <c r="AD133" s="132"/>
      <c r="AE133" s="132"/>
      <c r="AF133" s="132"/>
      <c r="AG133" s="132"/>
    </row>
    <row r="134" spans="1:33" s="22" customFormat="1" x14ac:dyDescent="0.3">
      <c r="A134" s="220"/>
      <c r="B134" s="220"/>
      <c r="C134" s="132"/>
      <c r="D134" s="132"/>
      <c r="G134" s="132"/>
      <c r="H134" s="132"/>
      <c r="I134" s="132"/>
      <c r="J134" s="132"/>
      <c r="K134" s="132"/>
      <c r="L134" s="132"/>
      <c r="M134" s="6"/>
      <c r="N134" s="132"/>
      <c r="O134" s="132"/>
      <c r="P134" s="132"/>
      <c r="Q134" s="132"/>
      <c r="R134" s="132"/>
      <c r="S134" s="132"/>
      <c r="T134" s="132"/>
      <c r="U134" s="132"/>
      <c r="V134" s="132"/>
      <c r="Z134" s="132"/>
      <c r="AA134" s="132"/>
      <c r="AB134" s="132"/>
      <c r="AC134" s="132"/>
      <c r="AD134" s="132"/>
      <c r="AE134" s="132"/>
      <c r="AF134" s="132"/>
      <c r="AG134" s="132"/>
    </row>
    <row r="135" spans="1:33" s="22" customFormat="1" x14ac:dyDescent="0.3">
      <c r="A135" s="220"/>
      <c r="B135" s="220"/>
      <c r="C135" s="132"/>
      <c r="D135" s="132"/>
      <c r="G135" s="132"/>
      <c r="H135" s="132"/>
      <c r="I135" s="132"/>
      <c r="J135" s="132"/>
      <c r="K135" s="132"/>
      <c r="L135" s="132"/>
      <c r="M135" s="6"/>
      <c r="N135" s="132"/>
      <c r="O135" s="132"/>
      <c r="P135" s="132"/>
      <c r="Q135" s="132"/>
      <c r="R135" s="132"/>
      <c r="S135" s="132"/>
      <c r="T135" s="132"/>
      <c r="U135" s="132"/>
      <c r="V135" s="132"/>
      <c r="Z135" s="132"/>
      <c r="AA135" s="132"/>
      <c r="AB135" s="132"/>
      <c r="AC135" s="132"/>
      <c r="AD135" s="132"/>
      <c r="AE135" s="132"/>
      <c r="AF135" s="132"/>
      <c r="AG135" s="132"/>
    </row>
    <row r="136" spans="1:33" s="22" customFormat="1" x14ac:dyDescent="0.3">
      <c r="A136" s="220"/>
      <c r="B136" s="220"/>
      <c r="C136" s="132"/>
      <c r="D136" s="132"/>
      <c r="G136" s="132"/>
      <c r="H136" s="132"/>
      <c r="I136" s="132"/>
      <c r="J136" s="132"/>
      <c r="K136" s="132"/>
      <c r="L136" s="132"/>
      <c r="M136" s="6"/>
      <c r="N136" s="132"/>
      <c r="O136" s="132"/>
      <c r="P136" s="132"/>
      <c r="Q136" s="132"/>
      <c r="R136" s="132"/>
      <c r="S136" s="132"/>
      <c r="T136" s="132"/>
      <c r="U136" s="132"/>
      <c r="V136" s="132"/>
      <c r="Z136" s="132"/>
      <c r="AA136" s="132"/>
      <c r="AB136" s="132"/>
      <c r="AC136" s="132"/>
      <c r="AD136" s="132"/>
      <c r="AE136" s="132"/>
      <c r="AF136" s="132"/>
      <c r="AG136" s="132"/>
    </row>
    <row r="137" spans="1:33" s="22" customFormat="1" x14ac:dyDescent="0.3">
      <c r="A137" s="220"/>
      <c r="B137" s="220"/>
      <c r="C137" s="132"/>
      <c r="D137" s="132"/>
      <c r="G137" s="132"/>
      <c r="H137" s="132"/>
      <c r="I137" s="132"/>
      <c r="J137" s="132"/>
      <c r="K137" s="132"/>
      <c r="L137" s="132"/>
      <c r="M137" s="6"/>
      <c r="N137" s="132"/>
      <c r="O137" s="132"/>
      <c r="P137" s="132"/>
      <c r="Q137" s="132"/>
      <c r="R137" s="132"/>
      <c r="S137" s="132"/>
      <c r="T137" s="132"/>
      <c r="U137" s="132"/>
      <c r="V137" s="132"/>
      <c r="Z137" s="132"/>
      <c r="AA137" s="132"/>
      <c r="AB137" s="132"/>
      <c r="AC137" s="132"/>
      <c r="AD137" s="132"/>
      <c r="AE137" s="132"/>
      <c r="AF137" s="132"/>
      <c r="AG137" s="132"/>
    </row>
    <row r="138" spans="1:33" s="22" customFormat="1" x14ac:dyDescent="0.3">
      <c r="A138" s="220"/>
      <c r="B138" s="220"/>
      <c r="C138" s="132"/>
      <c r="D138" s="132"/>
      <c r="G138" s="132"/>
      <c r="H138" s="132"/>
      <c r="I138" s="132"/>
      <c r="J138" s="132"/>
      <c r="K138" s="132"/>
      <c r="L138" s="132"/>
      <c r="M138" s="6"/>
      <c r="N138" s="132"/>
      <c r="O138" s="132"/>
      <c r="P138" s="132"/>
      <c r="Q138" s="132"/>
      <c r="R138" s="132"/>
      <c r="S138" s="132"/>
      <c r="T138" s="132"/>
      <c r="U138" s="132"/>
      <c r="V138" s="132"/>
      <c r="Z138" s="132"/>
      <c r="AA138" s="132"/>
      <c r="AB138" s="132"/>
      <c r="AC138" s="132"/>
      <c r="AD138" s="132"/>
      <c r="AE138" s="132"/>
      <c r="AF138" s="132"/>
      <c r="AG138" s="132"/>
    </row>
    <row r="139" spans="1:33" s="22" customFormat="1" x14ac:dyDescent="0.3">
      <c r="A139" s="220"/>
      <c r="B139" s="220"/>
      <c r="C139" s="132"/>
      <c r="D139" s="132"/>
      <c r="G139" s="132"/>
      <c r="H139" s="132"/>
      <c r="I139" s="132"/>
      <c r="J139" s="132"/>
      <c r="K139" s="132"/>
      <c r="L139" s="132"/>
      <c r="M139" s="6"/>
      <c r="N139" s="132"/>
      <c r="O139" s="132"/>
      <c r="P139" s="132"/>
      <c r="Q139" s="132"/>
      <c r="R139" s="132"/>
      <c r="S139" s="132"/>
      <c r="T139" s="132"/>
      <c r="U139" s="132"/>
      <c r="V139" s="132"/>
      <c r="Z139" s="132"/>
      <c r="AA139" s="132"/>
      <c r="AB139" s="132"/>
      <c r="AC139" s="132"/>
      <c r="AD139" s="132"/>
      <c r="AE139" s="132"/>
      <c r="AF139" s="132"/>
      <c r="AG139" s="132"/>
    </row>
    <row r="140" spans="1:33" s="22" customFormat="1" x14ac:dyDescent="0.3">
      <c r="A140" s="220"/>
      <c r="B140" s="220"/>
      <c r="C140" s="132"/>
      <c r="D140" s="132"/>
      <c r="G140" s="132"/>
      <c r="H140" s="132"/>
      <c r="I140" s="132"/>
      <c r="J140" s="132"/>
      <c r="K140" s="132"/>
      <c r="L140" s="132"/>
      <c r="M140" s="6"/>
      <c r="N140" s="132"/>
      <c r="O140" s="132"/>
      <c r="P140" s="132"/>
      <c r="Q140" s="132"/>
      <c r="R140" s="132"/>
      <c r="S140" s="132"/>
      <c r="T140" s="132"/>
      <c r="U140" s="132"/>
      <c r="V140" s="132"/>
      <c r="Z140" s="132"/>
      <c r="AA140" s="132"/>
      <c r="AB140" s="132"/>
      <c r="AC140" s="132"/>
      <c r="AD140" s="132"/>
      <c r="AE140" s="132"/>
      <c r="AF140" s="132"/>
      <c r="AG140" s="132"/>
    </row>
    <row r="141" spans="1:33" s="22" customFormat="1" x14ac:dyDescent="0.3">
      <c r="D141" s="132"/>
      <c r="G141" s="132"/>
      <c r="H141" s="132"/>
      <c r="I141" s="132"/>
      <c r="J141" s="132"/>
      <c r="K141" s="132"/>
      <c r="L141" s="132"/>
      <c r="M141" s="6"/>
      <c r="N141" s="132"/>
      <c r="O141" s="132"/>
      <c r="P141" s="132"/>
      <c r="Q141" s="132"/>
      <c r="R141" s="132"/>
      <c r="S141" s="132"/>
      <c r="T141" s="132"/>
      <c r="U141" s="132"/>
      <c r="V141" s="132"/>
      <c r="Z141" s="132"/>
      <c r="AA141" s="132"/>
      <c r="AB141" s="132"/>
      <c r="AC141" s="132"/>
      <c r="AD141" s="132"/>
      <c r="AE141" s="132"/>
      <c r="AF141" s="132"/>
      <c r="AG141" s="132"/>
    </row>
    <row r="142" spans="1:33" s="22" customFormat="1" x14ac:dyDescent="0.3">
      <c r="D142" s="132"/>
      <c r="G142" s="132"/>
      <c r="H142" s="132"/>
      <c r="I142" s="132"/>
      <c r="J142" s="132"/>
      <c r="K142" s="132"/>
      <c r="L142" s="132"/>
      <c r="M142" s="6"/>
      <c r="N142" s="132"/>
      <c r="O142" s="132"/>
      <c r="P142" s="132"/>
      <c r="Q142" s="132"/>
      <c r="R142" s="132"/>
      <c r="S142" s="132"/>
      <c r="T142" s="132"/>
      <c r="U142" s="132"/>
      <c r="V142" s="132"/>
      <c r="Z142" s="132"/>
      <c r="AA142" s="132"/>
      <c r="AB142" s="132"/>
      <c r="AC142" s="132"/>
      <c r="AD142" s="132"/>
      <c r="AE142" s="132"/>
      <c r="AF142" s="132"/>
      <c r="AG142" s="132"/>
    </row>
    <row r="143" spans="1:33" s="22" customFormat="1" x14ac:dyDescent="0.3">
      <c r="D143" s="132"/>
      <c r="G143" s="132"/>
      <c r="H143" s="132"/>
      <c r="I143" s="132"/>
      <c r="J143" s="132"/>
      <c r="K143" s="132"/>
      <c r="L143" s="132"/>
      <c r="M143" s="6"/>
      <c r="N143" s="132"/>
      <c r="O143" s="132"/>
      <c r="P143" s="132"/>
      <c r="Q143" s="132"/>
      <c r="R143" s="132"/>
      <c r="S143" s="132"/>
      <c r="T143" s="132"/>
      <c r="U143" s="132"/>
      <c r="V143" s="132"/>
      <c r="Z143" s="132"/>
      <c r="AA143" s="132"/>
      <c r="AB143" s="132"/>
      <c r="AC143" s="132"/>
      <c r="AD143" s="132"/>
      <c r="AE143" s="132"/>
      <c r="AF143" s="132"/>
      <c r="AG143" s="132"/>
    </row>
    <row r="144" spans="1:33" s="22" customFormat="1" x14ac:dyDescent="0.3">
      <c r="D144" s="132"/>
      <c r="G144" s="132"/>
      <c r="H144" s="132"/>
      <c r="I144" s="132"/>
      <c r="J144" s="132"/>
      <c r="K144" s="132"/>
      <c r="L144" s="132"/>
      <c r="M144" s="6"/>
      <c r="N144" s="132"/>
      <c r="O144" s="132"/>
      <c r="P144" s="132"/>
      <c r="Q144" s="132"/>
      <c r="R144" s="132"/>
      <c r="S144" s="132"/>
      <c r="T144" s="132"/>
      <c r="U144" s="132"/>
      <c r="V144" s="132"/>
      <c r="Z144" s="132"/>
      <c r="AA144" s="132"/>
      <c r="AB144" s="132"/>
      <c r="AC144" s="132"/>
      <c r="AD144" s="132"/>
      <c r="AE144" s="132"/>
      <c r="AF144" s="132"/>
      <c r="AG144" s="132"/>
    </row>
    <row r="145" spans="3:33" s="22" customFormat="1" x14ac:dyDescent="0.3">
      <c r="D145" s="132"/>
      <c r="G145" s="132"/>
      <c r="H145" s="132"/>
      <c r="I145" s="132"/>
      <c r="J145" s="132"/>
      <c r="K145" s="132"/>
      <c r="L145" s="132"/>
      <c r="M145" s="6"/>
      <c r="N145" s="132"/>
      <c r="O145" s="132"/>
      <c r="P145" s="132"/>
      <c r="Q145" s="132"/>
      <c r="R145" s="132"/>
      <c r="S145" s="132"/>
      <c r="T145" s="132"/>
      <c r="U145" s="132"/>
      <c r="V145" s="132"/>
      <c r="Z145" s="132"/>
      <c r="AA145" s="132"/>
      <c r="AB145" s="132"/>
      <c r="AC145" s="132"/>
      <c r="AD145" s="132"/>
      <c r="AE145" s="132"/>
      <c r="AF145" s="132"/>
      <c r="AG145" s="132"/>
    </row>
    <row r="146" spans="3:33" s="22" customFormat="1" x14ac:dyDescent="0.3">
      <c r="D146" s="132"/>
      <c r="G146" s="132"/>
      <c r="H146" s="132"/>
      <c r="I146" s="132"/>
      <c r="J146" s="132"/>
      <c r="K146" s="132"/>
      <c r="L146" s="132"/>
      <c r="M146" s="6"/>
      <c r="N146" s="132"/>
      <c r="O146" s="132"/>
      <c r="P146" s="132"/>
      <c r="Q146" s="132"/>
      <c r="R146" s="132"/>
      <c r="S146" s="132"/>
      <c r="T146" s="132"/>
      <c r="U146" s="132"/>
      <c r="V146" s="132"/>
      <c r="Z146" s="132"/>
      <c r="AA146" s="132"/>
      <c r="AB146" s="132"/>
      <c r="AC146" s="132"/>
      <c r="AD146" s="132"/>
      <c r="AE146" s="132"/>
      <c r="AF146" s="132"/>
      <c r="AG146" s="132"/>
    </row>
    <row r="147" spans="3:33" s="22" customFormat="1" x14ac:dyDescent="0.3">
      <c r="D147" s="132"/>
      <c r="G147" s="132"/>
      <c r="H147" s="132"/>
      <c r="I147" s="132"/>
      <c r="J147" s="132"/>
      <c r="K147" s="132"/>
      <c r="L147" s="132"/>
      <c r="M147" s="6"/>
      <c r="N147" s="132"/>
      <c r="O147" s="132"/>
      <c r="P147" s="132"/>
      <c r="Q147" s="132"/>
      <c r="R147" s="132"/>
      <c r="S147" s="132"/>
      <c r="T147" s="132"/>
      <c r="U147" s="132"/>
      <c r="V147" s="132"/>
      <c r="Z147" s="132"/>
      <c r="AA147" s="132"/>
      <c r="AB147" s="132"/>
      <c r="AC147" s="132"/>
      <c r="AD147" s="132"/>
      <c r="AE147" s="132"/>
      <c r="AF147" s="132"/>
      <c r="AG147" s="132"/>
    </row>
    <row r="148" spans="3:33" s="22" customFormat="1" x14ac:dyDescent="0.3">
      <c r="D148" s="132"/>
      <c r="G148" s="132"/>
      <c r="H148" s="132"/>
      <c r="I148" s="132"/>
      <c r="J148" s="132"/>
      <c r="K148" s="132"/>
      <c r="L148" s="132"/>
      <c r="M148" s="6"/>
      <c r="N148" s="132"/>
      <c r="O148" s="132"/>
      <c r="P148" s="132"/>
      <c r="Q148" s="132"/>
      <c r="R148" s="132"/>
      <c r="S148" s="132"/>
      <c r="T148" s="132"/>
      <c r="U148" s="132"/>
      <c r="V148" s="132"/>
      <c r="Z148" s="132"/>
      <c r="AA148" s="132"/>
      <c r="AB148" s="132"/>
      <c r="AC148" s="132"/>
      <c r="AD148" s="132"/>
      <c r="AE148" s="132"/>
      <c r="AF148" s="132"/>
      <c r="AG148" s="132"/>
    </row>
    <row r="149" spans="3:33" s="22" customFormat="1" x14ac:dyDescent="0.3">
      <c r="D149" s="132"/>
      <c r="G149" s="132"/>
      <c r="H149" s="132"/>
      <c r="I149" s="132"/>
      <c r="J149" s="132"/>
      <c r="K149" s="132"/>
      <c r="L149" s="132"/>
      <c r="M149" s="6"/>
      <c r="N149" s="132"/>
      <c r="O149" s="132"/>
      <c r="P149" s="132"/>
      <c r="Q149" s="132"/>
      <c r="R149" s="132"/>
      <c r="S149" s="132"/>
      <c r="T149" s="132"/>
      <c r="U149" s="132"/>
      <c r="V149" s="132"/>
      <c r="Z149" s="132"/>
      <c r="AA149" s="132"/>
      <c r="AB149" s="132"/>
      <c r="AC149" s="132"/>
      <c r="AD149" s="132"/>
      <c r="AE149" s="132"/>
      <c r="AF149" s="132"/>
      <c r="AG149" s="132"/>
    </row>
    <row r="150" spans="3:33" s="22" customFormat="1" x14ac:dyDescent="0.3">
      <c r="D150" s="132"/>
      <c r="G150" s="132"/>
      <c r="H150" s="132"/>
      <c r="I150" s="132"/>
      <c r="J150" s="132"/>
      <c r="K150" s="132"/>
      <c r="L150" s="132"/>
      <c r="M150" s="6"/>
      <c r="N150" s="132"/>
      <c r="O150" s="132"/>
      <c r="P150" s="132"/>
      <c r="Q150" s="132"/>
      <c r="R150" s="132"/>
      <c r="S150" s="132"/>
      <c r="T150" s="132"/>
      <c r="U150" s="132"/>
      <c r="V150" s="132"/>
      <c r="Z150" s="132"/>
      <c r="AA150" s="132"/>
      <c r="AB150" s="132"/>
      <c r="AC150" s="132"/>
      <c r="AD150" s="132"/>
      <c r="AE150" s="132"/>
      <c r="AF150" s="132"/>
      <c r="AG150" s="132"/>
    </row>
    <row r="151" spans="3:33" s="22" customFormat="1" x14ac:dyDescent="0.3">
      <c r="D151" s="132"/>
      <c r="G151" s="132"/>
      <c r="H151" s="132"/>
      <c r="I151" s="132"/>
      <c r="J151" s="132"/>
      <c r="K151" s="132"/>
      <c r="L151" s="132"/>
      <c r="M151" s="6"/>
      <c r="N151" s="132"/>
      <c r="O151" s="132"/>
      <c r="P151" s="132"/>
      <c r="Q151" s="132"/>
      <c r="R151" s="132"/>
      <c r="S151" s="132"/>
      <c r="T151" s="132"/>
      <c r="U151" s="132"/>
      <c r="V151" s="132"/>
      <c r="Z151" s="132"/>
      <c r="AA151" s="132"/>
      <c r="AB151" s="132"/>
      <c r="AC151" s="132"/>
      <c r="AD151" s="132"/>
      <c r="AE151" s="132"/>
      <c r="AF151" s="132"/>
      <c r="AG151" s="132"/>
    </row>
    <row r="152" spans="3:33" s="22" customFormat="1" x14ac:dyDescent="0.3">
      <c r="D152" s="132"/>
      <c r="G152" s="132"/>
      <c r="H152" s="132"/>
      <c r="I152" s="132"/>
      <c r="J152" s="132"/>
      <c r="K152" s="132"/>
      <c r="L152" s="132"/>
      <c r="M152" s="6"/>
      <c r="N152" s="132"/>
      <c r="O152" s="132"/>
      <c r="P152" s="132"/>
      <c r="Q152" s="132"/>
      <c r="R152" s="132"/>
      <c r="S152" s="132"/>
      <c r="T152" s="132"/>
      <c r="U152" s="132"/>
      <c r="V152" s="132"/>
      <c r="Z152" s="132"/>
      <c r="AA152" s="132"/>
      <c r="AB152" s="132"/>
      <c r="AC152" s="132"/>
      <c r="AD152" s="132"/>
      <c r="AE152" s="132"/>
      <c r="AF152" s="132"/>
      <c r="AG152" s="132"/>
    </row>
    <row r="153" spans="3:33" s="22" customFormat="1" x14ac:dyDescent="0.3">
      <c r="D153" s="132"/>
      <c r="G153" s="132"/>
      <c r="H153" s="132"/>
      <c r="I153" s="132"/>
      <c r="J153" s="132"/>
      <c r="K153" s="132"/>
      <c r="L153" s="132"/>
      <c r="M153" s="6"/>
      <c r="N153" s="132"/>
      <c r="O153" s="132"/>
      <c r="P153" s="132"/>
      <c r="Q153" s="132"/>
      <c r="R153" s="132"/>
      <c r="S153" s="132"/>
      <c r="T153" s="132"/>
      <c r="U153" s="132"/>
      <c r="V153" s="132"/>
      <c r="Z153" s="132"/>
      <c r="AA153" s="132"/>
      <c r="AB153" s="132"/>
      <c r="AC153" s="132"/>
      <c r="AD153" s="132"/>
      <c r="AE153" s="132"/>
      <c r="AF153" s="132"/>
      <c r="AG153" s="132"/>
    </row>
    <row r="154" spans="3:33" s="22" customFormat="1" x14ac:dyDescent="0.3">
      <c r="D154" s="132"/>
      <c r="G154" s="132"/>
      <c r="H154" s="132"/>
      <c r="I154" s="132"/>
      <c r="J154" s="132"/>
      <c r="K154" s="132"/>
      <c r="L154" s="132"/>
      <c r="M154" s="6"/>
      <c r="N154" s="132"/>
      <c r="O154" s="132"/>
      <c r="P154" s="132"/>
      <c r="Q154" s="132"/>
      <c r="R154" s="132"/>
      <c r="S154" s="132"/>
      <c r="T154" s="132"/>
      <c r="U154" s="132"/>
      <c r="V154" s="132"/>
      <c r="Z154" s="132"/>
      <c r="AA154" s="132"/>
      <c r="AB154" s="132"/>
      <c r="AC154" s="132"/>
      <c r="AD154" s="132"/>
      <c r="AE154" s="132"/>
      <c r="AF154" s="132"/>
      <c r="AG154" s="132"/>
    </row>
    <row r="155" spans="3:33" s="22" customFormat="1" x14ac:dyDescent="0.3">
      <c r="D155" s="132"/>
      <c r="G155" s="132"/>
      <c r="H155" s="132"/>
      <c r="I155" s="132"/>
      <c r="J155" s="132"/>
      <c r="K155" s="132"/>
      <c r="L155" s="132"/>
      <c r="M155" s="6"/>
      <c r="N155" s="132"/>
      <c r="O155" s="132"/>
      <c r="P155" s="132"/>
      <c r="Q155" s="132"/>
      <c r="R155" s="132"/>
      <c r="S155" s="132"/>
      <c r="T155" s="132"/>
      <c r="U155" s="132"/>
      <c r="V155" s="132"/>
      <c r="Z155" s="132"/>
      <c r="AA155" s="132"/>
      <c r="AB155" s="132"/>
      <c r="AC155" s="132"/>
      <c r="AD155" s="132"/>
      <c r="AE155" s="132"/>
      <c r="AF155" s="132"/>
      <c r="AG155" s="132"/>
    </row>
    <row r="156" spans="3:33" s="22" customFormat="1" x14ac:dyDescent="0.3">
      <c r="D156" s="132"/>
      <c r="G156" s="132"/>
      <c r="H156" s="132"/>
      <c r="I156" s="132"/>
      <c r="J156" s="132"/>
      <c r="K156" s="132"/>
      <c r="L156" s="132"/>
      <c r="M156" s="6"/>
      <c r="N156" s="132"/>
      <c r="O156" s="132"/>
      <c r="P156" s="132"/>
      <c r="Q156" s="132"/>
      <c r="R156" s="132"/>
      <c r="S156" s="132"/>
      <c r="T156" s="132"/>
      <c r="U156" s="132"/>
      <c r="V156" s="132"/>
      <c r="Z156" s="132"/>
      <c r="AA156" s="132"/>
      <c r="AB156" s="132"/>
      <c r="AC156" s="132"/>
      <c r="AD156" s="132"/>
      <c r="AE156" s="132"/>
      <c r="AF156" s="132"/>
      <c r="AG156" s="132"/>
    </row>
    <row r="157" spans="3:33" s="22" customFormat="1" x14ac:dyDescent="0.3">
      <c r="D157" s="132"/>
      <c r="G157" s="132"/>
      <c r="H157" s="132"/>
      <c r="I157" s="132"/>
      <c r="J157" s="132"/>
      <c r="K157" s="132"/>
      <c r="L157" s="132"/>
      <c r="M157" s="6"/>
      <c r="N157" s="132"/>
      <c r="O157" s="132"/>
      <c r="P157" s="132"/>
      <c r="Q157" s="132"/>
      <c r="R157" s="132"/>
      <c r="S157" s="132"/>
      <c r="T157" s="132"/>
      <c r="U157" s="132"/>
      <c r="V157" s="132"/>
      <c r="Z157" s="132"/>
      <c r="AA157" s="132"/>
      <c r="AB157" s="132"/>
      <c r="AC157" s="132"/>
      <c r="AD157" s="132"/>
      <c r="AE157" s="132"/>
      <c r="AF157" s="132"/>
      <c r="AG157" s="132"/>
    </row>
    <row r="158" spans="3:33" s="22" customFormat="1" x14ac:dyDescent="0.3">
      <c r="D158" s="132"/>
      <c r="G158" s="132"/>
      <c r="H158" s="132"/>
      <c r="I158" s="132"/>
      <c r="J158" s="132"/>
      <c r="K158" s="132"/>
      <c r="L158" s="132"/>
      <c r="M158" s="6"/>
      <c r="N158" s="132"/>
      <c r="O158" s="132"/>
      <c r="P158" s="132"/>
      <c r="Q158" s="132"/>
      <c r="R158" s="132"/>
      <c r="S158" s="132"/>
      <c r="T158" s="132"/>
      <c r="U158" s="132"/>
      <c r="V158" s="132"/>
      <c r="Z158" s="132"/>
      <c r="AA158" s="132"/>
      <c r="AB158" s="132"/>
      <c r="AC158" s="132"/>
      <c r="AD158" s="132"/>
      <c r="AE158" s="132"/>
      <c r="AF158" s="132"/>
      <c r="AG158" s="132"/>
    </row>
    <row r="159" spans="3:33" s="22" customFormat="1" x14ac:dyDescent="0.3">
      <c r="D159" s="132"/>
      <c r="G159" s="132"/>
      <c r="H159" s="132"/>
      <c r="I159" s="132"/>
      <c r="J159" s="132"/>
      <c r="K159" s="132"/>
      <c r="L159" s="132"/>
      <c r="M159" s="6"/>
      <c r="N159" s="132"/>
      <c r="O159" s="132"/>
      <c r="P159" s="132"/>
      <c r="Q159" s="132"/>
      <c r="R159" s="132"/>
      <c r="S159" s="132"/>
      <c r="T159" s="132"/>
      <c r="U159" s="132"/>
      <c r="V159" s="132"/>
      <c r="Z159" s="132"/>
      <c r="AA159" s="132"/>
      <c r="AB159" s="132"/>
      <c r="AC159" s="132"/>
      <c r="AD159" s="132"/>
      <c r="AE159" s="132"/>
      <c r="AF159" s="132"/>
      <c r="AG159" s="132"/>
    </row>
    <row r="160" spans="3:33" x14ac:dyDescent="0.3">
      <c r="C160" s="6"/>
      <c r="D160" s="31"/>
    </row>
    <row r="161" spans="3:4" x14ac:dyDescent="0.3">
      <c r="C161" s="6"/>
      <c r="D161" s="31"/>
    </row>
    <row r="162" spans="3:4" x14ac:dyDescent="0.3">
      <c r="C162" s="6"/>
      <c r="D162" s="31"/>
    </row>
    <row r="163" spans="3:4" x14ac:dyDescent="0.3">
      <c r="C163" s="6"/>
      <c r="D163" s="31"/>
    </row>
    <row r="164" spans="3:4" x14ac:dyDescent="0.3">
      <c r="C164" s="6"/>
      <c r="D164" s="31"/>
    </row>
    <row r="165" spans="3:4" x14ac:dyDescent="0.3">
      <c r="C165" s="6"/>
      <c r="D165" s="31"/>
    </row>
    <row r="166" spans="3:4" x14ac:dyDescent="0.3">
      <c r="C166" s="6"/>
      <c r="D166" s="31"/>
    </row>
    <row r="167" spans="3:4" x14ac:dyDescent="0.3">
      <c r="C167" s="6"/>
      <c r="D167" s="31"/>
    </row>
    <row r="168" spans="3:4" x14ac:dyDescent="0.3">
      <c r="C168" s="6"/>
      <c r="D168" s="31"/>
    </row>
    <row r="169" spans="3:4" x14ac:dyDescent="0.3">
      <c r="C169" s="6"/>
      <c r="D169" s="31"/>
    </row>
    <row r="170" spans="3:4" x14ac:dyDescent="0.3">
      <c r="C170" s="6"/>
      <c r="D170" s="31"/>
    </row>
    <row r="171" spans="3:4" x14ac:dyDescent="0.3">
      <c r="C171" s="6"/>
      <c r="D171" s="31"/>
    </row>
    <row r="172" spans="3:4" x14ac:dyDescent="0.3">
      <c r="C172" s="6"/>
      <c r="D172" s="31"/>
    </row>
  </sheetData>
  <mergeCells count="3">
    <mergeCell ref="N2:R2"/>
    <mergeCell ref="T2:V2"/>
    <mergeCell ref="G2:L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workbookViewId="0">
      <selection activeCell="F8" sqref="F8"/>
    </sheetView>
  </sheetViews>
  <sheetFormatPr defaultColWidth="9.109375" defaultRowHeight="14.4" x14ac:dyDescent="0.3"/>
  <cols>
    <col min="1" max="1" width="12" style="31" bestFit="1" customWidth="1"/>
    <col min="2" max="2" width="10.109375" style="6" bestFit="1" customWidth="1"/>
    <col min="3" max="3" width="9.109375" style="31"/>
    <col min="4" max="4" width="18.44140625" style="31" bestFit="1" customWidth="1"/>
    <col min="5" max="5" width="32.109375" style="31" bestFit="1" customWidth="1"/>
    <col min="6" max="6" width="18.33203125" style="31" customWidth="1"/>
    <col min="7" max="7" width="30" style="31" bestFit="1" customWidth="1"/>
    <col min="8" max="8" width="25.6640625" style="30" bestFit="1" customWidth="1"/>
    <col min="9" max="9" width="47.44140625" style="6" bestFit="1" customWidth="1"/>
    <col min="10" max="10" width="13.5546875" style="6" customWidth="1"/>
    <col min="11" max="11" width="12.6640625" style="6" bestFit="1" customWidth="1"/>
    <col min="12" max="16384" width="9.109375" style="6"/>
  </cols>
  <sheetData>
    <row r="1" spans="1:8" x14ac:dyDescent="0.3">
      <c r="A1" s="82" t="s">
        <v>58</v>
      </c>
      <c r="B1" s="83">
        <f>Model_SKY!C29</f>
        <v>3.0000000000000001E-3</v>
      </c>
      <c r="D1" s="207"/>
      <c r="F1" s="206"/>
      <c r="G1" s="208"/>
    </row>
    <row r="2" spans="1:8" x14ac:dyDescent="0.3">
      <c r="B2" s="86"/>
      <c r="D2" s="206"/>
    </row>
    <row r="3" spans="1:8" x14ac:dyDescent="0.3">
      <c r="B3" s="84"/>
      <c r="D3" s="73"/>
    </row>
    <row r="4" spans="1:8" x14ac:dyDescent="0.3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96</v>
      </c>
      <c r="G4" s="31" t="s">
        <v>60</v>
      </c>
      <c r="H4" s="30" t="s">
        <v>69</v>
      </c>
    </row>
    <row r="5" spans="1:8" x14ac:dyDescent="0.3">
      <c r="A5" s="85">
        <v>44051</v>
      </c>
      <c r="B5" s="6">
        <v>0</v>
      </c>
      <c r="C5" s="31">
        <v>210</v>
      </c>
      <c r="D5" s="30">
        <v>13262280841.6812</v>
      </c>
      <c r="E5" s="31">
        <v>0</v>
      </c>
      <c r="G5" s="31">
        <f>E5</f>
        <v>0</v>
      </c>
      <c r="H5" s="30">
        <f>F84</f>
        <v>31704823791.377499</v>
      </c>
    </row>
    <row r="6" spans="1:8" x14ac:dyDescent="0.3">
      <c r="A6" s="85">
        <f>A5+B6-B5</f>
        <v>44056</v>
      </c>
      <c r="B6" s="6">
        <v>5</v>
      </c>
      <c r="C6" s="31">
        <f>C5+1</f>
        <v>211</v>
      </c>
      <c r="D6" s="30">
        <f>D5-E6</f>
        <v>13222493999.156157</v>
      </c>
      <c r="E6" s="30">
        <f>$B$1*D5</f>
        <v>39786842.525043599</v>
      </c>
      <c r="G6" s="30">
        <f>E6+SUM(E$5:E5)</f>
        <v>39786842.525043599</v>
      </c>
      <c r="H6" s="30">
        <f>H5</f>
        <v>31704823791.377499</v>
      </c>
    </row>
    <row r="7" spans="1:8" x14ac:dyDescent="0.3">
      <c r="A7" s="85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13182826517.158688</v>
      </c>
      <c r="E7" s="30">
        <f t="shared" ref="E7:E70" si="2">$B$1*D6</f>
        <v>39667481.997468472</v>
      </c>
      <c r="G7" s="30">
        <f>E7+SUM(E$5:E6)</f>
        <v>79454324.522512078</v>
      </c>
      <c r="H7" s="30">
        <f>H6</f>
        <v>31704823791.377499</v>
      </c>
    </row>
    <row r="8" spans="1:8" x14ac:dyDescent="0.3">
      <c r="A8" s="85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13143278037.607212</v>
      </c>
      <c r="E8" s="30">
        <f t="shared" si="2"/>
        <v>39548479.551476061</v>
      </c>
      <c r="F8" s="30">
        <f>E6</f>
        <v>39786842.525043599</v>
      </c>
      <c r="G8" s="30">
        <f>E8+SUM(E$5:E7)</f>
        <v>119002804.07398814</v>
      </c>
      <c r="H8" s="30">
        <f>H7+F8</f>
        <v>31744610633.902542</v>
      </c>
    </row>
    <row r="9" spans="1:8" x14ac:dyDescent="0.3">
      <c r="A9" s="85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13103848203.49439</v>
      </c>
      <c r="E9" s="30">
        <f t="shared" si="2"/>
        <v>39429834.112821639</v>
      </c>
      <c r="F9" s="30">
        <f t="shared" ref="F9:F72" si="5">E7</f>
        <v>39667481.997468472</v>
      </c>
      <c r="G9" s="30">
        <f>E9+SUM(E$5:E8)</f>
        <v>158432638.18680978</v>
      </c>
      <c r="H9" s="30">
        <f t="shared" ref="H9:H72" si="6">H8+F9</f>
        <v>31784278115.900009</v>
      </c>
    </row>
    <row r="10" spans="1:8" x14ac:dyDescent="0.3">
      <c r="A10" s="85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13064536658.883907</v>
      </c>
      <c r="E10" s="30">
        <f t="shared" si="2"/>
        <v>39311544.61048317</v>
      </c>
      <c r="F10" s="30">
        <f t="shared" si="5"/>
        <v>39548479.551476061</v>
      </c>
      <c r="G10" s="30">
        <f>E10+SUM(E$5:E9)</f>
        <v>197744182.79729295</v>
      </c>
      <c r="H10" s="30">
        <f t="shared" si="6"/>
        <v>31823826595.451485</v>
      </c>
    </row>
    <row r="11" spans="1:8" x14ac:dyDescent="0.3">
      <c r="A11" s="85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13025343048.907255</v>
      </c>
      <c r="E11" s="30">
        <f t="shared" si="2"/>
        <v>39193609.976651721</v>
      </c>
      <c r="F11" s="30">
        <f t="shared" si="5"/>
        <v>39429834.112821639</v>
      </c>
      <c r="G11" s="30">
        <f>E11+SUM(E$5:E10)</f>
        <v>236937792.77394468</v>
      </c>
      <c r="H11" s="30">
        <f t="shared" si="6"/>
        <v>31863256429.564308</v>
      </c>
    </row>
    <row r="12" spans="1:8" x14ac:dyDescent="0.3">
      <c r="A12" s="85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12986267019.760534</v>
      </c>
      <c r="E12" s="30">
        <f t="shared" si="2"/>
        <v>39076029.146721765</v>
      </c>
      <c r="F12" s="30">
        <f t="shared" si="5"/>
        <v>39311544.61048317</v>
      </c>
      <c r="G12" s="30">
        <f>E12+SUM(E$5:E11)</f>
        <v>276013821.92066646</v>
      </c>
      <c r="H12" s="30">
        <f t="shared" si="6"/>
        <v>31902567974.174789</v>
      </c>
    </row>
    <row r="13" spans="1:8" x14ac:dyDescent="0.3">
      <c r="A13" s="85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12947308218.701252</v>
      </c>
      <c r="E13" s="30">
        <f t="shared" si="2"/>
        <v>38958801.059281603</v>
      </c>
      <c r="F13" s="30">
        <f t="shared" si="5"/>
        <v>39193609.976651721</v>
      </c>
      <c r="G13" s="30">
        <f>E13+SUM(E$5:E12)</f>
        <v>314972622.97994804</v>
      </c>
      <c r="H13" s="30">
        <f t="shared" si="6"/>
        <v>31941761584.15144</v>
      </c>
    </row>
    <row r="14" spans="1:8" x14ac:dyDescent="0.3">
      <c r="A14" s="85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12908466294.045149</v>
      </c>
      <c r="E14" s="30">
        <f t="shared" si="2"/>
        <v>38841924.65610376</v>
      </c>
      <c r="F14" s="30">
        <f t="shared" si="5"/>
        <v>39076029.146721765</v>
      </c>
      <c r="G14" s="30">
        <f>E14+SUM(E$5:E13)</f>
        <v>353814547.63605177</v>
      </c>
      <c r="H14" s="30">
        <f t="shared" si="6"/>
        <v>31980837613.298161</v>
      </c>
    </row>
    <row r="15" spans="1:8" x14ac:dyDescent="0.3">
      <c r="A15" s="85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12869740895.163013</v>
      </c>
      <c r="E15" s="30">
        <f t="shared" si="2"/>
        <v>38725398.882135451</v>
      </c>
      <c r="F15" s="30">
        <f t="shared" si="5"/>
        <v>38958801.059281603</v>
      </c>
      <c r="G15" s="30">
        <f>E15+SUM(E$5:E14)</f>
        <v>392539946.51818722</v>
      </c>
      <c r="H15" s="30">
        <f t="shared" si="6"/>
        <v>32019796414.357441</v>
      </c>
    </row>
    <row r="16" spans="1:8" x14ac:dyDescent="0.3">
      <c r="A16" s="85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12831131672.477524</v>
      </c>
      <c r="E16" s="30">
        <f t="shared" si="2"/>
        <v>38609222.685489044</v>
      </c>
      <c r="F16" s="30">
        <f t="shared" si="5"/>
        <v>38841924.65610376</v>
      </c>
      <c r="G16" s="30">
        <f>E16+SUM(E$5:E15)</f>
        <v>431149169.20367628</v>
      </c>
      <c r="H16" s="30">
        <f t="shared" si="6"/>
        <v>32058638339.013546</v>
      </c>
    </row>
    <row r="17" spans="1:8" x14ac:dyDescent="0.3">
      <c r="A17" s="85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12792638277.460091</v>
      </c>
      <c r="E17" s="30">
        <f t="shared" si="2"/>
        <v>38493395.01743257</v>
      </c>
      <c r="F17" s="30">
        <f t="shared" si="5"/>
        <v>38725398.882135451</v>
      </c>
      <c r="G17" s="30">
        <f>E17+SUM(E$5:E16)</f>
        <v>469642564.22110885</v>
      </c>
      <c r="H17" s="30">
        <f t="shared" si="6"/>
        <v>32097363737.895683</v>
      </c>
    </row>
    <row r="18" spans="1:8" x14ac:dyDescent="0.3">
      <c r="A18" s="85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12754260362.62771</v>
      </c>
      <c r="E18" s="30">
        <f t="shared" si="2"/>
        <v>38377914.832380272</v>
      </c>
      <c r="F18" s="30">
        <f t="shared" si="5"/>
        <v>38609222.685489044</v>
      </c>
      <c r="G18" s="30">
        <f>E18+SUM(E$5:E17)</f>
        <v>508020479.05348915</v>
      </c>
      <c r="H18" s="30">
        <f t="shared" si="6"/>
        <v>32135972960.581173</v>
      </c>
    </row>
    <row r="19" spans="1:8" x14ac:dyDescent="0.3">
      <c r="A19" s="85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12715997581.539827</v>
      </c>
      <c r="E19" s="30">
        <f t="shared" si="2"/>
        <v>38262781.08788313</v>
      </c>
      <c r="F19" s="30">
        <f t="shared" si="5"/>
        <v>38493395.01743257</v>
      </c>
      <c r="G19" s="30">
        <f>E19+SUM(E$5:E18)</f>
        <v>546283260.14137232</v>
      </c>
      <c r="H19" s="30">
        <f t="shared" si="6"/>
        <v>32174466355.598606</v>
      </c>
    </row>
    <row r="20" spans="1:8" x14ac:dyDescent="0.3">
      <c r="A20" s="85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12677849588.795208</v>
      </c>
      <c r="E20" s="30">
        <f t="shared" si="2"/>
        <v>38147992.744619481</v>
      </c>
      <c r="F20" s="30">
        <f t="shared" si="5"/>
        <v>38377914.832380272</v>
      </c>
      <c r="G20" s="30">
        <f>E20+SUM(E$5:E19)</f>
        <v>584431252.88599181</v>
      </c>
      <c r="H20" s="30">
        <f t="shared" si="6"/>
        <v>32212844270.430984</v>
      </c>
    </row>
    <row r="21" spans="1:8" x14ac:dyDescent="0.3">
      <c r="A21" s="85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12639816040.028822</v>
      </c>
      <c r="E21" s="30">
        <f t="shared" si="2"/>
        <v>38033548.766385622</v>
      </c>
      <c r="F21" s="30">
        <f t="shared" si="5"/>
        <v>38262781.08788313</v>
      </c>
      <c r="G21" s="30">
        <f>E21+SUM(E$5:E20)</f>
        <v>622464801.65237749</v>
      </c>
      <c r="H21" s="30">
        <f t="shared" si="6"/>
        <v>32251107051.518867</v>
      </c>
    </row>
    <row r="22" spans="1:8" x14ac:dyDescent="0.3">
      <c r="A22" s="85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12601896591.908735</v>
      </c>
      <c r="E22" s="30">
        <f t="shared" si="2"/>
        <v>37919448.120086469</v>
      </c>
      <c r="F22" s="30">
        <f t="shared" si="5"/>
        <v>38147992.744619481</v>
      </c>
      <c r="G22" s="30">
        <f>E22+SUM(E$5:E21)</f>
        <v>660384249.77246392</v>
      </c>
      <c r="H22" s="30">
        <f t="shared" si="6"/>
        <v>32289255044.263489</v>
      </c>
    </row>
    <row r="23" spans="1:8" x14ac:dyDescent="0.3">
      <c r="A23" s="85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12564090902.133009</v>
      </c>
      <c r="E23" s="30">
        <f t="shared" si="2"/>
        <v>37805689.775726207</v>
      </c>
      <c r="F23" s="30">
        <f t="shared" si="5"/>
        <v>38033548.766385622</v>
      </c>
      <c r="G23" s="30">
        <f>E23+SUM(E$5:E22)</f>
        <v>698189939.54819012</v>
      </c>
      <c r="H23" s="30">
        <f t="shared" si="6"/>
        <v>32327288593.029873</v>
      </c>
    </row>
    <row r="24" spans="1:8" x14ac:dyDescent="0.3">
      <c r="A24" s="85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12526398629.426609</v>
      </c>
      <c r="E24" s="30">
        <f t="shared" si="2"/>
        <v>37692272.706399031</v>
      </c>
      <c r="F24" s="30">
        <f t="shared" si="5"/>
        <v>37919448.120086469</v>
      </c>
      <c r="G24" s="30">
        <f>E24+SUM(E$5:E23)</f>
        <v>735882212.2545892</v>
      </c>
      <c r="H24" s="30">
        <f t="shared" si="6"/>
        <v>32365208041.14996</v>
      </c>
    </row>
    <row r="25" spans="1:8" x14ac:dyDescent="0.3">
      <c r="A25" s="85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12488819433.53833</v>
      </c>
      <c r="E25" s="30">
        <f t="shared" si="2"/>
        <v>37579195.888279825</v>
      </c>
      <c r="F25" s="30">
        <f t="shared" si="5"/>
        <v>37805689.775726207</v>
      </c>
      <c r="G25" s="30">
        <f>E25+SUM(E$5:E24)</f>
        <v>773461408.142869</v>
      </c>
      <c r="H25" s="30">
        <f t="shared" si="6"/>
        <v>32403013730.925686</v>
      </c>
    </row>
    <row r="26" spans="1:8" x14ac:dyDescent="0.3">
      <c r="A26" s="85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12451352975.237715</v>
      </c>
      <c r="E26" s="30">
        <f t="shared" si="2"/>
        <v>37466458.30061499</v>
      </c>
      <c r="F26" s="30">
        <f t="shared" si="5"/>
        <v>37692272.706399031</v>
      </c>
      <c r="G26" s="30">
        <f>E26+SUM(E$5:E25)</f>
        <v>810927866.44348395</v>
      </c>
      <c r="H26" s="30">
        <f t="shared" si="6"/>
        <v>32440706003.632084</v>
      </c>
    </row>
    <row r="27" spans="1:8" x14ac:dyDescent="0.3">
      <c r="A27" s="85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12413998916.312002</v>
      </c>
      <c r="E27" s="30">
        <f t="shared" si="2"/>
        <v>37354058.925713144</v>
      </c>
      <c r="F27" s="30">
        <f t="shared" si="5"/>
        <v>37579195.888279825</v>
      </c>
      <c r="G27" s="30">
        <f>E27+SUM(E$5:E26)</f>
        <v>848281925.36919713</v>
      </c>
      <c r="H27" s="30">
        <f t="shared" si="6"/>
        <v>32478285199.520363</v>
      </c>
    </row>
    <row r="28" spans="1:8" x14ac:dyDescent="0.3">
      <c r="A28" s="85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12376756919.563066</v>
      </c>
      <c r="E28" s="30">
        <f t="shared" si="2"/>
        <v>37241996.748936005</v>
      </c>
      <c r="F28" s="30">
        <f t="shared" si="5"/>
        <v>37466458.30061499</v>
      </c>
      <c r="G28" s="30">
        <f>E28+SUM(E$5:E27)</f>
        <v>885523922.11813319</v>
      </c>
      <c r="H28" s="30">
        <f t="shared" si="6"/>
        <v>32515751657.820976</v>
      </c>
    </row>
    <row r="29" spans="1:8" x14ac:dyDescent="0.3">
      <c r="A29" s="85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12339626648.804377</v>
      </c>
      <c r="E29" s="30">
        <f t="shared" si="2"/>
        <v>37130270.758689202</v>
      </c>
      <c r="F29" s="30">
        <f t="shared" si="5"/>
        <v>37354058.925713144</v>
      </c>
      <c r="G29" s="30">
        <f>E29+SUM(E$5:E28)</f>
        <v>922654192.87682235</v>
      </c>
      <c r="H29" s="30">
        <f t="shared" si="6"/>
        <v>32553105716.746689</v>
      </c>
    </row>
    <row r="30" spans="1:8" x14ac:dyDescent="0.3">
      <c r="A30" s="85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12302607768.857964</v>
      </c>
      <c r="E30" s="30">
        <f t="shared" si="2"/>
        <v>37018879.94641313</v>
      </c>
      <c r="F30" s="30">
        <f t="shared" si="5"/>
        <v>37241996.748936005</v>
      </c>
      <c r="G30" s="30">
        <f>E30+SUM(E$5:E29)</f>
        <v>959673072.82323551</v>
      </c>
      <c r="H30" s="30">
        <f t="shared" si="6"/>
        <v>32590347713.495625</v>
      </c>
    </row>
    <row r="31" spans="1:8" x14ac:dyDescent="0.3">
      <c r="A31" s="85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12265699945.55139</v>
      </c>
      <c r="E31" s="30">
        <f t="shared" si="2"/>
        <v>36907823.30657389</v>
      </c>
      <c r="F31" s="30">
        <f t="shared" si="5"/>
        <v>37130270.758689202</v>
      </c>
      <c r="G31" s="30">
        <f>E31+SUM(E$5:E30)</f>
        <v>996580896.12980938</v>
      </c>
      <c r="H31" s="30">
        <f t="shared" si="6"/>
        <v>32627477984.254314</v>
      </c>
    </row>
    <row r="32" spans="1:8" x14ac:dyDescent="0.3">
      <c r="A32" s="85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12228902845.714735</v>
      </c>
      <c r="E32" s="30">
        <f t="shared" si="2"/>
        <v>36797099.836654171</v>
      </c>
      <c r="F32" s="30">
        <f t="shared" si="5"/>
        <v>37018879.94641313</v>
      </c>
      <c r="G32" s="30">
        <f>E32+SUM(E$5:E31)</f>
        <v>1033377995.9664636</v>
      </c>
      <c r="H32" s="30">
        <f t="shared" si="6"/>
        <v>32664496864.200729</v>
      </c>
    </row>
    <row r="33" spans="1:8" x14ac:dyDescent="0.3">
      <c r="A33" s="85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12192216137.177591</v>
      </c>
      <c r="E33" s="30">
        <f t="shared" si="2"/>
        <v>36686708.537144206</v>
      </c>
      <c r="F33" s="30">
        <f t="shared" si="5"/>
        <v>36907823.30657389</v>
      </c>
      <c r="G33" s="30">
        <f>E33+SUM(E$5:E32)</f>
        <v>1070064704.5036077</v>
      </c>
      <c r="H33" s="30">
        <f t="shared" si="6"/>
        <v>32701404687.507305</v>
      </c>
    </row>
    <row r="34" spans="1:8" x14ac:dyDescent="0.3">
      <c r="A34" s="85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12155639488.766058</v>
      </c>
      <c r="E34" s="30">
        <f t="shared" si="2"/>
        <v>36576648.411532775</v>
      </c>
      <c r="F34" s="30">
        <f t="shared" si="5"/>
        <v>36797099.836654171</v>
      </c>
      <c r="G34" s="30">
        <f>E34+SUM(E$5:E33)</f>
        <v>1106641352.9151406</v>
      </c>
      <c r="H34" s="30">
        <f t="shared" si="6"/>
        <v>32738201787.34396</v>
      </c>
    </row>
    <row r="35" spans="1:8" x14ac:dyDescent="0.3">
      <c r="A35" s="85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12119172570.299759</v>
      </c>
      <c r="E35" s="30">
        <f t="shared" si="2"/>
        <v>36466918.466298178</v>
      </c>
      <c r="F35" s="30">
        <f t="shared" si="5"/>
        <v>36686708.537144206</v>
      </c>
      <c r="G35" s="30">
        <f>E35+SUM(E$5:E34)</f>
        <v>1143108271.3814387</v>
      </c>
      <c r="H35" s="30">
        <f t="shared" si="6"/>
        <v>32774888495.881104</v>
      </c>
    </row>
    <row r="36" spans="1:8" x14ac:dyDescent="0.3">
      <c r="A36" s="85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12082815052.58886</v>
      </c>
      <c r="E36" s="30">
        <f t="shared" si="2"/>
        <v>36357517.710899279</v>
      </c>
      <c r="F36" s="30">
        <f t="shared" si="5"/>
        <v>36576648.411532775</v>
      </c>
      <c r="G36" s="30">
        <f>E36+SUM(E$5:E35)</f>
        <v>1179465789.0923381</v>
      </c>
      <c r="H36" s="30">
        <f t="shared" si="6"/>
        <v>32811465144.292637</v>
      </c>
    </row>
    <row r="37" spans="1:8" x14ac:dyDescent="0.3">
      <c r="A37" s="85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12046566607.431093</v>
      </c>
      <c r="E37" s="30">
        <f t="shared" si="2"/>
        <v>36248445.157766581</v>
      </c>
      <c r="F37" s="30">
        <f t="shared" si="5"/>
        <v>36466918.466298178</v>
      </c>
      <c r="G37" s="30">
        <f>E37+SUM(E$5:E36)</f>
        <v>1215714234.2501047</v>
      </c>
      <c r="H37" s="30">
        <f t="shared" si="6"/>
        <v>32847932062.758934</v>
      </c>
    </row>
    <row r="38" spans="1:8" x14ac:dyDescent="0.3">
      <c r="A38" s="85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12010426907.608799</v>
      </c>
      <c r="E38" s="30">
        <f t="shared" si="2"/>
        <v>36139699.822293282</v>
      </c>
      <c r="F38" s="30">
        <f t="shared" si="5"/>
        <v>36357517.710899279</v>
      </c>
      <c r="G38" s="30">
        <f>E38+SUM(E$5:E37)</f>
        <v>1251853934.0723979</v>
      </c>
      <c r="H38" s="30">
        <f t="shared" si="6"/>
        <v>32884289580.469833</v>
      </c>
    </row>
    <row r="39" spans="1:8" x14ac:dyDescent="0.3">
      <c r="A39" s="85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11974395626.885973</v>
      </c>
      <c r="E39" s="30">
        <f t="shared" si="2"/>
        <v>36031280.722826399</v>
      </c>
      <c r="F39" s="30">
        <f t="shared" si="5"/>
        <v>36248445.157766581</v>
      </c>
      <c r="G39" s="30">
        <f>E39+SUM(E$5:E38)</f>
        <v>1287885214.7952244</v>
      </c>
      <c r="H39" s="30">
        <f t="shared" si="6"/>
        <v>32920538025.627602</v>
      </c>
    </row>
    <row r="40" spans="1:8" x14ac:dyDescent="0.3">
      <c r="A40" s="85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11938472440.005316</v>
      </c>
      <c r="E40" s="30">
        <f t="shared" si="2"/>
        <v>35923186.880657919</v>
      </c>
      <c r="F40" s="30">
        <f t="shared" si="5"/>
        <v>36139699.822293282</v>
      </c>
      <c r="G40" s="30">
        <f>E40+SUM(E$5:E39)</f>
        <v>1323808401.6758823</v>
      </c>
      <c r="H40" s="30">
        <f t="shared" si="6"/>
        <v>32956677725.449894</v>
      </c>
    </row>
    <row r="41" spans="1:8" x14ac:dyDescent="0.3">
      <c r="A41" s="85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11902657022.685299</v>
      </c>
      <c r="E41" s="30">
        <f t="shared" si="2"/>
        <v>35815417.320015945</v>
      </c>
      <c r="F41" s="30">
        <f t="shared" si="5"/>
        <v>36031280.722826399</v>
      </c>
      <c r="G41" s="30">
        <f>E41+SUM(E$5:E40)</f>
        <v>1359623818.9958982</v>
      </c>
      <c r="H41" s="30">
        <f t="shared" si="6"/>
        <v>32992709006.172722</v>
      </c>
    </row>
    <row r="42" spans="1:8" x14ac:dyDescent="0.3">
      <c r="A42" s="85">
        <f t="shared" si="0"/>
        <v>44236</v>
      </c>
      <c r="B42" s="6">
        <f t="shared" ref="B42:B63" si="7">B41+5</f>
        <v>185</v>
      </c>
      <c r="C42" s="31">
        <f t="shared" si="1"/>
        <v>247</v>
      </c>
      <c r="D42" s="30">
        <f t="shared" si="4"/>
        <v>11866949051.617243</v>
      </c>
      <c r="E42" s="30">
        <f t="shared" si="2"/>
        <v>35707971.068055898</v>
      </c>
      <c r="F42" s="30">
        <f t="shared" si="5"/>
        <v>35923186.880657919</v>
      </c>
      <c r="G42" s="30">
        <f>E42+SUM(E$5:E41)</f>
        <v>1395331790.0639541</v>
      </c>
      <c r="H42" s="30">
        <f t="shared" si="6"/>
        <v>33028632193.053379</v>
      </c>
    </row>
    <row r="43" spans="1:8" x14ac:dyDescent="0.3">
      <c r="A43" s="85">
        <f t="shared" si="0"/>
        <v>44241</v>
      </c>
      <c r="B43" s="6">
        <f t="shared" si="7"/>
        <v>190</v>
      </c>
      <c r="C43" s="31">
        <f t="shared" si="1"/>
        <v>248</v>
      </c>
      <c r="D43" s="30">
        <f t="shared" si="4"/>
        <v>11831348204.462391</v>
      </c>
      <c r="E43" s="30">
        <f t="shared" si="2"/>
        <v>35600847.154851727</v>
      </c>
      <c r="F43" s="30">
        <f t="shared" si="5"/>
        <v>35815417.320015945</v>
      </c>
      <c r="G43" s="30">
        <f>E43+SUM(E$5:E42)</f>
        <v>1430932637.2188058</v>
      </c>
      <c r="H43" s="30">
        <f t="shared" si="6"/>
        <v>33064447610.373394</v>
      </c>
    </row>
    <row r="44" spans="1:8" x14ac:dyDescent="0.3">
      <c r="A44" s="85">
        <f t="shared" si="0"/>
        <v>44246</v>
      </c>
      <c r="B44" s="6">
        <f t="shared" si="7"/>
        <v>195</v>
      </c>
      <c r="C44" s="31">
        <f t="shared" si="1"/>
        <v>249</v>
      </c>
      <c r="D44" s="30">
        <f t="shared" si="4"/>
        <v>11795854159.849003</v>
      </c>
      <c r="E44" s="30">
        <f t="shared" si="2"/>
        <v>35494044.613387175</v>
      </c>
      <c r="F44" s="30">
        <f t="shared" si="5"/>
        <v>35707971.068055898</v>
      </c>
      <c r="G44" s="30">
        <f>E44+SUM(E$5:E43)</f>
        <v>1466426681.8321929</v>
      </c>
      <c r="H44" s="30">
        <f t="shared" si="6"/>
        <v>33100155581.441448</v>
      </c>
    </row>
    <row r="45" spans="1:8" x14ac:dyDescent="0.3">
      <c r="A45" s="85">
        <f t="shared" si="0"/>
        <v>44251</v>
      </c>
      <c r="B45" s="6">
        <f t="shared" si="7"/>
        <v>200</v>
      </c>
      <c r="C45" s="31">
        <f t="shared" si="1"/>
        <v>250</v>
      </c>
      <c r="D45" s="30">
        <f t="shared" si="4"/>
        <v>11760466597.369455</v>
      </c>
      <c r="E45" s="30">
        <f t="shared" si="2"/>
        <v>35387562.479547009</v>
      </c>
      <c r="F45" s="30">
        <f t="shared" si="5"/>
        <v>35600847.154851727</v>
      </c>
      <c r="G45" s="30">
        <f>E45+SUM(E$5:E44)</f>
        <v>1501814244.3117399</v>
      </c>
      <c r="H45" s="30">
        <f t="shared" si="6"/>
        <v>33135756428.596298</v>
      </c>
    </row>
    <row r="46" spans="1:8" x14ac:dyDescent="0.3">
      <c r="A46" s="85">
        <f t="shared" si="0"/>
        <v>44256</v>
      </c>
      <c r="B46" s="6">
        <f t="shared" si="7"/>
        <v>205</v>
      </c>
      <c r="C46" s="31">
        <f t="shared" si="1"/>
        <v>251</v>
      </c>
      <c r="D46" s="30">
        <f t="shared" si="4"/>
        <v>11725185197.577347</v>
      </c>
      <c r="E46" s="30">
        <f t="shared" si="2"/>
        <v>35281399.792108364</v>
      </c>
      <c r="F46" s="30">
        <f t="shared" si="5"/>
        <v>35494044.613387175</v>
      </c>
      <c r="G46" s="30">
        <f>E46+SUM(E$5:E45)</f>
        <v>1537095644.1038482</v>
      </c>
      <c r="H46" s="30">
        <f t="shared" si="6"/>
        <v>33171250473.209686</v>
      </c>
    </row>
    <row r="47" spans="1:8" x14ac:dyDescent="0.3">
      <c r="A47" s="85">
        <f t="shared" si="0"/>
        <v>44261</v>
      </c>
      <c r="B47" s="6">
        <f t="shared" si="7"/>
        <v>210</v>
      </c>
      <c r="C47" s="31">
        <f t="shared" si="1"/>
        <v>252</v>
      </c>
      <c r="D47" s="30">
        <f t="shared" si="4"/>
        <v>11690009641.984615</v>
      </c>
      <c r="E47" s="30">
        <f t="shared" si="2"/>
        <v>35175555.592732042</v>
      </c>
      <c r="F47" s="30">
        <f t="shared" si="5"/>
        <v>35387562.479547009</v>
      </c>
      <c r="G47" s="30">
        <f>E47+SUM(E$5:E46)</f>
        <v>1572271199.6965802</v>
      </c>
      <c r="H47" s="30">
        <f t="shared" si="6"/>
        <v>33206638035.689232</v>
      </c>
    </row>
    <row r="48" spans="1:8" x14ac:dyDescent="0.3">
      <c r="A48" s="85">
        <f t="shared" si="0"/>
        <v>44266</v>
      </c>
      <c r="B48" s="6">
        <f t="shared" si="7"/>
        <v>215</v>
      </c>
      <c r="C48" s="31">
        <f t="shared" si="1"/>
        <v>253</v>
      </c>
      <c r="D48" s="30">
        <f t="shared" si="4"/>
        <v>11654939613.058662</v>
      </c>
      <c r="E48" s="30">
        <f t="shared" si="2"/>
        <v>35070028.92595385</v>
      </c>
      <c r="F48" s="30">
        <f t="shared" si="5"/>
        <v>35281399.792108364</v>
      </c>
      <c r="G48" s="30">
        <f>E48+SUM(E$5:E47)</f>
        <v>1607341228.622534</v>
      </c>
      <c r="H48" s="30">
        <f t="shared" si="6"/>
        <v>33241919435.481339</v>
      </c>
    </row>
    <row r="49" spans="1:8" x14ac:dyDescent="0.3">
      <c r="A49" s="85">
        <f t="shared" si="0"/>
        <v>44271</v>
      </c>
      <c r="B49" s="6">
        <f t="shared" si="7"/>
        <v>220</v>
      </c>
      <c r="C49" s="31">
        <f t="shared" si="1"/>
        <v>254</v>
      </c>
      <c r="D49" s="30">
        <f t="shared" si="4"/>
        <v>11619974794.219486</v>
      </c>
      <c r="E49" s="30">
        <f t="shared" si="2"/>
        <v>34964818.839175984</v>
      </c>
      <c r="F49" s="30">
        <f t="shared" si="5"/>
        <v>35175555.592732042</v>
      </c>
      <c r="G49" s="30">
        <f>E49+SUM(E$5:E48)</f>
        <v>1642306047.46171</v>
      </c>
      <c r="H49" s="30">
        <f t="shared" si="6"/>
        <v>33277094991.07407</v>
      </c>
    </row>
    <row r="50" spans="1:8" x14ac:dyDescent="0.3">
      <c r="A50" s="85">
        <f t="shared" si="0"/>
        <v>44276</v>
      </c>
      <c r="B50" s="6">
        <f t="shared" si="7"/>
        <v>225</v>
      </c>
      <c r="C50" s="31">
        <f t="shared" si="1"/>
        <v>255</v>
      </c>
      <c r="D50" s="30">
        <f t="shared" si="4"/>
        <v>11585114869.836828</v>
      </c>
      <c r="E50" s="30">
        <f t="shared" si="2"/>
        <v>34859924.382658459</v>
      </c>
      <c r="F50" s="30">
        <f t="shared" si="5"/>
        <v>35070028.92595385</v>
      </c>
      <c r="G50" s="30">
        <f>E50+SUM(E$5:E49)</f>
        <v>1677165971.8443685</v>
      </c>
      <c r="H50" s="30">
        <f t="shared" si="6"/>
        <v>33312165020.000023</v>
      </c>
    </row>
    <row r="51" spans="1:8" x14ac:dyDescent="0.3">
      <c r="A51" s="85">
        <f t="shared" si="0"/>
        <v>44281</v>
      </c>
      <c r="B51" s="6">
        <f t="shared" si="7"/>
        <v>230</v>
      </c>
      <c r="C51" s="31">
        <f t="shared" si="1"/>
        <v>256</v>
      </c>
      <c r="D51" s="30">
        <f t="shared" si="4"/>
        <v>11550359525.227318</v>
      </c>
      <c r="E51" s="30">
        <f t="shared" si="2"/>
        <v>34755344.609510489</v>
      </c>
      <c r="F51" s="30">
        <f t="shared" si="5"/>
        <v>34964818.839175984</v>
      </c>
      <c r="G51" s="30">
        <f>E51+SUM(E$5:E50)</f>
        <v>1711921316.4538789</v>
      </c>
      <c r="H51" s="30">
        <f t="shared" si="6"/>
        <v>33347129838.839199</v>
      </c>
    </row>
    <row r="52" spans="1:8" x14ac:dyDescent="0.3">
      <c r="A52" s="85">
        <f t="shared" si="0"/>
        <v>44286</v>
      </c>
      <c r="B52" s="6">
        <f t="shared" si="7"/>
        <v>235</v>
      </c>
      <c r="C52" s="31">
        <f t="shared" si="1"/>
        <v>257</v>
      </c>
      <c r="D52" s="30">
        <f t="shared" si="4"/>
        <v>11515708446.651636</v>
      </c>
      <c r="E52" s="30">
        <f t="shared" si="2"/>
        <v>34651078.575681955</v>
      </c>
      <c r="F52" s="30">
        <f t="shared" si="5"/>
        <v>34859924.382658459</v>
      </c>
      <c r="G52" s="30">
        <f>E52+SUM(E$5:E51)</f>
        <v>1746572395.0295608</v>
      </c>
      <c r="H52" s="30">
        <f t="shared" si="6"/>
        <v>33381989763.221859</v>
      </c>
    </row>
    <row r="53" spans="1:8" x14ac:dyDescent="0.3">
      <c r="A53" s="85">
        <f t="shared" si="0"/>
        <v>44291</v>
      </c>
      <c r="B53" s="6">
        <f t="shared" si="7"/>
        <v>240</v>
      </c>
      <c r="C53" s="31">
        <f t="shared" si="1"/>
        <v>258</v>
      </c>
      <c r="D53" s="30">
        <f t="shared" si="4"/>
        <v>11481161321.311682</v>
      </c>
      <c r="E53" s="30">
        <f t="shared" si="2"/>
        <v>34547125.339954913</v>
      </c>
      <c r="F53" s="30">
        <f t="shared" si="5"/>
        <v>34755344.609510489</v>
      </c>
      <c r="G53" s="30">
        <f>E53+SUM(E$5:E52)</f>
        <v>1781119520.3695157</v>
      </c>
      <c r="H53" s="30">
        <f t="shared" si="6"/>
        <v>33416745107.831371</v>
      </c>
    </row>
    <row r="54" spans="1:8" x14ac:dyDescent="0.3">
      <c r="A54" s="85">
        <f t="shared" si="0"/>
        <v>44296</v>
      </c>
      <c r="B54" s="6">
        <f t="shared" si="7"/>
        <v>245</v>
      </c>
      <c r="C54" s="31">
        <f t="shared" si="1"/>
        <v>259</v>
      </c>
      <c r="D54" s="30">
        <f t="shared" si="4"/>
        <v>11446717837.347746</v>
      </c>
      <c r="E54" s="30">
        <f t="shared" si="2"/>
        <v>34443483.963935047</v>
      </c>
      <c r="F54" s="30">
        <f t="shared" si="5"/>
        <v>34651078.575681955</v>
      </c>
      <c r="G54" s="30">
        <f>E54+SUM(E$5:E53)</f>
        <v>1815563004.3334508</v>
      </c>
      <c r="H54" s="30">
        <f t="shared" si="6"/>
        <v>33451396186.407055</v>
      </c>
    </row>
    <row r="55" spans="1:8" x14ac:dyDescent="0.3">
      <c r="A55" s="85">
        <f t="shared" si="0"/>
        <v>44301</v>
      </c>
      <c r="B55" s="6">
        <f t="shared" si="7"/>
        <v>250</v>
      </c>
      <c r="C55" s="31">
        <f t="shared" si="1"/>
        <v>260</v>
      </c>
      <c r="D55" s="30">
        <f t="shared" si="4"/>
        <v>11412377683.835703</v>
      </c>
      <c r="E55" s="30">
        <f t="shared" si="2"/>
        <v>34340153.512043238</v>
      </c>
      <c r="F55" s="30">
        <f t="shared" si="5"/>
        <v>34547125.339954913</v>
      </c>
      <c r="G55" s="30">
        <f>E55+SUM(E$5:E54)</f>
        <v>1849903157.845494</v>
      </c>
      <c r="H55" s="30">
        <f t="shared" si="6"/>
        <v>33485943311.747009</v>
      </c>
    </row>
    <row r="56" spans="1:8" x14ac:dyDescent="0.3">
      <c r="A56" s="85">
        <f t="shared" si="0"/>
        <v>44306</v>
      </c>
      <c r="B56" s="6">
        <f t="shared" si="7"/>
        <v>255</v>
      </c>
      <c r="C56" s="31">
        <f t="shared" si="1"/>
        <v>261</v>
      </c>
      <c r="D56" s="30">
        <f t="shared" si="4"/>
        <v>11378140550.784195</v>
      </c>
      <c r="E56" s="30">
        <f t="shared" si="2"/>
        <v>34237133.051507108</v>
      </c>
      <c r="F56" s="30">
        <f t="shared" si="5"/>
        <v>34443483.963935047</v>
      </c>
      <c r="G56" s="30">
        <f>E56+SUM(E$5:E55)</f>
        <v>1884140290.897001</v>
      </c>
      <c r="H56" s="30">
        <f t="shared" si="6"/>
        <v>33520386795.710945</v>
      </c>
    </row>
    <row r="57" spans="1:8" x14ac:dyDescent="0.3">
      <c r="A57" s="85">
        <f t="shared" si="0"/>
        <v>44311</v>
      </c>
      <c r="B57" s="6">
        <f t="shared" si="7"/>
        <v>260</v>
      </c>
      <c r="C57" s="31">
        <f t="shared" si="1"/>
        <v>262</v>
      </c>
      <c r="D57" s="30">
        <f t="shared" si="4"/>
        <v>11344006129.131842</v>
      </c>
      <c r="E57" s="30">
        <f t="shared" si="2"/>
        <v>34134421.652352586</v>
      </c>
      <c r="F57" s="30">
        <f t="shared" si="5"/>
        <v>34340153.512043238</v>
      </c>
      <c r="G57" s="30">
        <f>E57+SUM(E$5:E56)</f>
        <v>1918274712.5493536</v>
      </c>
      <c r="H57" s="30">
        <f t="shared" si="6"/>
        <v>33554726949.222988</v>
      </c>
    </row>
    <row r="58" spans="1:8" x14ac:dyDescent="0.3">
      <c r="A58" s="85">
        <f t="shared" si="0"/>
        <v>44316</v>
      </c>
      <c r="B58" s="6">
        <f t="shared" si="7"/>
        <v>265</v>
      </c>
      <c r="C58" s="31">
        <f t="shared" si="1"/>
        <v>263</v>
      </c>
      <c r="D58" s="30">
        <f t="shared" si="4"/>
        <v>11309974110.744446</v>
      </c>
      <c r="E58" s="30">
        <f t="shared" si="2"/>
        <v>34032018.387395523</v>
      </c>
      <c r="F58" s="30">
        <f t="shared" si="5"/>
        <v>34237133.051507108</v>
      </c>
      <c r="G58" s="30">
        <f>E58+SUM(E$5:E57)</f>
        <v>1952306730.9367492</v>
      </c>
      <c r="H58" s="30">
        <f t="shared" si="6"/>
        <v>33588964082.274494</v>
      </c>
    </row>
    <row r="59" spans="1:8" x14ac:dyDescent="0.3">
      <c r="A59" s="85">
        <f t="shared" si="0"/>
        <v>44321</v>
      </c>
      <c r="B59" s="6">
        <f t="shared" si="7"/>
        <v>270</v>
      </c>
      <c r="C59" s="31">
        <f t="shared" si="1"/>
        <v>264</v>
      </c>
      <c r="D59" s="30">
        <f t="shared" si="4"/>
        <v>11276044188.412212</v>
      </c>
      <c r="E59" s="30">
        <f t="shared" si="2"/>
        <v>33929922.33223334</v>
      </c>
      <c r="F59" s="30">
        <f t="shared" si="5"/>
        <v>34134421.652352586</v>
      </c>
      <c r="G59" s="30">
        <f>E59+SUM(E$5:E58)</f>
        <v>1986236653.2689826</v>
      </c>
      <c r="H59" s="30">
        <f t="shared" si="6"/>
        <v>33623098503.926846</v>
      </c>
    </row>
    <row r="60" spans="1:8" x14ac:dyDescent="0.3">
      <c r="A60" s="85">
        <f t="shared" si="0"/>
        <v>44326</v>
      </c>
      <c r="B60" s="6">
        <f t="shared" si="7"/>
        <v>275</v>
      </c>
      <c r="C60" s="31">
        <f t="shared" si="1"/>
        <v>265</v>
      </c>
      <c r="D60" s="30">
        <f t="shared" si="4"/>
        <v>11242216055.846975</v>
      </c>
      <c r="E60" s="30">
        <f t="shared" si="2"/>
        <v>33828132.565236636</v>
      </c>
      <c r="F60" s="30">
        <f t="shared" si="5"/>
        <v>34032018.387395523</v>
      </c>
      <c r="G60" s="30">
        <f>E60+SUM(E$5:E59)</f>
        <v>2020064785.8342192</v>
      </c>
      <c r="H60" s="30">
        <f t="shared" si="6"/>
        <v>33657130522.31424</v>
      </c>
    </row>
    <row r="61" spans="1:8" x14ac:dyDescent="0.3">
      <c r="A61" s="85">
        <f t="shared" si="0"/>
        <v>44331</v>
      </c>
      <c r="B61" s="6">
        <f t="shared" si="7"/>
        <v>280</v>
      </c>
      <c r="C61" s="31">
        <f t="shared" si="1"/>
        <v>266</v>
      </c>
      <c r="D61" s="30">
        <f t="shared" si="4"/>
        <v>11208489407.679434</v>
      </c>
      <c r="E61" s="30">
        <f t="shared" si="2"/>
        <v>33726648.16754093</v>
      </c>
      <c r="F61" s="30">
        <f t="shared" si="5"/>
        <v>33929922.33223334</v>
      </c>
      <c r="G61" s="30">
        <f>E61+SUM(E$5:E60)</f>
        <v>2053791434.0017602</v>
      </c>
      <c r="H61" s="30">
        <f t="shared" si="6"/>
        <v>33691060444.646473</v>
      </c>
    </row>
    <row r="62" spans="1:8" x14ac:dyDescent="0.3">
      <c r="A62" s="85">
        <f t="shared" si="0"/>
        <v>44336</v>
      </c>
      <c r="B62" s="6">
        <f t="shared" si="7"/>
        <v>285</v>
      </c>
      <c r="C62" s="31">
        <f t="shared" si="1"/>
        <v>267</v>
      </c>
      <c r="D62" s="30">
        <f t="shared" si="4"/>
        <v>11174863939.456396</v>
      </c>
      <c r="E62" s="30">
        <f t="shared" si="2"/>
        <v>33625468.223038301</v>
      </c>
      <c r="F62" s="30">
        <f t="shared" si="5"/>
        <v>33828132.565236636</v>
      </c>
      <c r="G62" s="30">
        <f>E62+SUM(E$5:E61)</f>
        <v>2087416902.2247984</v>
      </c>
      <c r="H62" s="30">
        <f t="shared" si="6"/>
        <v>33724888577.211708</v>
      </c>
    </row>
    <row r="63" spans="1:8" x14ac:dyDescent="0.3">
      <c r="A63" s="85">
        <f t="shared" si="0"/>
        <v>44341</v>
      </c>
      <c r="B63" s="6">
        <f t="shared" si="7"/>
        <v>290</v>
      </c>
      <c r="C63" s="31">
        <f t="shared" si="1"/>
        <v>268</v>
      </c>
      <c r="D63" s="30">
        <f t="shared" si="4"/>
        <v>11141339347.638027</v>
      </c>
      <c r="E63" s="30">
        <f t="shared" si="2"/>
        <v>33524591.818369187</v>
      </c>
      <c r="F63" s="30">
        <f t="shared" si="5"/>
        <v>33726648.16754093</v>
      </c>
      <c r="G63" s="30">
        <f>E63+SUM(E$5:E62)</f>
        <v>2120941494.0431676</v>
      </c>
      <c r="H63" s="30">
        <f t="shared" si="6"/>
        <v>33758615225.37925</v>
      </c>
    </row>
    <row r="64" spans="1:8" x14ac:dyDescent="0.3">
      <c r="A64" s="85">
        <f t="shared" si="0"/>
        <v>44346</v>
      </c>
      <c r="B64" s="6">
        <f t="shared" ref="B64:B78" si="8">B63+5</f>
        <v>295</v>
      </c>
      <c r="C64" s="31">
        <f t="shared" si="1"/>
        <v>269</v>
      </c>
      <c r="D64" s="30">
        <f t="shared" si="4"/>
        <v>11107915329.595114</v>
      </c>
      <c r="E64" s="30">
        <f t="shared" si="2"/>
        <v>33424018.042914081</v>
      </c>
      <c r="F64" s="30">
        <f t="shared" si="5"/>
        <v>33625468.223038301</v>
      </c>
      <c r="G64" s="30">
        <f>E64+SUM(E$5:E63)</f>
        <v>2154365512.0860815</v>
      </c>
      <c r="H64" s="30">
        <f t="shared" si="6"/>
        <v>33792240693.602287</v>
      </c>
    </row>
    <row r="65" spans="1:8" x14ac:dyDescent="0.3">
      <c r="A65" s="85">
        <f t="shared" si="0"/>
        <v>44351</v>
      </c>
      <c r="B65" s="6">
        <f t="shared" si="8"/>
        <v>300</v>
      </c>
      <c r="C65" s="31">
        <f t="shared" si="1"/>
        <v>270</v>
      </c>
      <c r="D65" s="30">
        <f t="shared" si="4"/>
        <v>11074591583.606329</v>
      </c>
      <c r="E65" s="30">
        <f t="shared" si="2"/>
        <v>33323745.988785341</v>
      </c>
      <c r="F65" s="30">
        <f t="shared" si="5"/>
        <v>33524591.818369187</v>
      </c>
      <c r="G65" s="30">
        <f>E65+SUM(E$5:E64)</f>
        <v>2187689258.0748668</v>
      </c>
      <c r="H65" s="30">
        <f t="shared" si="6"/>
        <v>33825765285.420658</v>
      </c>
    </row>
    <row r="66" spans="1:8" x14ac:dyDescent="0.3">
      <c r="A66" s="85">
        <f t="shared" si="0"/>
        <v>44356</v>
      </c>
      <c r="B66" s="6">
        <f t="shared" si="8"/>
        <v>305</v>
      </c>
      <c r="C66" s="31">
        <f t="shared" si="1"/>
        <v>271</v>
      </c>
      <c r="D66" s="30">
        <f t="shared" si="4"/>
        <v>11041367808.855511</v>
      </c>
      <c r="E66" s="30">
        <f t="shared" si="2"/>
        <v>33223774.750818986</v>
      </c>
      <c r="F66" s="30">
        <f t="shared" si="5"/>
        <v>33424018.042914081</v>
      </c>
      <c r="G66" s="30">
        <f>E66+SUM(E$5:E65)</f>
        <v>2220913032.825686</v>
      </c>
      <c r="H66" s="30">
        <f t="shared" si="6"/>
        <v>33859189303.463573</v>
      </c>
    </row>
    <row r="67" spans="1:8" x14ac:dyDescent="0.3">
      <c r="A67" s="85">
        <f t="shared" si="0"/>
        <v>44361</v>
      </c>
      <c r="B67" s="6">
        <f t="shared" si="8"/>
        <v>310</v>
      </c>
      <c r="C67" s="31">
        <f t="shared" si="1"/>
        <v>272</v>
      </c>
      <c r="D67" s="30">
        <f t="shared" si="4"/>
        <v>11008243705.428944</v>
      </c>
      <c r="E67" s="30">
        <f t="shared" si="2"/>
        <v>33124103.426566534</v>
      </c>
      <c r="F67" s="30">
        <f t="shared" si="5"/>
        <v>33323745.988785341</v>
      </c>
      <c r="G67" s="30">
        <f>E67+SUM(E$5:E66)</f>
        <v>2254037136.2522526</v>
      </c>
      <c r="H67" s="30">
        <f t="shared" si="6"/>
        <v>33892513049.452358</v>
      </c>
    </row>
    <row r="68" spans="1:8" x14ac:dyDescent="0.3">
      <c r="A68" s="85">
        <f t="shared" si="0"/>
        <v>44366</v>
      </c>
      <c r="B68" s="6">
        <f t="shared" si="8"/>
        <v>315</v>
      </c>
      <c r="C68" s="31">
        <f t="shared" si="1"/>
        <v>273</v>
      </c>
      <c r="D68" s="30">
        <f t="shared" si="4"/>
        <v>10975218974.312656</v>
      </c>
      <c r="E68" s="30">
        <f t="shared" si="2"/>
        <v>33024731.116286833</v>
      </c>
      <c r="F68" s="30">
        <f t="shared" si="5"/>
        <v>33223774.750818986</v>
      </c>
      <c r="G68" s="30">
        <f>E68+SUM(E$5:E67)</f>
        <v>2287061867.3685393</v>
      </c>
      <c r="H68" s="30">
        <f t="shared" si="6"/>
        <v>33925736824.203178</v>
      </c>
    </row>
    <row r="69" spans="1:8" x14ac:dyDescent="0.3">
      <c r="A69" s="85">
        <f t="shared" si="0"/>
        <v>44371</v>
      </c>
      <c r="B69" s="6">
        <f t="shared" si="8"/>
        <v>320</v>
      </c>
      <c r="C69" s="31">
        <f t="shared" si="1"/>
        <v>274</v>
      </c>
      <c r="D69" s="30">
        <f t="shared" si="4"/>
        <v>10942293317.389719</v>
      </c>
      <c r="E69" s="30">
        <f t="shared" si="2"/>
        <v>32925656.922937971</v>
      </c>
      <c r="F69" s="30">
        <f t="shared" si="5"/>
        <v>33124103.426566534</v>
      </c>
      <c r="G69" s="30">
        <f>E69+SUM(E$5:E68)</f>
        <v>2319987524.2914772</v>
      </c>
      <c r="H69" s="30">
        <f t="shared" si="6"/>
        <v>33958860927.629745</v>
      </c>
    </row>
    <row r="70" spans="1:8" x14ac:dyDescent="0.3">
      <c r="A70" s="85">
        <f t="shared" si="0"/>
        <v>44376</v>
      </c>
      <c r="B70" s="6">
        <f t="shared" si="8"/>
        <v>325</v>
      </c>
      <c r="C70" s="31">
        <f t="shared" si="1"/>
        <v>275</v>
      </c>
      <c r="D70" s="30">
        <f t="shared" si="4"/>
        <v>10909466437.43755</v>
      </c>
      <c r="E70" s="30">
        <f t="shared" si="2"/>
        <v>32826879.952169158</v>
      </c>
      <c r="F70" s="30">
        <f t="shared" si="5"/>
        <v>33024731.116286833</v>
      </c>
      <c r="G70" s="30">
        <f>E70+SUM(E$5:E69)</f>
        <v>2352814404.2436461</v>
      </c>
      <c r="H70" s="30">
        <f t="shared" si="6"/>
        <v>33991885658.746033</v>
      </c>
    </row>
    <row r="71" spans="1:8" x14ac:dyDescent="0.3">
      <c r="A71" s="85">
        <f t="shared" ref="A71:A78" si="9">A70+B71-B70</f>
        <v>44381</v>
      </c>
      <c r="B71" s="6">
        <f t="shared" si="8"/>
        <v>330</v>
      </c>
      <c r="C71" s="31">
        <f t="shared" ref="C71:C78" si="10">C70+1</f>
        <v>276</v>
      </c>
      <c r="D71" s="30">
        <f t="shared" si="4"/>
        <v>10876738038.125237</v>
      </c>
      <c r="E71" s="30">
        <f t="shared" ref="E71:E78" si="11">$B$1*D70</f>
        <v>32728399.312312648</v>
      </c>
      <c r="F71" s="30">
        <f t="shared" si="5"/>
        <v>32925656.922937971</v>
      </c>
      <c r="G71" s="30">
        <f>E71+SUM(E$5:E70)</f>
        <v>2385542803.5559587</v>
      </c>
      <c r="H71" s="30">
        <f t="shared" si="6"/>
        <v>34024811315.668972</v>
      </c>
    </row>
    <row r="72" spans="1:8" x14ac:dyDescent="0.3">
      <c r="A72" s="85">
        <f t="shared" si="9"/>
        <v>44386</v>
      </c>
      <c r="B72" s="6">
        <f t="shared" si="8"/>
        <v>335</v>
      </c>
      <c r="C72" s="31">
        <f t="shared" si="10"/>
        <v>277</v>
      </c>
      <c r="D72" s="30">
        <f t="shared" ref="D72:D78" si="12">D71-E72</f>
        <v>10844107824.01086</v>
      </c>
      <c r="E72" s="30">
        <f t="shared" si="11"/>
        <v>32630214.11437571</v>
      </c>
      <c r="F72" s="30">
        <f t="shared" si="5"/>
        <v>32826879.952169158</v>
      </c>
      <c r="G72" s="30">
        <f>E72+SUM(E$5:E71)</f>
        <v>2418173017.6703343</v>
      </c>
      <c r="H72" s="30">
        <f t="shared" si="6"/>
        <v>34057638195.62114</v>
      </c>
    </row>
    <row r="73" spans="1:8" x14ac:dyDescent="0.3">
      <c r="A73" s="85">
        <f t="shared" si="9"/>
        <v>44391</v>
      </c>
      <c r="B73" s="6">
        <f t="shared" si="8"/>
        <v>340</v>
      </c>
      <c r="C73" s="31">
        <f t="shared" si="10"/>
        <v>278</v>
      </c>
      <c r="D73" s="30">
        <f t="shared" si="12"/>
        <v>10811575500.538828</v>
      </c>
      <c r="E73" s="30">
        <f t="shared" si="11"/>
        <v>32532323.472032581</v>
      </c>
      <c r="F73" s="30">
        <f t="shared" ref="F73:F78" si="13">E71</f>
        <v>32728399.312312648</v>
      </c>
      <c r="G73" s="30">
        <f>E73+SUM(E$5:E72)</f>
        <v>2450705341.1423669</v>
      </c>
      <c r="H73" s="30">
        <f t="shared" ref="H73:H78" si="14">H72+F73</f>
        <v>34090366594.933453</v>
      </c>
    </row>
    <row r="74" spans="1:8" x14ac:dyDescent="0.3">
      <c r="A74" s="85">
        <f t="shared" si="9"/>
        <v>44396</v>
      </c>
      <c r="B74" s="6">
        <f t="shared" si="8"/>
        <v>345</v>
      </c>
      <c r="C74" s="31">
        <f t="shared" si="10"/>
        <v>279</v>
      </c>
      <c r="D74" s="30">
        <f t="shared" si="12"/>
        <v>10779140774.03721</v>
      </c>
      <c r="E74" s="30">
        <f t="shared" si="11"/>
        <v>32434726.501616485</v>
      </c>
      <c r="F74" s="30">
        <f t="shared" si="13"/>
        <v>32630214.11437571</v>
      </c>
      <c r="G74" s="30">
        <f>E74+SUM(E$5:E73)</f>
        <v>2483140067.6439834</v>
      </c>
      <c r="H74" s="30">
        <f t="shared" si="14"/>
        <v>34122996809.047829</v>
      </c>
    </row>
    <row r="75" spans="1:8" x14ac:dyDescent="0.3">
      <c r="A75" s="85">
        <f t="shared" si="9"/>
        <v>44401</v>
      </c>
      <c r="B75" s="6">
        <f t="shared" si="8"/>
        <v>350</v>
      </c>
      <c r="C75" s="31">
        <f t="shared" si="10"/>
        <v>280</v>
      </c>
      <c r="D75" s="30">
        <f t="shared" si="12"/>
        <v>10746803351.715099</v>
      </c>
      <c r="E75" s="30">
        <f t="shared" si="11"/>
        <v>32337422.322111633</v>
      </c>
      <c r="F75" s="30">
        <f t="shared" si="13"/>
        <v>32532323.472032581</v>
      </c>
      <c r="G75" s="30">
        <f>E75+SUM(E$5:E74)</f>
        <v>2515477489.966095</v>
      </c>
      <c r="H75" s="30">
        <f t="shared" si="14"/>
        <v>34155529132.519863</v>
      </c>
    </row>
    <row r="76" spans="1:8" x14ac:dyDescent="0.3">
      <c r="A76" s="85">
        <f t="shared" si="9"/>
        <v>44406</v>
      </c>
      <c r="B76" s="6">
        <f t="shared" si="8"/>
        <v>355</v>
      </c>
      <c r="C76" s="31">
        <f t="shared" si="10"/>
        <v>281</v>
      </c>
      <c r="D76" s="30">
        <f t="shared" si="12"/>
        <v>10714562941.659954</v>
      </c>
      <c r="E76" s="30">
        <f t="shared" si="11"/>
        <v>32240410.055145297</v>
      </c>
      <c r="F76" s="30">
        <f t="shared" si="13"/>
        <v>32434726.501616485</v>
      </c>
      <c r="G76" s="30">
        <f>E76+SUM(E$5:E75)</f>
        <v>2547717900.0212402</v>
      </c>
      <c r="H76" s="30">
        <f t="shared" si="14"/>
        <v>34187963859.021481</v>
      </c>
    </row>
    <row r="77" spans="1:8" x14ac:dyDescent="0.3">
      <c r="A77" s="85">
        <f t="shared" si="9"/>
        <v>44411</v>
      </c>
      <c r="B77" s="6">
        <f t="shared" si="8"/>
        <v>360</v>
      </c>
      <c r="C77" s="31">
        <f t="shared" si="10"/>
        <v>282</v>
      </c>
      <c r="D77" s="30">
        <f t="shared" si="12"/>
        <v>10682419252.834974</v>
      </c>
      <c r="E77" s="30">
        <f t="shared" si="11"/>
        <v>32143688.824979864</v>
      </c>
      <c r="F77" s="30">
        <f t="shared" si="13"/>
        <v>32337422.322111633</v>
      </c>
      <c r="G77" s="30">
        <f>E77+SUM(E$5:E76)</f>
        <v>2579861588.84622</v>
      </c>
      <c r="H77" s="30">
        <f t="shared" si="14"/>
        <v>34220301281.343594</v>
      </c>
    </row>
    <row r="78" spans="1:8" x14ac:dyDescent="0.3">
      <c r="A78" s="85">
        <f t="shared" si="9"/>
        <v>44416</v>
      </c>
      <c r="B78" s="6">
        <f t="shared" si="8"/>
        <v>365</v>
      </c>
      <c r="C78" s="31">
        <f t="shared" si="10"/>
        <v>283</v>
      </c>
      <c r="D78" s="30">
        <f t="shared" si="12"/>
        <v>10650371995.076469</v>
      </c>
      <c r="E78" s="30">
        <f t="shared" si="11"/>
        <v>32047257.758504923</v>
      </c>
      <c r="F78" s="30">
        <f t="shared" si="13"/>
        <v>32240410.055145297</v>
      </c>
      <c r="G78" s="30">
        <f>E78+SUM(E$5:E77)</f>
        <v>2611908846.6047249</v>
      </c>
      <c r="H78" s="30">
        <f t="shared" si="14"/>
        <v>34252541691.398739</v>
      </c>
    </row>
    <row r="79" spans="1:8" s="17" customFormat="1" x14ac:dyDescent="0.3">
      <c r="A79" s="3" t="s">
        <v>59</v>
      </c>
      <c r="C79" s="3"/>
      <c r="D79" s="2"/>
      <c r="E79" s="2">
        <f>SUM(E6:E78)</f>
        <v>2611908846.6047249</v>
      </c>
      <c r="F79" s="2">
        <f>SUM(F8:F78)</f>
        <v>2547717900.0212402</v>
      </c>
      <c r="G79" s="3"/>
      <c r="H79" s="2"/>
    </row>
    <row r="80" spans="1:8" x14ac:dyDescent="0.3">
      <c r="D80" s="30"/>
      <c r="E80" s="4"/>
    </row>
    <row r="81" spans="2:15" x14ac:dyDescent="0.3">
      <c r="D81" s="30"/>
    </row>
    <row r="83" spans="2:15" x14ac:dyDescent="0.3">
      <c r="B83" s="6" t="s">
        <v>73</v>
      </c>
      <c r="C83" s="31" t="s">
        <v>77</v>
      </c>
      <c r="D83" s="31" t="s">
        <v>54</v>
      </c>
      <c r="E83" s="31" t="s">
        <v>64</v>
      </c>
      <c r="F83" s="31" t="s">
        <v>62</v>
      </c>
      <c r="G83" s="31" t="s">
        <v>85</v>
      </c>
      <c r="I83" s="31" t="s">
        <v>84</v>
      </c>
      <c r="J83" s="31" t="s">
        <v>78</v>
      </c>
      <c r="K83" s="6" t="s">
        <v>81</v>
      </c>
      <c r="L83" s="6" t="s">
        <v>80</v>
      </c>
      <c r="M83" s="6" t="s">
        <v>79</v>
      </c>
      <c r="O83" s="6" t="s">
        <v>82</v>
      </c>
    </row>
    <row r="84" spans="2:15" x14ac:dyDescent="0.3">
      <c r="B84" s="6">
        <v>2021</v>
      </c>
      <c r="C84" s="31">
        <v>1</v>
      </c>
      <c r="D84" s="30">
        <f>D78</f>
        <v>10650371995.076469</v>
      </c>
      <c r="E84" s="30">
        <f>E79</f>
        <v>2611908846.6047249</v>
      </c>
      <c r="F84" s="30">
        <f>Model_SKY!C51</f>
        <v>31704823791.377499</v>
      </c>
      <c r="G84" s="4">
        <f>E84/F84</f>
        <v>8.2382064754293452E-2</v>
      </c>
      <c r="I84" s="4">
        <f>SUM(E84+J84)/F84 * (1-Model_SKY!$C$30)</f>
        <v>6.597012148834612E-2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3">
      <c r="B85" s="6">
        <v>2022</v>
      </c>
      <c r="C85" s="31">
        <v>2</v>
      </c>
      <c r="D85" s="30">
        <f>$D$5 * (1-$B$1)^(73*C85)</f>
        <v>8552859420.4562445</v>
      </c>
      <c r="E85" s="30">
        <f>(D84-D85) *(1- Model_SKY!$C$30)</f>
        <v>1678010059.6961801</v>
      </c>
      <c r="F85" s="30">
        <f>F84+E84</f>
        <v>34316732637.982224</v>
      </c>
      <c r="G85" s="4">
        <f t="shared" ref="G85:G88" si="15">E85/F85</f>
        <v>4.8897722210270562E-2</v>
      </c>
      <c r="I85" s="4">
        <f>SUM(E85+J85)/F85 * (1-Model_SKY!$C$30)</f>
        <v>4.2096316773410775E-2</v>
      </c>
      <c r="J85" s="30">
        <f>J84*50</f>
        <v>127750000</v>
      </c>
    </row>
    <row r="86" spans="2:15" x14ac:dyDescent="0.3">
      <c r="B86" s="6">
        <v>2023</v>
      </c>
      <c r="C86" s="31">
        <v>3</v>
      </c>
      <c r="D86" s="30">
        <f>$D$5 * (1-$B$1)^(73*C86)</f>
        <v>6868436548.4983969</v>
      </c>
      <c r="E86" s="30">
        <f>(D85-D86) *(1- Model_SKY!$C$30)</f>
        <v>1347538297.5662782</v>
      </c>
      <c r="F86" s="30">
        <f t="shared" ref="F86:F88" si="16">F85+E85</f>
        <v>35994742697.678406</v>
      </c>
      <c r="G86" s="4">
        <f t="shared" si="15"/>
        <v>3.7437086545785807E-2</v>
      </c>
      <c r="I86" s="4">
        <f>SUM(E86+J86)/F86 * (1-Model_SKY!$C$30)</f>
        <v>5.1244445711011888E-2</v>
      </c>
      <c r="J86" s="30">
        <f>J85*7.5</f>
        <v>958125000</v>
      </c>
    </row>
    <row r="87" spans="2:15" x14ac:dyDescent="0.3">
      <c r="B87" s="6">
        <v>2024</v>
      </c>
      <c r="C87" s="31">
        <v>4</v>
      </c>
      <c r="D87" s="30">
        <f>$D$5 * (1-$B$1)^(73*C87)</f>
        <v>5515748394.9656754</v>
      </c>
      <c r="E87" s="30">
        <f>(D86-D87) *(1- Model_SKY!$C$30)</f>
        <v>1082150522.8261774</v>
      </c>
      <c r="F87" s="30">
        <f t="shared" si="16"/>
        <v>37342280995.244682</v>
      </c>
      <c r="G87" s="4">
        <f t="shared" si="15"/>
        <v>2.8979229280717556E-2</v>
      </c>
      <c r="I87" s="4">
        <f>SUM(E87+J87)/F87 * (1-Model_SKY!$C$30)</f>
        <v>5.3972879121058519E-2</v>
      </c>
      <c r="J87" s="30">
        <f>J86*1.5</f>
        <v>1437187500</v>
      </c>
    </row>
    <row r="88" spans="2:15" x14ac:dyDescent="0.3">
      <c r="B88" s="6">
        <v>2025</v>
      </c>
      <c r="C88" s="31">
        <v>5</v>
      </c>
      <c r="D88" s="30">
        <f>$D$5 * (1-$B$1)^(73*C88)</f>
        <v>4429462242.4979258</v>
      </c>
      <c r="E88" s="30">
        <f>(D87-D88) *(1- Model_SKY!$C$30)</f>
        <v>869028921.97419977</v>
      </c>
      <c r="F88" s="30">
        <f t="shared" si="16"/>
        <v>38424431518.070862</v>
      </c>
      <c r="G88" s="4">
        <f t="shared" si="15"/>
        <v>2.2616571999653366E-2</v>
      </c>
      <c r="I88" s="4">
        <f>SUM(E88+J88)/F88 * (1-Model_SKY!$C$30)</f>
        <v>5.4000099821998188E-2</v>
      </c>
      <c r="J88" s="30">
        <f>J87*1.2</f>
        <v>1724625000</v>
      </c>
    </row>
    <row r="89" spans="2:15" x14ac:dyDescent="0.3">
      <c r="K89" s="23">
        <f>J88/((K92+(L92 *K93))/1000000)</f>
        <v>9249439.5122562256</v>
      </c>
    </row>
    <row r="91" spans="2:15" x14ac:dyDescent="0.3">
      <c r="K91" s="31" t="s">
        <v>12</v>
      </c>
      <c r="L91" s="31" t="s">
        <v>13</v>
      </c>
    </row>
    <row r="92" spans="2:15" x14ac:dyDescent="0.3">
      <c r="J92" s="6" t="s">
        <v>83</v>
      </c>
      <c r="K92" s="31">
        <v>44</v>
      </c>
      <c r="L92" s="31">
        <v>155381</v>
      </c>
    </row>
    <row r="93" spans="2:15" x14ac:dyDescent="0.3">
      <c r="J93" s="6" t="s">
        <v>86</v>
      </c>
      <c r="K93" s="31">
        <v>1200</v>
      </c>
    </row>
    <row r="94" spans="2:15" x14ac:dyDescent="0.3">
      <c r="K94" s="6">
        <f>K89/(21600 *73)</f>
        <v>5.8659560580011574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zoomScale="70" zoomScaleNormal="70" workbookViewId="0">
      <selection activeCell="S25" sqref="S25"/>
    </sheetView>
  </sheetViews>
  <sheetFormatPr defaultColWidth="9.109375" defaultRowHeight="14.4" x14ac:dyDescent="0.3"/>
  <cols>
    <col min="1" max="9" width="9.109375" style="6"/>
    <col min="10" max="10" width="9.109375" style="6" customWidth="1"/>
    <col min="11" max="16384" width="9.109375" style="6"/>
  </cols>
  <sheetData>
    <row r="1" spans="2:13" ht="15" thickBot="1" x14ac:dyDescent="0.35"/>
    <row r="2" spans="2:13" ht="21.6" thickBot="1" x14ac:dyDescent="0.45">
      <c r="E2" s="290" t="s">
        <v>97</v>
      </c>
      <c r="F2" s="291"/>
      <c r="G2" s="292"/>
      <c r="K2" s="290" t="s">
        <v>89</v>
      </c>
      <c r="L2" s="291"/>
      <c r="M2" s="292"/>
    </row>
    <row r="10" spans="2:13" ht="18" x14ac:dyDescent="0.35">
      <c r="B10" s="127" t="s">
        <v>54</v>
      </c>
    </row>
    <row r="42" spans="5:5" x14ac:dyDescent="0.3">
      <c r="E42" s="17" t="s">
        <v>98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9" zoomScaleNormal="100" workbookViewId="0">
      <selection activeCell="Q45" sqref="Q4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A7FF-9D3A-4343-A3F9-FA82DF79736B}">
  <dimension ref="A1:C41"/>
  <sheetViews>
    <sheetView workbookViewId="0">
      <selection sqref="A1:XFD1"/>
    </sheetView>
  </sheetViews>
  <sheetFormatPr defaultRowHeight="14.4" x14ac:dyDescent="0.3"/>
  <cols>
    <col min="1" max="1" width="9.109375" style="6"/>
    <col min="2" max="2" width="15.6640625" style="224" bestFit="1" customWidth="1"/>
    <col min="3" max="3" width="9.33203125" bestFit="1" customWidth="1"/>
  </cols>
  <sheetData>
    <row r="1" spans="1:3" s="102" customFormat="1" x14ac:dyDescent="0.3">
      <c r="A1" s="17" t="s">
        <v>55</v>
      </c>
      <c r="B1" s="276" t="s">
        <v>155</v>
      </c>
    </row>
    <row r="2" spans="1:3" x14ac:dyDescent="0.3">
      <c r="A2" s="6">
        <v>212</v>
      </c>
      <c r="B2" s="224">
        <v>44061.738888888889</v>
      </c>
    </row>
    <row r="3" spans="1:3" x14ac:dyDescent="0.3">
      <c r="A3" s="6">
        <v>213</v>
      </c>
      <c r="B3" s="224">
        <f>B2+5</f>
        <v>44066.738888888889</v>
      </c>
      <c r="C3" s="225"/>
    </row>
    <row r="4" spans="1:3" x14ac:dyDescent="0.3">
      <c r="A4" s="6">
        <v>214</v>
      </c>
      <c r="B4" s="224">
        <f t="shared" ref="B4:B41" si="0">B3+5</f>
        <v>44071.738888888889</v>
      </c>
    </row>
    <row r="5" spans="1:3" x14ac:dyDescent="0.3">
      <c r="A5" s="6">
        <v>215</v>
      </c>
      <c r="B5" s="224">
        <f t="shared" si="0"/>
        <v>44076.738888888889</v>
      </c>
    </row>
    <row r="6" spans="1:3" x14ac:dyDescent="0.3">
      <c r="A6" s="6">
        <v>216</v>
      </c>
      <c r="B6" s="224">
        <f t="shared" si="0"/>
        <v>44081.738888888889</v>
      </c>
    </row>
    <row r="7" spans="1:3" x14ac:dyDescent="0.3">
      <c r="A7" s="6">
        <v>217</v>
      </c>
      <c r="B7" s="224">
        <f t="shared" si="0"/>
        <v>44086.738888888889</v>
      </c>
    </row>
    <row r="8" spans="1:3" x14ac:dyDescent="0.3">
      <c r="A8" s="6">
        <v>218</v>
      </c>
      <c r="B8" s="224">
        <f t="shared" si="0"/>
        <v>44091.738888888889</v>
      </c>
    </row>
    <row r="9" spans="1:3" x14ac:dyDescent="0.3">
      <c r="A9" s="6">
        <v>219</v>
      </c>
      <c r="B9" s="224">
        <f t="shared" si="0"/>
        <v>44096.738888888889</v>
      </c>
    </row>
    <row r="10" spans="1:3" x14ac:dyDescent="0.3">
      <c r="A10" s="6">
        <v>220</v>
      </c>
      <c r="B10" s="224">
        <f t="shared" si="0"/>
        <v>44101.738888888889</v>
      </c>
    </row>
    <row r="11" spans="1:3" x14ac:dyDescent="0.3">
      <c r="A11" s="6">
        <v>221</v>
      </c>
      <c r="B11" s="224">
        <f t="shared" si="0"/>
        <v>44106.738888888889</v>
      </c>
    </row>
    <row r="12" spans="1:3" x14ac:dyDescent="0.3">
      <c r="A12" s="6">
        <v>222</v>
      </c>
      <c r="B12" s="224">
        <f t="shared" si="0"/>
        <v>44111.738888888889</v>
      </c>
    </row>
    <row r="13" spans="1:3" x14ac:dyDescent="0.3">
      <c r="A13" s="6">
        <v>223</v>
      </c>
      <c r="B13" s="224">
        <f t="shared" si="0"/>
        <v>44116.738888888889</v>
      </c>
    </row>
    <row r="14" spans="1:3" x14ac:dyDescent="0.3">
      <c r="A14" s="6">
        <v>224</v>
      </c>
      <c r="B14" s="224">
        <f t="shared" si="0"/>
        <v>44121.738888888889</v>
      </c>
    </row>
    <row r="15" spans="1:3" x14ac:dyDescent="0.3">
      <c r="A15" s="6">
        <v>225</v>
      </c>
      <c r="B15" s="224">
        <f t="shared" si="0"/>
        <v>44126.738888888889</v>
      </c>
    </row>
    <row r="16" spans="1:3" x14ac:dyDescent="0.3">
      <c r="A16" s="6">
        <v>226</v>
      </c>
      <c r="B16" s="224">
        <f t="shared" si="0"/>
        <v>44131.738888888889</v>
      </c>
    </row>
    <row r="17" spans="1:2" x14ac:dyDescent="0.3">
      <c r="A17" s="6">
        <v>227</v>
      </c>
      <c r="B17" s="224">
        <f t="shared" si="0"/>
        <v>44136.738888888889</v>
      </c>
    </row>
    <row r="18" spans="1:2" x14ac:dyDescent="0.3">
      <c r="A18" s="6">
        <v>228</v>
      </c>
      <c r="B18" s="224">
        <f t="shared" si="0"/>
        <v>44141.738888888889</v>
      </c>
    </row>
    <row r="19" spans="1:2" x14ac:dyDescent="0.3">
      <c r="A19" s="6">
        <v>229</v>
      </c>
      <c r="B19" s="224">
        <f t="shared" si="0"/>
        <v>44146.738888888889</v>
      </c>
    </row>
    <row r="20" spans="1:2" x14ac:dyDescent="0.3">
      <c r="A20" s="6">
        <v>230</v>
      </c>
      <c r="B20" s="224">
        <f t="shared" si="0"/>
        <v>44151.738888888889</v>
      </c>
    </row>
    <row r="21" spans="1:2" x14ac:dyDescent="0.3">
      <c r="A21" s="6">
        <v>231</v>
      </c>
      <c r="B21" s="224">
        <f t="shared" si="0"/>
        <v>44156.738888888889</v>
      </c>
    </row>
    <row r="22" spans="1:2" x14ac:dyDescent="0.3">
      <c r="A22" s="6">
        <v>232</v>
      </c>
      <c r="B22" s="224">
        <f t="shared" si="0"/>
        <v>44161.738888888889</v>
      </c>
    </row>
    <row r="23" spans="1:2" x14ac:dyDescent="0.3">
      <c r="A23" s="6">
        <v>233</v>
      </c>
      <c r="B23" s="224">
        <f t="shared" si="0"/>
        <v>44166.738888888889</v>
      </c>
    </row>
    <row r="24" spans="1:2" x14ac:dyDescent="0.3">
      <c r="A24" s="6">
        <v>234</v>
      </c>
      <c r="B24" s="224">
        <f t="shared" si="0"/>
        <v>44171.738888888889</v>
      </c>
    </row>
    <row r="25" spans="1:2" x14ac:dyDescent="0.3">
      <c r="A25" s="6">
        <v>235</v>
      </c>
      <c r="B25" s="224">
        <f t="shared" si="0"/>
        <v>44176.738888888889</v>
      </c>
    </row>
    <row r="26" spans="1:2" x14ac:dyDescent="0.3">
      <c r="A26" s="6">
        <v>236</v>
      </c>
      <c r="B26" s="224">
        <f t="shared" si="0"/>
        <v>44181.738888888889</v>
      </c>
    </row>
    <row r="27" spans="1:2" x14ac:dyDescent="0.3">
      <c r="A27" s="6">
        <v>237</v>
      </c>
      <c r="B27" s="224">
        <f t="shared" si="0"/>
        <v>44186.738888888889</v>
      </c>
    </row>
    <row r="28" spans="1:2" x14ac:dyDescent="0.3">
      <c r="A28" s="6">
        <v>238</v>
      </c>
      <c r="B28" s="224">
        <f t="shared" si="0"/>
        <v>44191.738888888889</v>
      </c>
    </row>
    <row r="29" spans="1:2" x14ac:dyDescent="0.3">
      <c r="A29" s="6">
        <v>239</v>
      </c>
      <c r="B29" s="224">
        <f t="shared" si="0"/>
        <v>44196.738888888889</v>
      </c>
    </row>
    <row r="30" spans="1:2" x14ac:dyDescent="0.3">
      <c r="A30" s="6">
        <v>240</v>
      </c>
      <c r="B30" s="224">
        <f t="shared" si="0"/>
        <v>44201.738888888889</v>
      </c>
    </row>
    <row r="31" spans="1:2" x14ac:dyDescent="0.3">
      <c r="A31" s="6">
        <v>241</v>
      </c>
      <c r="B31" s="224">
        <f t="shared" si="0"/>
        <v>44206.738888888889</v>
      </c>
    </row>
    <row r="32" spans="1:2" x14ac:dyDescent="0.3">
      <c r="A32" s="6">
        <v>242</v>
      </c>
      <c r="B32" s="224">
        <f t="shared" si="0"/>
        <v>44211.738888888889</v>
      </c>
    </row>
    <row r="33" spans="1:2" x14ac:dyDescent="0.3">
      <c r="A33" s="6">
        <v>243</v>
      </c>
      <c r="B33" s="224">
        <f t="shared" si="0"/>
        <v>44216.738888888889</v>
      </c>
    </row>
    <row r="34" spans="1:2" x14ac:dyDescent="0.3">
      <c r="A34" s="6">
        <v>244</v>
      </c>
      <c r="B34" s="224">
        <f t="shared" si="0"/>
        <v>44221.738888888889</v>
      </c>
    </row>
    <row r="35" spans="1:2" x14ac:dyDescent="0.3">
      <c r="A35" s="6">
        <v>245</v>
      </c>
      <c r="B35" s="224">
        <f t="shared" si="0"/>
        <v>44226.738888888889</v>
      </c>
    </row>
    <row r="36" spans="1:2" x14ac:dyDescent="0.3">
      <c r="A36" s="6">
        <v>246</v>
      </c>
      <c r="B36" s="224">
        <f t="shared" si="0"/>
        <v>44231.738888888889</v>
      </c>
    </row>
    <row r="37" spans="1:2" x14ac:dyDescent="0.3">
      <c r="A37" s="6">
        <v>247</v>
      </c>
      <c r="B37" s="224">
        <f t="shared" si="0"/>
        <v>44236.738888888889</v>
      </c>
    </row>
    <row r="38" spans="1:2" x14ac:dyDescent="0.3">
      <c r="A38" s="6">
        <v>248</v>
      </c>
      <c r="B38" s="224">
        <f t="shared" si="0"/>
        <v>44241.738888888889</v>
      </c>
    </row>
    <row r="39" spans="1:2" x14ac:dyDescent="0.3">
      <c r="A39" s="6">
        <v>249</v>
      </c>
      <c r="B39" s="224">
        <f t="shared" si="0"/>
        <v>44246.738888888889</v>
      </c>
    </row>
    <row r="40" spans="1:2" x14ac:dyDescent="0.3">
      <c r="A40" s="6">
        <v>250</v>
      </c>
      <c r="B40" s="224">
        <f t="shared" si="0"/>
        <v>44251.738888888889</v>
      </c>
    </row>
    <row r="41" spans="1:2" x14ac:dyDescent="0.3">
      <c r="A41" s="6">
        <v>251</v>
      </c>
      <c r="B41" s="224">
        <f t="shared" si="0"/>
        <v>44256.738888888889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Model_SKY</vt:lpstr>
      <vt:lpstr>SKY</vt:lpstr>
      <vt:lpstr>SKY2</vt:lpstr>
      <vt:lpstr>rho</vt:lpstr>
      <vt:lpstr>Reward mechanism</vt:lpstr>
      <vt:lpstr>2020 Distributions Graph</vt:lpstr>
      <vt:lpstr>Epoch Dates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'SKY2'!t.blocks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2020-08-30T11:32:51Z</dcterms:modified>
</cp:coreProperties>
</file>