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s\Documents\8. Cardano StakePool\Cardano Staking\"/>
    </mc:Choice>
  </mc:AlternateContent>
  <xr:revisionPtr revIDLastSave="0" documentId="13_ncr:1_{CC0827F4-A9F9-4FC1-BC30-43521D6D145C}" xr6:coauthVersionLast="45" xr6:coauthVersionMax="45" xr10:uidLastSave="{00000000-0000-0000-0000-000000000000}"/>
  <bookViews>
    <workbookView xWindow="-120" yWindow="-120" windowWidth="29040" windowHeight="15840" tabRatio="779" activeTab="9" xr2:uid="{0555CF38-D1C2-4BD8-9E20-82DC46488446}"/>
  </bookViews>
  <sheets>
    <sheet name="SKY" sheetId="33" r:id="rId1"/>
    <sheet name="SKY2" sheetId="40" r:id="rId2"/>
    <sheet name="rho" sheetId="22" r:id="rId3"/>
    <sheet name="Rewards_SKY" sheetId="1" r:id="rId4"/>
    <sheet name="Rewards_SKY2" sheetId="39" r:id="rId5"/>
    <sheet name="Epoch_Times" sheetId="35" r:id="rId6"/>
    <sheet name="2020 Distributions Graph" sheetId="23" r:id="rId7"/>
    <sheet name="Reward mechanism" sheetId="34" r:id="rId8"/>
    <sheet name="Pool_calculations" sheetId="42" r:id="rId9"/>
    <sheet name="Rewards_Chart" sheetId="41" r:id="rId10"/>
  </sheets>
  <definedNames>
    <definedName name="_xlchart.v1.0" hidden="1">Rewards_Chart!$D$2:$F$2</definedName>
    <definedName name="_xlchart.v1.1" hidden="1">Rewards_Chart!$D$9:$F$9</definedName>
    <definedName name="_xlchart.v1.2" hidden="1">Rewards_Chart!$G$2</definedName>
    <definedName name="_xlchart.v1.3" hidden="1">Rewards_Chart!$G$9</definedName>
    <definedName name="ada_price" localSheetId="8">Pool_calculations!$C$39</definedName>
    <definedName name="ada_price" localSheetId="4">Rewards_SKY2!$C$39</definedName>
    <definedName name="ada_price">Rewards_SKY!$C$39</definedName>
    <definedName name="av_epoch_rewards" localSheetId="8">Pool_calculations!$C$35</definedName>
    <definedName name="av_epoch_rewards" localSheetId="4">Rewards_SKY2!$C$35</definedName>
    <definedName name="av_epoch_rewards">Rewards_SKY!$C$35</definedName>
    <definedName name="epoch_length" localSheetId="8">Pool_calculations!$C$31</definedName>
    <definedName name="epoch_length" localSheetId="4">Rewards_SKY2!$C$31</definedName>
    <definedName name="epoch_length">Rewards_SKY!$C$31</definedName>
    <definedName name="fixed_opex" localSheetId="8">Pool_calculations!$C$38</definedName>
    <definedName name="fixed_opex" localSheetId="4">Rewards_SKY2!$C$38</definedName>
    <definedName name="fixed_opex">Rewards_SKY!$C$38</definedName>
    <definedName name="nOps" localSheetId="8">Pool_calculations!$C$28</definedName>
    <definedName name="nOps" localSheetId="4">Rewards_SKY2!$C$28</definedName>
    <definedName name="nOps">Rewards_SKY!$C$28</definedName>
    <definedName name="op_year" localSheetId="8">Pool_calculations!$C$27</definedName>
    <definedName name="op_year" localSheetId="4">Rewards_SKY2!$C$27</definedName>
    <definedName name="op_year">Rewards_SKY!$C$27</definedName>
    <definedName name="performance_fee" localSheetId="8">Pool_calculations!$C$41</definedName>
    <definedName name="performance_fee" localSheetId="4">Rewards_SKY2!$C$41</definedName>
    <definedName name="performance_fee">Rewards_SKY!$C$41</definedName>
    <definedName name="pledge" localSheetId="8">Pool_calculations!$C$42</definedName>
    <definedName name="pledge" localSheetId="4">Rewards_SKY2!$C$42</definedName>
    <definedName name="pledge">Rewards_SKY!$C$42</definedName>
    <definedName name="pool_rewards_AT" localSheetId="8">Pool_calculations!$C$44</definedName>
    <definedName name="pool_rewards_AT" localSheetId="4">Rewards_SKY2!$C$44</definedName>
    <definedName name="pool_rewards_AT">Rewards_SKY!$C$44</definedName>
    <definedName name="pool_size" localSheetId="8">Pool_calculations!$C$43</definedName>
    <definedName name="pool_size" localSheetId="4">Rewards_SKY2!$C$43</definedName>
    <definedName name="pool_size">Rewards_SKY!$C$43</definedName>
    <definedName name="poop_performance" localSheetId="8">Pool_calculations!$C$40</definedName>
    <definedName name="poop_performance" localSheetId="4">Rewards_SKY2!$C$40</definedName>
    <definedName name="poop_performance">Rewards_SKY!$C$40</definedName>
    <definedName name="rho" localSheetId="8">Pool_calculations!$C$29</definedName>
    <definedName name="rho" localSheetId="4">Rewards_SKY2!$C$29</definedName>
    <definedName name="rho">Rewards_SKY!$C$29</definedName>
    <definedName name="saturation_point" localSheetId="8">Pool_calculations!$C$36</definedName>
    <definedName name="saturation_point" localSheetId="4">Rewards_SKY2!$C$36</definedName>
    <definedName name="saturation_point">Rewards_SKY!$C$36</definedName>
    <definedName name="staked_ada" localSheetId="8">Pool_calculations!$C$34</definedName>
    <definedName name="staked_ada" localSheetId="4">Rewards_SKY2!$C$34</definedName>
    <definedName name="staked_ada">Rewards_SKY!$C$34</definedName>
    <definedName name="staking_ratio" localSheetId="8">Pool_calculations!$C$33</definedName>
    <definedName name="staking_ratio" localSheetId="4">Rewards_SKY2!$C$33</definedName>
    <definedName name="staking_ratio">Rewards_SKY!$C$33</definedName>
    <definedName name="t.blocks" localSheetId="1">'SKY2'!$D$30</definedName>
    <definedName name="t.blocks">SKY!$D$30</definedName>
    <definedName name="total_supply" localSheetId="8">Pool_calculations!$C$32</definedName>
    <definedName name="total_supply" localSheetId="4">Rewards_SKY2!$C$32</definedName>
    <definedName name="total_supply">Rewards_SKY!$C$32</definedName>
    <definedName name="tr_tax" localSheetId="8">Pool_calculations!$C$30</definedName>
    <definedName name="tr_tax" localSheetId="4">Rewards_SKY2!$C$30</definedName>
    <definedName name="tr_tax">Rewards_SKY!$C$30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3" i="39" l="1"/>
  <c r="C43" i="42"/>
  <c r="C41" i="42"/>
  <c r="F3" i="42" s="1"/>
  <c r="C42" i="42"/>
  <c r="C40" i="42"/>
  <c r="C38" i="42"/>
  <c r="C93" i="42"/>
  <c r="F90" i="42"/>
  <c r="C90" i="42"/>
  <c r="C89" i="42"/>
  <c r="C88" i="42"/>
  <c r="F87" i="42"/>
  <c r="C87" i="42"/>
  <c r="F86" i="42"/>
  <c r="C86" i="42"/>
  <c r="C85" i="42"/>
  <c r="C84" i="42"/>
  <c r="C83" i="42"/>
  <c r="C82" i="42"/>
  <c r="C81" i="42"/>
  <c r="C80" i="42"/>
  <c r="C79" i="42"/>
  <c r="C78" i="42"/>
  <c r="C77" i="42"/>
  <c r="C76" i="42"/>
  <c r="C75" i="42"/>
  <c r="C74" i="42"/>
  <c r="C73" i="42"/>
  <c r="C72" i="42"/>
  <c r="X66" i="42"/>
  <c r="W66" i="42"/>
  <c r="V66" i="42"/>
  <c r="U66" i="42"/>
  <c r="T66" i="42"/>
  <c r="S66" i="42"/>
  <c r="R66" i="42"/>
  <c r="Q66" i="42"/>
  <c r="P66" i="42"/>
  <c r="O66" i="42"/>
  <c r="N66" i="42"/>
  <c r="M66" i="42"/>
  <c r="L66" i="42"/>
  <c r="K66" i="42"/>
  <c r="J66" i="42"/>
  <c r="I66" i="42"/>
  <c r="H66" i="42"/>
  <c r="G66" i="42"/>
  <c r="F64" i="42"/>
  <c r="F61" i="42"/>
  <c r="F60" i="42"/>
  <c r="Y56" i="42"/>
  <c r="F38" i="42"/>
  <c r="F35" i="42"/>
  <c r="C35" i="42"/>
  <c r="F34" i="42"/>
  <c r="C34" i="42"/>
  <c r="X29" i="42"/>
  <c r="W29" i="42"/>
  <c r="V29" i="42"/>
  <c r="U29" i="42"/>
  <c r="T29" i="42"/>
  <c r="S29" i="42"/>
  <c r="R29" i="42"/>
  <c r="Q29" i="42"/>
  <c r="P29" i="42"/>
  <c r="O29" i="42"/>
  <c r="N29" i="42"/>
  <c r="M29" i="42"/>
  <c r="L29" i="42"/>
  <c r="K29" i="42"/>
  <c r="J29" i="42"/>
  <c r="I29" i="42"/>
  <c r="H29" i="42"/>
  <c r="G29" i="42"/>
  <c r="X25" i="42"/>
  <c r="W25" i="42"/>
  <c r="V25" i="42"/>
  <c r="U25" i="42"/>
  <c r="T25" i="42"/>
  <c r="S25" i="42"/>
  <c r="R25" i="42"/>
  <c r="Q25" i="42"/>
  <c r="P25" i="42"/>
  <c r="O25" i="42"/>
  <c r="N25" i="42"/>
  <c r="M25" i="42"/>
  <c r="L25" i="42"/>
  <c r="K25" i="42"/>
  <c r="J25" i="42"/>
  <c r="I25" i="42"/>
  <c r="H25" i="42"/>
  <c r="G25" i="42"/>
  <c r="C22" i="42"/>
  <c r="C7" i="42"/>
  <c r="C12" i="42" s="1"/>
  <c r="F5" i="42"/>
  <c r="F2" i="42"/>
  <c r="F1" i="42"/>
  <c r="C93" i="1"/>
  <c r="E3" i="41"/>
  <c r="D3" i="41"/>
  <c r="C3" i="41"/>
  <c r="C4" i="41"/>
  <c r="C5" i="41"/>
  <c r="C6" i="41"/>
  <c r="C7" i="41"/>
  <c r="C8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9" i="41"/>
  <c r="F3" i="1"/>
  <c r="B25" i="41"/>
  <c r="C25" i="41"/>
  <c r="B26" i="41"/>
  <c r="C26" i="41"/>
  <c r="B27" i="41"/>
  <c r="C27" i="41"/>
  <c r="B28" i="41"/>
  <c r="C28" i="41"/>
  <c r="B29" i="41"/>
  <c r="C29" i="41"/>
  <c r="B30" i="41"/>
  <c r="C30" i="41"/>
  <c r="B31" i="41"/>
  <c r="C31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9" i="41"/>
  <c r="D26" i="33"/>
  <c r="D27" i="33"/>
  <c r="D26" i="40"/>
  <c r="D27" i="40"/>
  <c r="C34" i="1"/>
  <c r="B4" i="41"/>
  <c r="B5" i="41"/>
  <c r="B6" i="41"/>
  <c r="B7" i="41"/>
  <c r="B8" i="41"/>
  <c r="B9" i="41"/>
  <c r="B10" i="41"/>
  <c r="B11" i="41"/>
  <c r="B12" i="41"/>
  <c r="B13" i="41"/>
  <c r="B14" i="41"/>
  <c r="B15" i="41"/>
  <c r="B16" i="41"/>
  <c r="B17" i="41"/>
  <c r="B18" i="41"/>
  <c r="B19" i="41"/>
  <c r="B20" i="41"/>
  <c r="B21" i="41"/>
  <c r="B22" i="41"/>
  <c r="B23" i="41"/>
  <c r="B24" i="41"/>
  <c r="B3" i="41"/>
  <c r="F63" i="42" l="1"/>
  <c r="F89" i="42"/>
  <c r="F37" i="42"/>
  <c r="F88" i="42"/>
  <c r="F36" i="42"/>
  <c r="F62" i="42"/>
  <c r="F4" i="42"/>
  <c r="H9" i="40"/>
  <c r="H10" i="40"/>
  <c r="H11" i="40"/>
  <c r="H12" i="40"/>
  <c r="H13" i="40"/>
  <c r="H14" i="40"/>
  <c r="H15" i="40"/>
  <c r="H16" i="40"/>
  <c r="H17" i="40"/>
  <c r="H18" i="40"/>
  <c r="H19" i="40"/>
  <c r="H20" i="40"/>
  <c r="H21" i="40"/>
  <c r="H22" i="40"/>
  <c r="H23" i="40"/>
  <c r="H4" i="40"/>
  <c r="H5" i="40"/>
  <c r="H6" i="40"/>
  <c r="H7" i="40"/>
  <c r="I5" i="40" l="1"/>
  <c r="H8" i="40"/>
  <c r="G8" i="40"/>
  <c r="F90" i="1" l="1"/>
  <c r="F89" i="1"/>
  <c r="F88" i="1"/>
  <c r="F87" i="1"/>
  <c r="F86" i="1"/>
  <c r="C34" i="39"/>
  <c r="L6" i="40" l="1"/>
  <c r="L7" i="40"/>
  <c r="L8" i="40"/>
  <c r="L9" i="40" s="1"/>
  <c r="L10" i="40" s="1"/>
  <c r="L11" i="40" s="1"/>
  <c r="L12" i="40" s="1"/>
  <c r="L13" i="40" s="1"/>
  <c r="L14" i="40" s="1"/>
  <c r="L15" i="40" s="1"/>
  <c r="L16" i="40" s="1"/>
  <c r="L17" i="40" s="1"/>
  <c r="L18" i="40" s="1"/>
  <c r="L19" i="40" s="1"/>
  <c r="L20" i="40" s="1"/>
  <c r="L21" i="40" s="1"/>
  <c r="L22" i="40" s="1"/>
  <c r="L23" i="40" s="1"/>
  <c r="L5" i="40"/>
  <c r="D32" i="40"/>
  <c r="D95" i="40" s="1"/>
  <c r="AC23" i="40"/>
  <c r="U23" i="40"/>
  <c r="V23" i="40" s="1"/>
  <c r="AC22" i="40"/>
  <c r="U22" i="40"/>
  <c r="V22" i="40" s="1"/>
  <c r="AC21" i="40"/>
  <c r="U21" i="40"/>
  <c r="V21" i="40" s="1"/>
  <c r="AC20" i="40"/>
  <c r="AC19" i="40"/>
  <c r="AC18" i="40"/>
  <c r="AC17" i="40"/>
  <c r="AC16" i="40"/>
  <c r="AC15" i="40"/>
  <c r="AC14" i="40"/>
  <c r="AC13" i="40"/>
  <c r="AC12" i="40"/>
  <c r="AC11" i="40"/>
  <c r="AC10" i="40"/>
  <c r="AC9" i="40"/>
  <c r="AC8" i="40"/>
  <c r="Z8" i="40"/>
  <c r="Z9" i="40" s="1"/>
  <c r="U8" i="40"/>
  <c r="V8" i="40" s="1"/>
  <c r="AC7" i="40"/>
  <c r="Z7" i="40"/>
  <c r="U7" i="40"/>
  <c r="V7" i="40" s="1"/>
  <c r="AC6" i="40"/>
  <c r="U6" i="40"/>
  <c r="V6" i="40" s="1"/>
  <c r="I6" i="40"/>
  <c r="I7" i="40" s="1"/>
  <c r="I8" i="40" s="1"/>
  <c r="AC5" i="40"/>
  <c r="V5" i="40"/>
  <c r="U5" i="40"/>
  <c r="AC4" i="40"/>
  <c r="AB4" i="40"/>
  <c r="AD4" i="40" s="1"/>
  <c r="AA4" i="40"/>
  <c r="AE4" i="40" s="1"/>
  <c r="V4" i="40"/>
  <c r="U4" i="40"/>
  <c r="D51" i="40" l="1"/>
  <c r="D61" i="40"/>
  <c r="D73" i="40"/>
  <c r="D74" i="40"/>
  <c r="D98" i="40"/>
  <c r="D84" i="40"/>
  <c r="D48" i="40"/>
  <c r="D72" i="40"/>
  <c r="D85" i="40"/>
  <c r="D39" i="40"/>
  <c r="D86" i="40"/>
  <c r="D40" i="40"/>
  <c r="D87" i="40"/>
  <c r="D52" i="40"/>
  <c r="D60" i="40"/>
  <c r="D62" i="40"/>
  <c r="D88" i="40"/>
  <c r="D63" i="40"/>
  <c r="D96" i="40"/>
  <c r="D38" i="40"/>
  <c r="D64" i="40"/>
  <c r="D97" i="40"/>
  <c r="D49" i="40"/>
  <c r="D75" i="40"/>
  <c r="D50" i="40"/>
  <c r="D76" i="40"/>
  <c r="Z10" i="40"/>
  <c r="U9" i="40"/>
  <c r="V9" i="40" s="1"/>
  <c r="I9" i="40"/>
  <c r="D41" i="40"/>
  <c r="D53" i="40"/>
  <c r="D65" i="40"/>
  <c r="D77" i="40"/>
  <c r="D89" i="40"/>
  <c r="D42" i="40"/>
  <c r="D54" i="40"/>
  <c r="D66" i="40"/>
  <c r="D78" i="40"/>
  <c r="D90" i="40"/>
  <c r="D43" i="40"/>
  <c r="D55" i="40"/>
  <c r="D67" i="40"/>
  <c r="D79" i="40"/>
  <c r="D91" i="40"/>
  <c r="D44" i="40"/>
  <c r="D56" i="40"/>
  <c r="D68" i="40"/>
  <c r="D80" i="40"/>
  <c r="D92" i="40"/>
  <c r="D45" i="40"/>
  <c r="D57" i="40"/>
  <c r="D69" i="40"/>
  <c r="D81" i="40"/>
  <c r="D93" i="40"/>
  <c r="D46" i="40"/>
  <c r="D58" i="40"/>
  <c r="D70" i="40"/>
  <c r="D82" i="40"/>
  <c r="D94" i="40"/>
  <c r="D33" i="40"/>
  <c r="D34" i="40" s="1"/>
  <c r="D35" i="40" s="1"/>
  <c r="D47" i="40"/>
  <c r="D59" i="40"/>
  <c r="D71" i="40"/>
  <c r="D83" i="40"/>
  <c r="I10" i="40" l="1"/>
  <c r="U10" i="40"/>
  <c r="V10" i="40" s="1"/>
  <c r="Z11" i="40"/>
  <c r="I11" i="40" l="1"/>
  <c r="Z12" i="40"/>
  <c r="U11" i="40"/>
  <c r="V11" i="40" s="1"/>
  <c r="U12" i="40" l="1"/>
  <c r="V12" i="40" s="1"/>
  <c r="Z13" i="40"/>
  <c r="I12" i="40"/>
  <c r="Z14" i="40" l="1"/>
  <c r="U13" i="40"/>
  <c r="V13" i="40" s="1"/>
  <c r="I13" i="40"/>
  <c r="I14" i="40" l="1"/>
  <c r="U14" i="40"/>
  <c r="V14" i="40" s="1"/>
  <c r="Z15" i="40"/>
  <c r="Z16" i="40" l="1"/>
  <c r="U15" i="40"/>
  <c r="V15" i="40" s="1"/>
  <c r="I15" i="40"/>
  <c r="Z17" i="40" l="1"/>
  <c r="U16" i="40"/>
  <c r="V16" i="40" s="1"/>
  <c r="I16" i="40"/>
  <c r="U17" i="40" l="1"/>
  <c r="V17" i="40" s="1"/>
  <c r="Z18" i="40"/>
  <c r="I17" i="40"/>
  <c r="I18" i="40" l="1"/>
  <c r="Z19" i="40"/>
  <c r="U18" i="40"/>
  <c r="V18" i="40" s="1"/>
  <c r="U19" i="40" l="1"/>
  <c r="V19" i="40" s="1"/>
  <c r="Z20" i="40"/>
  <c r="U20" i="40" s="1"/>
  <c r="V20" i="40" s="1"/>
  <c r="I19" i="40"/>
  <c r="I20" i="40" l="1"/>
  <c r="I21" i="40" l="1"/>
  <c r="I22" i="40" l="1"/>
  <c r="I23" i="40" l="1"/>
  <c r="F1" i="22" l="1"/>
  <c r="X66" i="39" l="1"/>
  <c r="W66" i="39"/>
  <c r="V66" i="39"/>
  <c r="U66" i="39"/>
  <c r="T66" i="39"/>
  <c r="S66" i="39"/>
  <c r="R66" i="39"/>
  <c r="Q66" i="39"/>
  <c r="P66" i="39"/>
  <c r="O66" i="39"/>
  <c r="N66" i="39"/>
  <c r="M66" i="39"/>
  <c r="L66" i="39"/>
  <c r="K66" i="39"/>
  <c r="J66" i="39"/>
  <c r="I66" i="39"/>
  <c r="H66" i="39"/>
  <c r="G66" i="39"/>
  <c r="F64" i="39"/>
  <c r="F63" i="39"/>
  <c r="F62" i="39"/>
  <c r="F61" i="39"/>
  <c r="F60" i="39"/>
  <c r="Y56" i="39"/>
  <c r="F38" i="39"/>
  <c r="F37" i="39"/>
  <c r="F36" i="39"/>
  <c r="F35" i="39"/>
  <c r="F34" i="39"/>
  <c r="X29" i="39"/>
  <c r="W29" i="39"/>
  <c r="V29" i="39"/>
  <c r="U29" i="39"/>
  <c r="T29" i="39"/>
  <c r="S29" i="39"/>
  <c r="R29" i="39"/>
  <c r="Q29" i="39"/>
  <c r="P29" i="39"/>
  <c r="O29" i="39"/>
  <c r="N29" i="39"/>
  <c r="M29" i="39"/>
  <c r="L29" i="39"/>
  <c r="K29" i="39"/>
  <c r="J29" i="39"/>
  <c r="I29" i="39"/>
  <c r="H29" i="39"/>
  <c r="G29" i="39"/>
  <c r="X25" i="39"/>
  <c r="W25" i="39"/>
  <c r="V25" i="39"/>
  <c r="U25" i="39"/>
  <c r="T25" i="39"/>
  <c r="S25" i="39"/>
  <c r="R25" i="39"/>
  <c r="Q25" i="39"/>
  <c r="P25" i="39"/>
  <c r="O25" i="39"/>
  <c r="N25" i="39"/>
  <c r="M25" i="39"/>
  <c r="L25" i="39"/>
  <c r="K25" i="39"/>
  <c r="J25" i="39"/>
  <c r="I25" i="39"/>
  <c r="H25" i="39"/>
  <c r="G25" i="39"/>
  <c r="C22" i="39"/>
  <c r="F17" i="39"/>
  <c r="C7" i="39"/>
  <c r="C12" i="39" s="1"/>
  <c r="F5" i="39"/>
  <c r="F4" i="39"/>
  <c r="F3" i="39"/>
  <c r="F2" i="39"/>
  <c r="F1" i="39"/>
  <c r="D3" i="22" l="1"/>
  <c r="D1" i="22" s="1"/>
  <c r="G1" i="22" s="1"/>
  <c r="I6" i="33" l="1"/>
  <c r="I7" i="33" s="1"/>
  <c r="I8" i="33" s="1"/>
  <c r="I9" i="33" s="1"/>
  <c r="I10" i="33" s="1"/>
  <c r="I11" i="33" s="1"/>
  <c r="I12" i="33" s="1"/>
  <c r="I13" i="33" s="1"/>
  <c r="I14" i="33" s="1"/>
  <c r="I15" i="33" s="1"/>
  <c r="I16" i="33" s="1"/>
  <c r="I17" i="33" s="1"/>
  <c r="I18" i="33" s="1"/>
  <c r="I19" i="33" s="1"/>
  <c r="I20" i="33" s="1"/>
  <c r="I21" i="33" s="1"/>
  <c r="I22" i="33" s="1"/>
  <c r="I23" i="33" s="1"/>
  <c r="D32" i="33" l="1"/>
  <c r="D97" i="33" s="1"/>
  <c r="D50" i="33" l="1"/>
  <c r="D98" i="33"/>
  <c r="D39" i="33"/>
  <c r="D75" i="33"/>
  <c r="D52" i="33"/>
  <c r="D88" i="33"/>
  <c r="D41" i="33"/>
  <c r="D53" i="33"/>
  <c r="D65" i="33"/>
  <c r="D77" i="33"/>
  <c r="D89" i="33"/>
  <c r="D42" i="33"/>
  <c r="D54" i="33"/>
  <c r="D66" i="33"/>
  <c r="D78" i="33"/>
  <c r="D90" i="33"/>
  <c r="D43" i="33"/>
  <c r="D55" i="33"/>
  <c r="D67" i="33"/>
  <c r="D79" i="33"/>
  <c r="D91" i="33"/>
  <c r="D74" i="33"/>
  <c r="D51" i="33"/>
  <c r="D40" i="33"/>
  <c r="D76" i="33"/>
  <c r="D56" i="33"/>
  <c r="D92" i="33"/>
  <c r="D57" i="33"/>
  <c r="D70" i="33"/>
  <c r="D59" i="33"/>
  <c r="D95" i="33"/>
  <c r="D62" i="33"/>
  <c r="D86" i="33"/>
  <c r="D63" i="33"/>
  <c r="D87" i="33"/>
  <c r="D64" i="33"/>
  <c r="D44" i="33"/>
  <c r="D68" i="33"/>
  <c r="D80" i="33"/>
  <c r="D45" i="33"/>
  <c r="D69" i="33"/>
  <c r="D81" i="33"/>
  <c r="D93" i="33"/>
  <c r="D46" i="33"/>
  <c r="D58" i="33"/>
  <c r="D82" i="33"/>
  <c r="D94" i="33"/>
  <c r="D47" i="33"/>
  <c r="D71" i="33"/>
  <c r="D83" i="33"/>
  <c r="D48" i="33"/>
  <c r="D60" i="33"/>
  <c r="D72" i="33"/>
  <c r="D84" i="33"/>
  <c r="D96" i="33"/>
  <c r="D49" i="33"/>
  <c r="D61" i="33"/>
  <c r="D73" i="33"/>
  <c r="D85" i="33"/>
  <c r="D38" i="33"/>
  <c r="G4" i="33" l="1"/>
  <c r="B3" i="35" l="1"/>
  <c r="B4" i="40" l="1"/>
  <c r="B4" i="33"/>
  <c r="B4" i="35"/>
  <c r="B5" i="35" l="1"/>
  <c r="B5" i="40"/>
  <c r="B5" i="33"/>
  <c r="B6" i="35" l="1"/>
  <c r="B6" i="33"/>
  <c r="B6" i="40"/>
  <c r="C7" i="1"/>
  <c r="B7" i="35" l="1"/>
  <c r="B7" i="33"/>
  <c r="B7" i="40"/>
  <c r="A129" i="33"/>
  <c r="A125" i="33"/>
  <c r="A130" i="33"/>
  <c r="A131" i="33"/>
  <c r="A121" i="33"/>
  <c r="A133" i="33"/>
  <c r="A122" i="33"/>
  <c r="A123" i="33"/>
  <c r="A135" i="33"/>
  <c r="A137" i="33"/>
  <c r="A138" i="33"/>
  <c r="A127" i="33"/>
  <c r="A140" i="33"/>
  <c r="A139" i="33"/>
  <c r="A132" i="33"/>
  <c r="A134" i="33"/>
  <c r="A124" i="33"/>
  <c r="A136" i="33"/>
  <c r="A126" i="33"/>
  <c r="A128" i="33"/>
  <c r="A140" i="40"/>
  <c r="A139" i="40"/>
  <c r="A137" i="40"/>
  <c r="A138" i="40"/>
  <c r="A135" i="40"/>
  <c r="A136" i="40"/>
  <c r="A132" i="40"/>
  <c r="A134" i="40"/>
  <c r="A133" i="40"/>
  <c r="A130" i="40"/>
  <c r="A129" i="40"/>
  <c r="A131" i="40"/>
  <c r="A128" i="40"/>
  <c r="A127" i="40"/>
  <c r="A126" i="40"/>
  <c r="A125" i="40"/>
  <c r="A124" i="40"/>
  <c r="A123" i="40"/>
  <c r="A122" i="40"/>
  <c r="A121" i="40"/>
  <c r="Z7" i="33"/>
  <c r="Z8" i="33" s="1"/>
  <c r="V4" i="33"/>
  <c r="V5" i="33"/>
  <c r="U6" i="33"/>
  <c r="V6" i="33" s="1"/>
  <c r="AC23" i="33"/>
  <c r="U21" i="33"/>
  <c r="V21" i="33" s="1"/>
  <c r="U22" i="33"/>
  <c r="V22" i="33" s="1"/>
  <c r="U23" i="33"/>
  <c r="V23" i="33" s="1"/>
  <c r="U5" i="33"/>
  <c r="U4" i="33"/>
  <c r="AC19" i="33"/>
  <c r="AC20" i="33"/>
  <c r="AC21" i="33"/>
  <c r="AC22" i="33"/>
  <c r="AB4" i="33"/>
  <c r="AC5" i="33"/>
  <c r="AC6" i="33"/>
  <c r="AC7" i="33"/>
  <c r="AC8" i="33"/>
  <c r="AC9" i="33"/>
  <c r="AC10" i="33"/>
  <c r="AC11" i="33"/>
  <c r="AC12" i="33"/>
  <c r="AC13" i="33"/>
  <c r="AC14" i="33"/>
  <c r="AC15" i="33"/>
  <c r="AC16" i="33"/>
  <c r="AC17" i="33"/>
  <c r="AC18" i="33"/>
  <c r="AC4" i="33"/>
  <c r="B8" i="35" l="1"/>
  <c r="B8" i="40"/>
  <c r="B8" i="33"/>
  <c r="U8" i="33"/>
  <c r="V8" i="33" s="1"/>
  <c r="Z9" i="33"/>
  <c r="U7" i="33"/>
  <c r="V7" i="33" s="1"/>
  <c r="AD4" i="33"/>
  <c r="AA4" i="33"/>
  <c r="AE4" i="33" s="1"/>
  <c r="B9" i="35" l="1"/>
  <c r="B9" i="33"/>
  <c r="B9" i="40"/>
  <c r="U9" i="33"/>
  <c r="V9" i="33" s="1"/>
  <c r="Z10" i="33"/>
  <c r="B10" i="35" l="1"/>
  <c r="B10" i="40"/>
  <c r="B10" i="33"/>
  <c r="Z11" i="33"/>
  <c r="U10" i="33"/>
  <c r="V10" i="33" s="1"/>
  <c r="C7" i="22"/>
  <c r="C8" i="22" s="1"/>
  <c r="C9" i="22" s="1"/>
  <c r="C10" i="22" s="1"/>
  <c r="C11" i="22" s="1"/>
  <c r="C12" i="22" s="1"/>
  <c r="C13" i="22" s="1"/>
  <c r="C14" i="22" s="1"/>
  <c r="C15" i="22" s="1"/>
  <c r="C16" i="22" s="1"/>
  <c r="C17" i="22" s="1"/>
  <c r="C18" i="22" s="1"/>
  <c r="C19" i="22" s="1"/>
  <c r="C20" i="22" s="1"/>
  <c r="C21" i="22" s="1"/>
  <c r="C22" i="22" s="1"/>
  <c r="C23" i="22" s="1"/>
  <c r="C24" i="22" s="1"/>
  <c r="C25" i="22" s="1"/>
  <c r="C26" i="22" s="1"/>
  <c r="C27" i="22" s="1"/>
  <c r="C28" i="22" s="1"/>
  <c r="C29" i="22" s="1"/>
  <c r="C30" i="22" s="1"/>
  <c r="C31" i="22" s="1"/>
  <c r="C32" i="22" s="1"/>
  <c r="C33" i="22" s="1"/>
  <c r="C34" i="22" s="1"/>
  <c r="C35" i="22" s="1"/>
  <c r="C36" i="22" s="1"/>
  <c r="C37" i="22" s="1"/>
  <c r="C38" i="22" s="1"/>
  <c r="C39" i="22" s="1"/>
  <c r="C40" i="22" s="1"/>
  <c r="C41" i="22" s="1"/>
  <c r="C42" i="22" s="1"/>
  <c r="C43" i="22" s="1"/>
  <c r="C44" i="22" s="1"/>
  <c r="C45" i="22" s="1"/>
  <c r="C46" i="22" s="1"/>
  <c r="C47" i="22" s="1"/>
  <c r="C48" i="22" s="1"/>
  <c r="C49" i="22" s="1"/>
  <c r="C50" i="22" s="1"/>
  <c r="C51" i="22" s="1"/>
  <c r="C52" i="22" s="1"/>
  <c r="C53" i="22" s="1"/>
  <c r="C54" i="22" s="1"/>
  <c r="C55" i="22" s="1"/>
  <c r="C56" i="22" s="1"/>
  <c r="C57" i="22" s="1"/>
  <c r="C58" i="22" s="1"/>
  <c r="C59" i="22" s="1"/>
  <c r="C60" i="22" s="1"/>
  <c r="C61" i="22" s="1"/>
  <c r="C62" i="22" s="1"/>
  <c r="C63" i="22" s="1"/>
  <c r="C64" i="22" s="1"/>
  <c r="C65" i="22" s="1"/>
  <c r="C66" i="22" s="1"/>
  <c r="C67" i="22" s="1"/>
  <c r="C68" i="22" s="1"/>
  <c r="C69" i="22" s="1"/>
  <c r="C70" i="22" s="1"/>
  <c r="C71" i="22" s="1"/>
  <c r="C72" i="22" s="1"/>
  <c r="C73" i="22" s="1"/>
  <c r="C74" i="22" s="1"/>
  <c r="C75" i="22" s="1"/>
  <c r="C76" i="22" s="1"/>
  <c r="C77" i="22" s="1"/>
  <c r="C78" i="22" s="1"/>
  <c r="C6" i="22"/>
  <c r="B11" i="35" l="1"/>
  <c r="B11" i="40"/>
  <c r="B11" i="33"/>
  <c r="U11" i="33"/>
  <c r="V11" i="33" s="1"/>
  <c r="Z12" i="33"/>
  <c r="F64" i="1"/>
  <c r="F63" i="1"/>
  <c r="F60" i="1"/>
  <c r="F34" i="1"/>
  <c r="F1" i="1"/>
  <c r="B12" i="35" l="1"/>
  <c r="B12" i="40"/>
  <c r="B12" i="33"/>
  <c r="Z13" i="33"/>
  <c r="U12" i="33"/>
  <c r="V12" i="33" s="1"/>
  <c r="F4" i="1"/>
  <c r="F37" i="1"/>
  <c r="F36" i="1"/>
  <c r="F62" i="1"/>
  <c r="F38" i="1"/>
  <c r="F5" i="1"/>
  <c r="B13" i="35" l="1"/>
  <c r="B13" i="33"/>
  <c r="B13" i="40"/>
  <c r="Z14" i="33"/>
  <c r="U13" i="33"/>
  <c r="V13" i="33" s="1"/>
  <c r="J88" i="22"/>
  <c r="J86" i="22"/>
  <c r="J87" i="22" s="1"/>
  <c r="J85" i="22"/>
  <c r="J84" i="22"/>
  <c r="K84" i="22"/>
  <c r="M84" i="22"/>
  <c r="B14" i="35" l="1"/>
  <c r="B14" i="40"/>
  <c r="B14" i="33"/>
  <c r="U14" i="33"/>
  <c r="V14" i="33" s="1"/>
  <c r="Z15" i="33"/>
  <c r="K89" i="22"/>
  <c r="K94" i="22" s="1"/>
  <c r="B15" i="35" l="1"/>
  <c r="B15" i="40"/>
  <c r="B15" i="33"/>
  <c r="Z16" i="33"/>
  <c r="U15" i="33"/>
  <c r="V15" i="33" s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G66" i="1"/>
  <c r="B16" i="35" l="1"/>
  <c r="B16" i="33"/>
  <c r="B16" i="40"/>
  <c r="Z17" i="33"/>
  <c r="U16" i="33"/>
  <c r="V16" i="33" s="1"/>
  <c r="G5" i="22"/>
  <c r="B17" i="35" l="1"/>
  <c r="B17" i="40"/>
  <c r="B17" i="33"/>
  <c r="U17" i="33"/>
  <c r="V17" i="33" s="1"/>
  <c r="Z18" i="33"/>
  <c r="B1" i="22"/>
  <c r="G25" i="1"/>
  <c r="A6" i="22"/>
  <c r="B7" i="22"/>
  <c r="D120" i="22" l="1"/>
  <c r="D132" i="22"/>
  <c r="D142" i="22"/>
  <c r="D153" i="22"/>
  <c r="D164" i="22"/>
  <c r="D186" i="22"/>
  <c r="D90" i="22"/>
  <c r="D112" i="22"/>
  <c r="D154" i="22"/>
  <c r="D176" i="22"/>
  <c r="D91" i="22"/>
  <c r="D105" i="22"/>
  <c r="D144" i="22"/>
  <c r="D166" i="22"/>
  <c r="D188" i="22"/>
  <c r="D135" i="22"/>
  <c r="D156" i="22"/>
  <c r="D167" i="22"/>
  <c r="D99" i="22"/>
  <c r="D106" i="22"/>
  <c r="D134" i="22"/>
  <c r="D123" i="22"/>
  <c r="D178" i="22"/>
  <c r="D124" i="22"/>
  <c r="E125" i="22" s="1"/>
  <c r="D146" i="22"/>
  <c r="D157" i="22"/>
  <c r="D168" i="22"/>
  <c r="D107" i="22"/>
  <c r="D114" i="22"/>
  <c r="D125" i="22"/>
  <c r="D136" i="22"/>
  <c r="D147" i="22"/>
  <c r="D158" i="22"/>
  <c r="D169" i="22"/>
  <c r="D180" i="22"/>
  <c r="E181" i="22" s="1"/>
  <c r="D191" i="22"/>
  <c r="D93" i="22"/>
  <c r="D170" i="22"/>
  <c r="D181" i="22"/>
  <c r="D94" i="22"/>
  <c r="D101" i="22"/>
  <c r="D108" i="22"/>
  <c r="D115" i="22"/>
  <c r="D149" i="22"/>
  <c r="E150" i="22" s="1"/>
  <c r="D182" i="22"/>
  <c r="D128" i="22"/>
  <c r="D139" i="22"/>
  <c r="D183" i="22"/>
  <c r="D95" i="22"/>
  <c r="D103" i="22"/>
  <c r="D130" i="22"/>
  <c r="D174" i="22"/>
  <c r="D100" i="22"/>
  <c r="E101" i="22" s="1"/>
  <c r="D126" i="22"/>
  <c r="D137" i="22"/>
  <c r="D148" i="22"/>
  <c r="D159" i="22"/>
  <c r="D192" i="22"/>
  <c r="E193" i="22" s="1"/>
  <c r="D127" i="22"/>
  <c r="E128" i="22" s="1"/>
  <c r="D138" i="22"/>
  <c r="D160" i="22"/>
  <c r="D171" i="22"/>
  <c r="D193" i="22"/>
  <c r="D109" i="22"/>
  <c r="D116" i="22"/>
  <c r="D150" i="22"/>
  <c r="D172" i="22"/>
  <c r="D89" i="22"/>
  <c r="E90" i="22" s="1"/>
  <c r="D102" i="22"/>
  <c r="D118" i="22"/>
  <c r="D189" i="22"/>
  <c r="D179" i="22"/>
  <c r="D184" i="22"/>
  <c r="D117" i="22"/>
  <c r="D129" i="22"/>
  <c r="E130" i="22" s="1"/>
  <c r="D151" i="22"/>
  <c r="D161" i="22"/>
  <c r="D173" i="22"/>
  <c r="D110" i="22"/>
  <c r="D140" i="22"/>
  <c r="E141" i="22" s="1"/>
  <c r="D162" i="22"/>
  <c r="E163" i="22" s="1"/>
  <c r="D96" i="22"/>
  <c r="E97" i="22" s="1"/>
  <c r="D119" i="22"/>
  <c r="E120" i="22" s="1"/>
  <c r="D131" i="22"/>
  <c r="D141" i="22"/>
  <c r="E142" i="22" s="1"/>
  <c r="D152" i="22"/>
  <c r="D163" i="22"/>
  <c r="D175" i="22"/>
  <c r="D185" i="22"/>
  <c r="E186" i="22" s="1"/>
  <c r="D97" i="22"/>
  <c r="D104" i="22"/>
  <c r="D111" i="22"/>
  <c r="E112" i="22" s="1"/>
  <c r="D121" i="22"/>
  <c r="E122" i="22" s="1"/>
  <c r="D133" i="22"/>
  <c r="D143" i="22"/>
  <c r="E144" i="22" s="1"/>
  <c r="D165" i="22"/>
  <c r="D187" i="22"/>
  <c r="E188" i="22" s="1"/>
  <c r="D98" i="22"/>
  <c r="D122" i="22"/>
  <c r="D155" i="22"/>
  <c r="D177" i="22"/>
  <c r="D113" i="22"/>
  <c r="D145" i="22"/>
  <c r="E146" i="22" s="1"/>
  <c r="D92" i="22"/>
  <c r="E93" i="22" s="1"/>
  <c r="D190" i="22"/>
  <c r="B18" i="35"/>
  <c r="B18" i="33"/>
  <c r="B18" i="40"/>
  <c r="U18" i="33"/>
  <c r="V18" i="33" s="1"/>
  <c r="Z19" i="33"/>
  <c r="A7" i="22"/>
  <c r="B8" i="22"/>
  <c r="B9" i="22" s="1"/>
  <c r="B10" i="22" s="1"/>
  <c r="B11" i="22" s="1"/>
  <c r="B12" i="22" s="1"/>
  <c r="B13" i="22" s="1"/>
  <c r="B14" i="22" s="1"/>
  <c r="B15" i="22" s="1"/>
  <c r="B16" i="22" s="1"/>
  <c r="B17" i="22" s="1"/>
  <c r="B18" i="22" s="1"/>
  <c r="B19" i="22" s="1"/>
  <c r="B20" i="22" s="1"/>
  <c r="B21" i="22" s="1"/>
  <c r="B22" i="22" s="1"/>
  <c r="B23" i="22" s="1"/>
  <c r="B24" i="22" s="1"/>
  <c r="B25" i="22" s="1"/>
  <c r="B26" i="22" s="1"/>
  <c r="B27" i="22" s="1"/>
  <c r="B28" i="22" s="1"/>
  <c r="B29" i="22" s="1"/>
  <c r="B30" i="22" s="1"/>
  <c r="B31" i="22" s="1"/>
  <c r="B32" i="22" s="1"/>
  <c r="B33" i="22" s="1"/>
  <c r="B34" i="22" s="1"/>
  <c r="B35" i="22" s="1"/>
  <c r="B36" i="22" s="1"/>
  <c r="B37" i="22" s="1"/>
  <c r="B38" i="22" s="1"/>
  <c r="B39" i="22" s="1"/>
  <c r="B40" i="22" s="1"/>
  <c r="B41" i="22" s="1"/>
  <c r="B42" i="22" s="1"/>
  <c r="B43" i="22" s="1"/>
  <c r="B44" i="22" s="1"/>
  <c r="B45" i="22" s="1"/>
  <c r="B46" i="22" s="1"/>
  <c r="B47" i="22" s="1"/>
  <c r="B48" i="22" s="1"/>
  <c r="B49" i="22" s="1"/>
  <c r="B50" i="22" s="1"/>
  <c r="B51" i="22" s="1"/>
  <c r="B52" i="22" s="1"/>
  <c r="B53" i="22" s="1"/>
  <c r="B54" i="22" s="1"/>
  <c r="B55" i="22" s="1"/>
  <c r="B56" i="22" s="1"/>
  <c r="B57" i="22" s="1"/>
  <c r="B58" i="22" s="1"/>
  <c r="B59" i="22" s="1"/>
  <c r="B60" i="22" s="1"/>
  <c r="B61" i="22" s="1"/>
  <c r="B62" i="22" s="1"/>
  <c r="B63" i="22" s="1"/>
  <c r="B64" i="22" s="1"/>
  <c r="B65" i="22" s="1"/>
  <c r="B66" i="22" s="1"/>
  <c r="B67" i="22" s="1"/>
  <c r="B68" i="22" s="1"/>
  <c r="B69" i="22" s="1"/>
  <c r="B70" i="22" s="1"/>
  <c r="B71" i="22" s="1"/>
  <c r="B72" i="22" s="1"/>
  <c r="B73" i="22" s="1"/>
  <c r="B74" i="22" s="1"/>
  <c r="B75" i="22" s="1"/>
  <c r="B76" i="22" s="1"/>
  <c r="B77" i="22" s="1"/>
  <c r="B78" i="22" s="1"/>
  <c r="E129" i="22" l="1"/>
  <c r="E107" i="22"/>
  <c r="E173" i="22"/>
  <c r="E168" i="22"/>
  <c r="E117" i="22"/>
  <c r="E132" i="22"/>
  <c r="E180" i="22"/>
  <c r="E139" i="22"/>
  <c r="E184" i="22"/>
  <c r="E106" i="22"/>
  <c r="E140" i="22"/>
  <c r="E92" i="22"/>
  <c r="E170" i="22"/>
  <c r="E103" i="22"/>
  <c r="E160" i="22"/>
  <c r="E159" i="22"/>
  <c r="E155" i="22"/>
  <c r="E148" i="22"/>
  <c r="E98" i="22"/>
  <c r="E174" i="22"/>
  <c r="E151" i="22"/>
  <c r="E109" i="22"/>
  <c r="E187" i="22"/>
  <c r="E157" i="22"/>
  <c r="E156" i="22"/>
  <c r="E95" i="22"/>
  <c r="E192" i="22"/>
  <c r="E123" i="22"/>
  <c r="E124" i="22"/>
  <c r="E176" i="22"/>
  <c r="E177" i="22"/>
  <c r="E113" i="22"/>
  <c r="E111" i="22"/>
  <c r="E138" i="22"/>
  <c r="E116" i="22"/>
  <c r="E137" i="22"/>
  <c r="E100" i="22"/>
  <c r="E91" i="22"/>
  <c r="E126" i="22"/>
  <c r="E179" i="22"/>
  <c r="E190" i="22"/>
  <c r="E191" i="22"/>
  <c r="E134" i="22"/>
  <c r="E135" i="22"/>
  <c r="E149" i="22"/>
  <c r="E165" i="22"/>
  <c r="E127" i="22"/>
  <c r="E162" i="22"/>
  <c r="E175" i="22"/>
  <c r="E108" i="22"/>
  <c r="E136" i="22"/>
  <c r="E154" i="22"/>
  <c r="E119" i="22"/>
  <c r="E105" i="22"/>
  <c r="E178" i="22"/>
  <c r="E110" i="22"/>
  <c r="E131" i="22"/>
  <c r="E169" i="22"/>
  <c r="E189" i="22"/>
  <c r="E143" i="22"/>
  <c r="E182" i="22"/>
  <c r="E183" i="22"/>
  <c r="E114" i="22"/>
  <c r="E115" i="22"/>
  <c r="E118" i="22"/>
  <c r="E171" i="22"/>
  <c r="E172" i="22"/>
  <c r="E104" i="22"/>
  <c r="E158" i="22"/>
  <c r="E166" i="22"/>
  <c r="E167" i="22"/>
  <c r="E133" i="22"/>
  <c r="E102" i="22"/>
  <c r="E164" i="22"/>
  <c r="E99" i="22"/>
  <c r="E152" i="22"/>
  <c r="E153" i="22"/>
  <c r="E185" i="22"/>
  <c r="E161" i="22"/>
  <c r="E96" i="22"/>
  <c r="E94" i="22"/>
  <c r="E147" i="22"/>
  <c r="E145" i="22"/>
  <c r="E121" i="22"/>
  <c r="B19" i="35"/>
  <c r="B19" i="40"/>
  <c r="B19" i="33"/>
  <c r="U19" i="33"/>
  <c r="V19" i="33" s="1"/>
  <c r="Z20" i="33"/>
  <c r="U20" i="33" s="1"/>
  <c r="V20" i="33" s="1"/>
  <c r="A8" i="22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A21" i="22" s="1"/>
  <c r="A22" i="22" s="1"/>
  <c r="A23" i="22" s="1"/>
  <c r="A24" i="22" s="1"/>
  <c r="A25" i="22" s="1"/>
  <c r="A26" i="22" s="1"/>
  <c r="A27" i="22" s="1"/>
  <c r="A28" i="22" s="1"/>
  <c r="A29" i="22" s="1"/>
  <c r="A30" i="22" s="1"/>
  <c r="A31" i="22" s="1"/>
  <c r="A32" i="22" s="1"/>
  <c r="A33" i="22" s="1"/>
  <c r="A34" i="22" s="1"/>
  <c r="A35" i="22" s="1"/>
  <c r="A36" i="22" s="1"/>
  <c r="A37" i="22" s="1"/>
  <c r="A38" i="22" s="1"/>
  <c r="A39" i="22" s="1"/>
  <c r="A40" i="22" s="1"/>
  <c r="A41" i="22" s="1"/>
  <c r="A42" i="22" s="1"/>
  <c r="A43" i="22" s="1"/>
  <c r="A44" i="22" s="1"/>
  <c r="A45" i="22" s="1"/>
  <c r="A46" i="22" s="1"/>
  <c r="A47" i="22" s="1"/>
  <c r="A48" i="22" s="1"/>
  <c r="A49" i="22" s="1"/>
  <c r="A50" i="22" s="1"/>
  <c r="A51" i="22" s="1"/>
  <c r="A52" i="22" s="1"/>
  <c r="A53" i="22" s="1"/>
  <c r="A54" i="22" s="1"/>
  <c r="A55" i="22" s="1"/>
  <c r="A56" i="22" s="1"/>
  <c r="A57" i="22" s="1"/>
  <c r="A58" i="22" s="1"/>
  <c r="A59" i="22" s="1"/>
  <c r="A60" i="22" s="1"/>
  <c r="A61" i="22" s="1"/>
  <c r="A62" i="22" s="1"/>
  <c r="A63" i="22" s="1"/>
  <c r="A64" i="22" s="1"/>
  <c r="A65" i="22" s="1"/>
  <c r="A66" i="22" s="1"/>
  <c r="A67" i="22" s="1"/>
  <c r="A68" i="22" s="1"/>
  <c r="A69" i="22" s="1"/>
  <c r="A70" i="22" s="1"/>
  <c r="A71" i="22" s="1"/>
  <c r="A72" i="22" s="1"/>
  <c r="A73" i="22" s="1"/>
  <c r="A74" i="22" s="1"/>
  <c r="A75" i="22" s="1"/>
  <c r="A76" i="22" s="1"/>
  <c r="A77" i="22" s="1"/>
  <c r="A78" i="22" s="1"/>
  <c r="Y56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G29" i="1"/>
  <c r="B20" i="35" l="1"/>
  <c r="B20" i="40"/>
  <c r="B20" i="33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B21" i="35" l="1"/>
  <c r="B21" i="33"/>
  <c r="B21" i="40"/>
  <c r="C22" i="1"/>
  <c r="B22" i="35" l="1"/>
  <c r="B22" i="40"/>
  <c r="B22" i="33"/>
  <c r="C12" i="1"/>
  <c r="D88" i="22"/>
  <c r="E89" i="22" s="1"/>
  <c r="E6" i="22"/>
  <c r="D85" i="22"/>
  <c r="G3" i="41" l="1"/>
  <c r="F3" i="41" s="1"/>
  <c r="D4" i="40"/>
  <c r="B23" i="35"/>
  <c r="B24" i="35" s="1"/>
  <c r="B25" i="35" s="1"/>
  <c r="B26" i="35" s="1"/>
  <c r="B27" i="35" s="1"/>
  <c r="B28" i="35" s="1"/>
  <c r="B29" i="35" s="1"/>
  <c r="B30" i="35" s="1"/>
  <c r="B31" i="35" s="1"/>
  <c r="B32" i="35" s="1"/>
  <c r="B33" i="35" s="1"/>
  <c r="B34" i="35" s="1"/>
  <c r="B35" i="35" s="1"/>
  <c r="B36" i="35" s="1"/>
  <c r="B37" i="35" s="1"/>
  <c r="B38" i="35" s="1"/>
  <c r="B39" i="35" s="1"/>
  <c r="B40" i="35" s="1"/>
  <c r="B41" i="35" s="1"/>
  <c r="B23" i="33"/>
  <c r="B23" i="40"/>
  <c r="D4" i="33"/>
  <c r="E5" i="33" s="1"/>
  <c r="D6" i="22"/>
  <c r="E7" i="22" s="1"/>
  <c r="F8" i="22"/>
  <c r="G6" i="22"/>
  <c r="D86" i="22"/>
  <c r="D87" i="22"/>
  <c r="E88" i="22" s="1"/>
  <c r="C51" i="42" l="1"/>
  <c r="E4" i="41"/>
  <c r="D4" i="41"/>
  <c r="E5" i="40"/>
  <c r="T4" i="40"/>
  <c r="G4" i="41"/>
  <c r="F4" i="41" s="1"/>
  <c r="D5" i="40"/>
  <c r="C51" i="39"/>
  <c r="C32" i="39" s="1"/>
  <c r="C51" i="1"/>
  <c r="T4" i="33"/>
  <c r="N4" i="33" s="1"/>
  <c r="O4" i="33" s="1"/>
  <c r="P4" i="33" s="1"/>
  <c r="AA5" i="33"/>
  <c r="AE5" i="33" s="1"/>
  <c r="AB5" i="33"/>
  <c r="AD5" i="33" s="1"/>
  <c r="D7" i="22"/>
  <c r="E8" i="22" s="1"/>
  <c r="D5" i="33"/>
  <c r="E6" i="33" s="1"/>
  <c r="E87" i="22"/>
  <c r="E86" i="22"/>
  <c r="G7" i="22"/>
  <c r="F9" i="22"/>
  <c r="E5" i="41" l="1"/>
  <c r="D5" i="41"/>
  <c r="C52" i="42"/>
  <c r="G5" i="41"/>
  <c r="F5" i="41" s="1"/>
  <c r="D6" i="40"/>
  <c r="C58" i="39"/>
  <c r="C35" i="39" s="1"/>
  <c r="C72" i="1"/>
  <c r="N4" i="40"/>
  <c r="O4" i="40" s="1"/>
  <c r="E6" i="40"/>
  <c r="AA5" i="40"/>
  <c r="AE5" i="40" s="1"/>
  <c r="AB5" i="40"/>
  <c r="AD5" i="40" s="1"/>
  <c r="T5" i="40" s="1"/>
  <c r="N5" i="40" s="1"/>
  <c r="C52" i="39"/>
  <c r="C52" i="1"/>
  <c r="F84" i="22"/>
  <c r="H5" i="22" s="1"/>
  <c r="H6" i="22" s="1"/>
  <c r="C33" i="39"/>
  <c r="C10" i="39"/>
  <c r="C14" i="39" s="1"/>
  <c r="C36" i="39"/>
  <c r="R4" i="33"/>
  <c r="Q4" i="33"/>
  <c r="T5" i="33"/>
  <c r="AA6" i="33"/>
  <c r="AE6" i="33" s="1"/>
  <c r="AB6" i="33"/>
  <c r="AD6" i="33" s="1"/>
  <c r="D8" i="22"/>
  <c r="E9" i="22" s="1"/>
  <c r="D6" i="33"/>
  <c r="E7" i="33" s="1"/>
  <c r="F10" i="22"/>
  <c r="G8" i="22"/>
  <c r="D6" i="41" l="1"/>
  <c r="E6" i="41"/>
  <c r="C53" i="42"/>
  <c r="H7" i="22"/>
  <c r="H3" i="41"/>
  <c r="AA6" i="40"/>
  <c r="AE6" i="40" s="1"/>
  <c r="E7" i="40"/>
  <c r="AB6" i="40"/>
  <c r="AD6" i="40" s="1"/>
  <c r="O5" i="40"/>
  <c r="G6" i="41"/>
  <c r="F6" i="41" s="1"/>
  <c r="D7" i="40"/>
  <c r="C59" i="39"/>
  <c r="C73" i="1"/>
  <c r="P4" i="40"/>
  <c r="Q4" i="40"/>
  <c r="R4" i="40"/>
  <c r="C11" i="39"/>
  <c r="C13" i="39" s="1"/>
  <c r="C16" i="39" s="1"/>
  <c r="C17" i="39" s="1"/>
  <c r="C18" i="39" s="1"/>
  <c r="C19" i="39" s="1"/>
  <c r="C20" i="39" s="1"/>
  <c r="C21" i="39" s="1"/>
  <c r="C23" i="39" s="1"/>
  <c r="C44" i="39" s="1"/>
  <c r="C53" i="39"/>
  <c r="C53" i="1"/>
  <c r="F18" i="39"/>
  <c r="N7" i="39"/>
  <c r="F24" i="39"/>
  <c r="L7" i="39"/>
  <c r="K7" i="39"/>
  <c r="V7" i="39"/>
  <c r="F15" i="39"/>
  <c r="U7" i="39"/>
  <c r="I7" i="39"/>
  <c r="F14" i="39"/>
  <c r="T7" i="39"/>
  <c r="S7" i="39"/>
  <c r="X7" i="39"/>
  <c r="J7" i="39"/>
  <c r="F21" i="39"/>
  <c r="H7" i="39"/>
  <c r="Q7" i="39"/>
  <c r="M7" i="39"/>
  <c r="F23" i="39"/>
  <c r="F20" i="39"/>
  <c r="F13" i="39"/>
  <c r="R7" i="39"/>
  <c r="F19" i="39"/>
  <c r="P7" i="39"/>
  <c r="F11" i="39"/>
  <c r="O7" i="39"/>
  <c r="W7" i="39"/>
  <c r="F22" i="39"/>
  <c r="D7" i="33"/>
  <c r="E8" i="33" s="1"/>
  <c r="N5" i="33"/>
  <c r="T6" i="33"/>
  <c r="AA7" i="33"/>
  <c r="AE7" i="33" s="1"/>
  <c r="AB7" i="33"/>
  <c r="AD7" i="33" s="1"/>
  <c r="F11" i="22"/>
  <c r="G9" i="22"/>
  <c r="D9" i="22"/>
  <c r="H8" i="22" l="1"/>
  <c r="H4" i="41"/>
  <c r="D7" i="41"/>
  <c r="C54" i="42"/>
  <c r="E7" i="41"/>
  <c r="T6" i="40"/>
  <c r="N6" i="40" s="1"/>
  <c r="O5" i="33"/>
  <c r="P5" i="33" s="1"/>
  <c r="P5" i="40"/>
  <c r="R5" i="40"/>
  <c r="Q5" i="40"/>
  <c r="C60" i="39"/>
  <c r="C74" i="1"/>
  <c r="E8" i="40"/>
  <c r="AB7" i="40"/>
  <c r="AD7" i="40" s="1"/>
  <c r="AA7" i="40"/>
  <c r="AE7" i="40" s="1"/>
  <c r="C47" i="39"/>
  <c r="F7" i="39" s="1"/>
  <c r="C46" i="39"/>
  <c r="F66" i="39"/>
  <c r="K26" i="39"/>
  <c r="K30" i="39"/>
  <c r="L30" i="39"/>
  <c r="L26" i="39"/>
  <c r="Q26" i="39"/>
  <c r="Q30" i="39"/>
  <c r="R30" i="39"/>
  <c r="R26" i="39"/>
  <c r="P26" i="39"/>
  <c r="P30" i="39"/>
  <c r="T26" i="39"/>
  <c r="T30" i="39"/>
  <c r="H26" i="39"/>
  <c r="H30" i="39"/>
  <c r="W26" i="39"/>
  <c r="W30" i="39"/>
  <c r="O30" i="39"/>
  <c r="O26" i="39"/>
  <c r="X26" i="39"/>
  <c r="X30" i="39"/>
  <c r="C54" i="39"/>
  <c r="C54" i="1"/>
  <c r="U26" i="39"/>
  <c r="U30" i="39"/>
  <c r="J26" i="39"/>
  <c r="J30" i="39"/>
  <c r="N26" i="39"/>
  <c r="N30" i="39"/>
  <c r="S26" i="39"/>
  <c r="S30" i="39"/>
  <c r="I26" i="39"/>
  <c r="I30" i="39"/>
  <c r="M30" i="39"/>
  <c r="M26" i="39"/>
  <c r="V30" i="39"/>
  <c r="V26" i="39"/>
  <c r="R5" i="33"/>
  <c r="Q5" i="33"/>
  <c r="N6" i="33"/>
  <c r="T7" i="33"/>
  <c r="AB8" i="33"/>
  <c r="AD8" i="33" s="1"/>
  <c r="AA8" i="33"/>
  <c r="AE8" i="33" s="1"/>
  <c r="E10" i="22"/>
  <c r="H9" i="22" l="1"/>
  <c r="H5" i="41"/>
  <c r="O6" i="40"/>
  <c r="T7" i="40"/>
  <c r="N7" i="40" s="1"/>
  <c r="O6" i="33"/>
  <c r="P6" i="33" s="1"/>
  <c r="P6" i="40"/>
  <c r="Q6" i="40"/>
  <c r="R6" i="40"/>
  <c r="AB8" i="40"/>
  <c r="AD8" i="40" s="1"/>
  <c r="AA8" i="40"/>
  <c r="AE8" i="40" s="1"/>
  <c r="G7" i="41"/>
  <c r="F7" i="41" s="1"/>
  <c r="D8" i="40"/>
  <c r="E9" i="40" s="1"/>
  <c r="F40" i="39"/>
  <c r="C48" i="39"/>
  <c r="R6" i="33"/>
  <c r="N7" i="33"/>
  <c r="D10" i="22"/>
  <c r="E11" i="22" s="1"/>
  <c r="D8" i="33"/>
  <c r="E9" i="33" s="1"/>
  <c r="F12" i="22"/>
  <c r="G10" i="22"/>
  <c r="E8" i="41" l="1"/>
  <c r="D8" i="41"/>
  <c r="C55" i="42"/>
  <c r="Q6" i="33"/>
  <c r="H6" i="41"/>
  <c r="H10" i="22"/>
  <c r="O7" i="40"/>
  <c r="Q7" i="40" s="1"/>
  <c r="C61" i="39"/>
  <c r="C75" i="1"/>
  <c r="G8" i="41"/>
  <c r="F8" i="41" s="1"/>
  <c r="D9" i="40"/>
  <c r="E10" i="40" s="1"/>
  <c r="T8" i="40"/>
  <c r="N8" i="40" s="1"/>
  <c r="O7" i="33"/>
  <c r="P7" i="33" s="1"/>
  <c r="AB9" i="40"/>
  <c r="AD9" i="40" s="1"/>
  <c r="AA9" i="40"/>
  <c r="AE9" i="40" s="1"/>
  <c r="R7" i="40"/>
  <c r="C55" i="39"/>
  <c r="C55" i="1"/>
  <c r="T8" i="33"/>
  <c r="D11" i="22"/>
  <c r="E12" i="22" s="1"/>
  <c r="D9" i="33"/>
  <c r="E10" i="33" s="1"/>
  <c r="AB9" i="33"/>
  <c r="AD9" i="33" s="1"/>
  <c r="AA9" i="33"/>
  <c r="AE9" i="33" s="1"/>
  <c r="F13" i="22"/>
  <c r="G11" i="22"/>
  <c r="P7" i="40" l="1"/>
  <c r="H7" i="41"/>
  <c r="H11" i="22"/>
  <c r="C56" i="1"/>
  <c r="C32" i="1" s="1"/>
  <c r="D9" i="41"/>
  <c r="C56" i="42"/>
  <c r="C32" i="42" s="1"/>
  <c r="E9" i="41"/>
  <c r="C33" i="1"/>
  <c r="R7" i="33"/>
  <c r="Q7" i="33"/>
  <c r="G9" i="41"/>
  <c r="D10" i="40"/>
  <c r="T9" i="40"/>
  <c r="O8" i="40"/>
  <c r="AA10" i="40"/>
  <c r="AE10" i="40" s="1"/>
  <c r="E11" i="40"/>
  <c r="AB10" i="40"/>
  <c r="AD10" i="40" s="1"/>
  <c r="T10" i="40" s="1"/>
  <c r="N10" i="40" s="1"/>
  <c r="O10" i="40" s="1"/>
  <c r="C62" i="39"/>
  <c r="C76" i="1"/>
  <c r="N8" i="33"/>
  <c r="T9" i="33"/>
  <c r="D12" i="22"/>
  <c r="E13" i="22" s="1"/>
  <c r="D10" i="33"/>
  <c r="E11" i="33" s="1"/>
  <c r="AA10" i="33"/>
  <c r="AE10" i="33" s="1"/>
  <c r="AB10" i="33"/>
  <c r="AD10" i="33" s="1"/>
  <c r="G12" i="22"/>
  <c r="F14" i="22"/>
  <c r="C10" i="42" l="1"/>
  <c r="C14" i="42" s="1"/>
  <c r="C11" i="42"/>
  <c r="C13" i="42" s="1"/>
  <c r="C36" i="42"/>
  <c r="C33" i="42"/>
  <c r="H8" i="41"/>
  <c r="H12" i="22"/>
  <c r="C57" i="1"/>
  <c r="C57" i="42"/>
  <c r="C77" i="1"/>
  <c r="C35" i="1" s="1"/>
  <c r="O8" i="33"/>
  <c r="P8" i="33" s="1"/>
  <c r="P8" i="40"/>
  <c r="Q8" i="40"/>
  <c r="R8" i="40"/>
  <c r="AB11" i="40"/>
  <c r="AD11" i="40" s="1"/>
  <c r="AA11" i="40"/>
  <c r="AE11" i="40" s="1"/>
  <c r="N9" i="40"/>
  <c r="P10" i="40"/>
  <c r="Q10" i="40"/>
  <c r="R10" i="40"/>
  <c r="G10" i="41"/>
  <c r="D11" i="40"/>
  <c r="E12" i="40" s="1"/>
  <c r="N9" i="33"/>
  <c r="D11" i="33"/>
  <c r="E12" i="33" s="1"/>
  <c r="T10" i="33"/>
  <c r="AA11" i="33"/>
  <c r="AE11" i="33" s="1"/>
  <c r="AB11" i="33"/>
  <c r="AD11" i="33" s="1"/>
  <c r="G13" i="22"/>
  <c r="F15" i="22"/>
  <c r="D13" i="22"/>
  <c r="C58" i="1" l="1"/>
  <c r="C58" i="42"/>
  <c r="H9" i="41"/>
  <c r="H13" i="22"/>
  <c r="F18" i="42"/>
  <c r="M7" i="42"/>
  <c r="S7" i="42"/>
  <c r="F24" i="42"/>
  <c r="X7" i="42"/>
  <c r="L7" i="42"/>
  <c r="F23" i="42"/>
  <c r="W7" i="42"/>
  <c r="K7" i="42"/>
  <c r="F11" i="42"/>
  <c r="V7" i="42"/>
  <c r="J7" i="42"/>
  <c r="I7" i="42"/>
  <c r="P7" i="42"/>
  <c r="F19" i="42"/>
  <c r="F22" i="42"/>
  <c r="F15" i="42"/>
  <c r="U7" i="42"/>
  <c r="F14" i="42"/>
  <c r="T7" i="42"/>
  <c r="H7" i="42"/>
  <c r="F21" i="42"/>
  <c r="F13" i="42"/>
  <c r="R7" i="42"/>
  <c r="O7" i="42"/>
  <c r="F20" i="42"/>
  <c r="Q7" i="42"/>
  <c r="N7" i="42"/>
  <c r="C16" i="42"/>
  <c r="C17" i="42" s="1"/>
  <c r="C18" i="42" s="1"/>
  <c r="C19" i="42" s="1"/>
  <c r="C20" i="42" s="1"/>
  <c r="C21" i="42" s="1"/>
  <c r="C23" i="42" s="1"/>
  <c r="C44" i="42" s="1"/>
  <c r="C78" i="1"/>
  <c r="O9" i="40"/>
  <c r="R8" i="33"/>
  <c r="Q8" i="33"/>
  <c r="P9" i="40"/>
  <c r="R9" i="40"/>
  <c r="Q9" i="40"/>
  <c r="T11" i="40"/>
  <c r="N11" i="40" s="1"/>
  <c r="O11" i="40" s="1"/>
  <c r="AB12" i="40"/>
  <c r="AD12" i="40" s="1"/>
  <c r="AA12" i="40"/>
  <c r="AE12" i="40" s="1"/>
  <c r="O9" i="33"/>
  <c r="P9" i="33" s="1"/>
  <c r="N10" i="33"/>
  <c r="O10" i="33" s="1"/>
  <c r="P10" i="33" s="1"/>
  <c r="T11" i="33"/>
  <c r="AA12" i="33"/>
  <c r="AE12" i="33" s="1"/>
  <c r="AB12" i="33"/>
  <c r="AD12" i="33" s="1"/>
  <c r="E14" i="22"/>
  <c r="C47" i="42" l="1"/>
  <c r="F66" i="42"/>
  <c r="C45" i="42"/>
  <c r="C46" i="42" s="1"/>
  <c r="T26" i="42"/>
  <c r="T30" i="42"/>
  <c r="N26" i="42"/>
  <c r="N30" i="42"/>
  <c r="S26" i="42"/>
  <c r="S30" i="42"/>
  <c r="L26" i="42"/>
  <c r="L30" i="42"/>
  <c r="M26" i="42"/>
  <c r="M30" i="42"/>
  <c r="W26" i="42"/>
  <c r="W30" i="42"/>
  <c r="J26" i="42"/>
  <c r="J30" i="42"/>
  <c r="H10" i="41"/>
  <c r="H14" i="22"/>
  <c r="U30" i="42"/>
  <c r="U26" i="42"/>
  <c r="X26" i="42"/>
  <c r="X30" i="42"/>
  <c r="Q26" i="42"/>
  <c r="Q30" i="42"/>
  <c r="P26" i="42"/>
  <c r="P30" i="42"/>
  <c r="I30" i="42"/>
  <c r="I26" i="42"/>
  <c r="O30" i="42"/>
  <c r="O26" i="42"/>
  <c r="R30" i="42"/>
  <c r="R26" i="42"/>
  <c r="V26" i="42"/>
  <c r="V30" i="42"/>
  <c r="H26" i="42"/>
  <c r="H30" i="42"/>
  <c r="K26" i="42"/>
  <c r="K30" i="42"/>
  <c r="G11" i="41"/>
  <c r="D12" i="40"/>
  <c r="E13" i="40" s="1"/>
  <c r="P11" i="40"/>
  <c r="Q11" i="40"/>
  <c r="R11" i="40"/>
  <c r="R9" i="33"/>
  <c r="Q9" i="33"/>
  <c r="Q10" i="33"/>
  <c r="R10" i="33"/>
  <c r="N11" i="33"/>
  <c r="O11" i="33" s="1"/>
  <c r="P11" i="33" s="1"/>
  <c r="D14" i="22"/>
  <c r="E15" i="22" s="1"/>
  <c r="D12" i="33"/>
  <c r="E13" i="33" s="1"/>
  <c r="F16" i="22"/>
  <c r="G14" i="22"/>
  <c r="C48" i="42" l="1"/>
  <c r="F92" i="42" s="1"/>
  <c r="R13" i="34"/>
  <c r="R15" i="34" s="1"/>
  <c r="R16" i="34" s="1"/>
  <c r="H11" i="41"/>
  <c r="H15" i="22"/>
  <c r="H12" i="41" s="1"/>
  <c r="C59" i="1"/>
  <c r="C59" i="42"/>
  <c r="F40" i="42"/>
  <c r="H16" i="22"/>
  <c r="H13" i="41" s="1"/>
  <c r="C79" i="1"/>
  <c r="AB13" i="40"/>
  <c r="AD13" i="40" s="1"/>
  <c r="AA13" i="40"/>
  <c r="AE13" i="40" s="1"/>
  <c r="T12" i="40"/>
  <c r="N12" i="40" s="1"/>
  <c r="O12" i="40" s="1"/>
  <c r="G12" i="41"/>
  <c r="D13" i="40"/>
  <c r="E14" i="40" s="1"/>
  <c r="Q11" i="33"/>
  <c r="R11" i="33"/>
  <c r="T12" i="33"/>
  <c r="D15" i="22"/>
  <c r="E16" i="22" s="1"/>
  <c r="D13" i="33"/>
  <c r="E14" i="33" s="1"/>
  <c r="AB13" i="33"/>
  <c r="AD13" i="33" s="1"/>
  <c r="AA13" i="33"/>
  <c r="AE13" i="33" s="1"/>
  <c r="G15" i="22"/>
  <c r="F17" i="22"/>
  <c r="C49" i="42" l="1"/>
  <c r="F7" i="42"/>
  <c r="C60" i="1"/>
  <c r="C60" i="42"/>
  <c r="H17" i="22"/>
  <c r="H14" i="41" s="1"/>
  <c r="C80" i="1"/>
  <c r="AB14" i="40"/>
  <c r="AD14" i="40" s="1"/>
  <c r="AA14" i="40"/>
  <c r="AE14" i="40" s="1"/>
  <c r="P12" i="40"/>
  <c r="R12" i="40"/>
  <c r="Q12" i="40"/>
  <c r="T13" i="40"/>
  <c r="N13" i="40" s="1"/>
  <c r="O13" i="40" s="1"/>
  <c r="G13" i="41"/>
  <c r="D14" i="40"/>
  <c r="E15" i="40" s="1"/>
  <c r="N12" i="33"/>
  <c r="O12" i="33" s="1"/>
  <c r="P12" i="33" s="1"/>
  <c r="T13" i="33"/>
  <c r="D16" i="22"/>
  <c r="E17" i="22" s="1"/>
  <c r="D14" i="33"/>
  <c r="E15" i="33" s="1"/>
  <c r="AA14" i="33"/>
  <c r="AE14" i="33" s="1"/>
  <c r="AB14" i="33"/>
  <c r="AD14" i="33" s="1"/>
  <c r="G16" i="22"/>
  <c r="F18" i="22"/>
  <c r="C61" i="1" l="1"/>
  <c r="C61" i="42"/>
  <c r="H18" i="22"/>
  <c r="H15" i="41" s="1"/>
  <c r="C81" i="1"/>
  <c r="AB15" i="40"/>
  <c r="AD15" i="40" s="1"/>
  <c r="AA15" i="40"/>
  <c r="AE15" i="40" s="1"/>
  <c r="G14" i="41"/>
  <c r="D15" i="40"/>
  <c r="E16" i="40" s="1"/>
  <c r="P13" i="40"/>
  <c r="R13" i="40"/>
  <c r="Q13" i="40"/>
  <c r="T14" i="40"/>
  <c r="N14" i="40" s="1"/>
  <c r="O14" i="40" s="1"/>
  <c r="Q12" i="33"/>
  <c r="R12" i="33"/>
  <c r="N13" i="33"/>
  <c r="O13" i="33" s="1"/>
  <c r="P13" i="33" s="1"/>
  <c r="D15" i="33"/>
  <c r="E16" i="33" s="1"/>
  <c r="T14" i="33"/>
  <c r="AA15" i="33"/>
  <c r="AE15" i="33" s="1"/>
  <c r="AB15" i="33"/>
  <c r="AD15" i="33" s="1"/>
  <c r="F19" i="22"/>
  <c r="G17" i="22"/>
  <c r="D17" i="22"/>
  <c r="C62" i="1" l="1"/>
  <c r="C62" i="42"/>
  <c r="H19" i="22"/>
  <c r="H16" i="41" s="1"/>
  <c r="C82" i="1"/>
  <c r="AA16" i="40"/>
  <c r="AE16" i="40" s="1"/>
  <c r="AB16" i="40"/>
  <c r="AD16" i="40" s="1"/>
  <c r="P14" i="40"/>
  <c r="R14" i="40"/>
  <c r="Q14" i="40"/>
  <c r="T15" i="40"/>
  <c r="N15" i="40" s="1"/>
  <c r="O15" i="40" s="1"/>
  <c r="Q13" i="33"/>
  <c r="R13" i="33"/>
  <c r="N14" i="33"/>
  <c r="O14" i="33" s="1"/>
  <c r="P14" i="33" s="1"/>
  <c r="T15" i="33"/>
  <c r="AA16" i="33"/>
  <c r="AE16" i="33" s="1"/>
  <c r="AB16" i="33"/>
  <c r="AD16" i="33" s="1"/>
  <c r="E18" i="22"/>
  <c r="P15" i="40" l="1"/>
  <c r="R15" i="40"/>
  <c r="Q15" i="40"/>
  <c r="G15" i="41"/>
  <c r="D16" i="40"/>
  <c r="E17" i="40" s="1"/>
  <c r="Q14" i="33"/>
  <c r="R14" i="33"/>
  <c r="N15" i="33"/>
  <c r="O15" i="33" s="1"/>
  <c r="P15" i="33" s="1"/>
  <c r="D18" i="22"/>
  <c r="E19" i="22" s="1"/>
  <c r="D16" i="33"/>
  <c r="E17" i="33" s="1"/>
  <c r="G18" i="22"/>
  <c r="F20" i="22"/>
  <c r="C63" i="1" l="1"/>
  <c r="C63" i="42"/>
  <c r="H20" i="22"/>
  <c r="H17" i="41" s="1"/>
  <c r="C83" i="1"/>
  <c r="AB17" i="40"/>
  <c r="AD17" i="40" s="1"/>
  <c r="AA17" i="40"/>
  <c r="AE17" i="40" s="1"/>
  <c r="G16" i="41"/>
  <c r="D17" i="40"/>
  <c r="E18" i="40" s="1"/>
  <c r="T16" i="40"/>
  <c r="N16" i="40" s="1"/>
  <c r="O16" i="40" s="1"/>
  <c r="Q15" i="33"/>
  <c r="R15" i="33"/>
  <c r="D17" i="33"/>
  <c r="E18" i="33" s="1"/>
  <c r="T16" i="33"/>
  <c r="AB17" i="33"/>
  <c r="AD17" i="33" s="1"/>
  <c r="AA17" i="33"/>
  <c r="AE17" i="33" s="1"/>
  <c r="F21" i="22"/>
  <c r="C84" i="1" s="1"/>
  <c r="G19" i="22"/>
  <c r="D19" i="22"/>
  <c r="C64" i="1" l="1"/>
  <c r="C64" i="42"/>
  <c r="H21" i="22"/>
  <c r="H18" i="41" s="1"/>
  <c r="AB18" i="40"/>
  <c r="AD18" i="40" s="1"/>
  <c r="AA18" i="40"/>
  <c r="AE18" i="40" s="1"/>
  <c r="P16" i="40"/>
  <c r="Q16" i="40"/>
  <c r="R16" i="40"/>
  <c r="T17" i="40"/>
  <c r="N17" i="40" s="1"/>
  <c r="O17" i="40" s="1"/>
  <c r="N16" i="33"/>
  <c r="O16" i="33" s="1"/>
  <c r="P16" i="33" s="1"/>
  <c r="T17" i="33"/>
  <c r="AA18" i="33"/>
  <c r="AE18" i="33" s="1"/>
  <c r="AB18" i="33"/>
  <c r="AD18" i="33" s="1"/>
  <c r="E20" i="22"/>
  <c r="P17" i="40" l="1"/>
  <c r="Q17" i="40"/>
  <c r="R17" i="40"/>
  <c r="G17" i="41"/>
  <c r="D18" i="40"/>
  <c r="E19" i="40" s="1"/>
  <c r="Q16" i="33"/>
  <c r="R16" i="33"/>
  <c r="N17" i="33"/>
  <c r="O17" i="33" s="1"/>
  <c r="P17" i="33" s="1"/>
  <c r="D18" i="33"/>
  <c r="E19" i="33" s="1"/>
  <c r="C65" i="42" s="1"/>
  <c r="F22" i="22"/>
  <c r="G20" i="22"/>
  <c r="D20" i="22"/>
  <c r="H22" i="22" l="1"/>
  <c r="H19" i="41" s="1"/>
  <c r="C85" i="1"/>
  <c r="AB19" i="33"/>
  <c r="AD19" i="33" s="1"/>
  <c r="C65" i="1"/>
  <c r="T18" i="40"/>
  <c r="N18" i="40" s="1"/>
  <c r="O18" i="40" s="1"/>
  <c r="P18" i="40" s="1"/>
  <c r="AB19" i="40"/>
  <c r="AD19" i="40" s="1"/>
  <c r="AA19" i="40"/>
  <c r="AE19" i="40" s="1"/>
  <c r="Q17" i="33"/>
  <c r="R17" i="33"/>
  <c r="AA19" i="33"/>
  <c r="AE19" i="33" s="1"/>
  <c r="T18" i="33"/>
  <c r="E21" i="22"/>
  <c r="R18" i="40" l="1"/>
  <c r="Q18" i="40"/>
  <c r="G18" i="41"/>
  <c r="D19" i="40"/>
  <c r="E20" i="40" s="1"/>
  <c r="N18" i="33"/>
  <c r="O18" i="33" s="1"/>
  <c r="P18" i="33" s="1"/>
  <c r="D21" i="22"/>
  <c r="E22" i="22" s="1"/>
  <c r="D19" i="33"/>
  <c r="G21" i="22"/>
  <c r="F23" i="22"/>
  <c r="H23" i="22" l="1"/>
  <c r="H20" i="41" s="1"/>
  <c r="C86" i="1"/>
  <c r="G19" i="41"/>
  <c r="D20" i="40"/>
  <c r="E21" i="40" s="1"/>
  <c r="AB20" i="40"/>
  <c r="AD20" i="40" s="1"/>
  <c r="AA20" i="40"/>
  <c r="AE20" i="40" s="1"/>
  <c r="T19" i="40"/>
  <c r="N19" i="40" s="1"/>
  <c r="O19" i="40" s="1"/>
  <c r="Q18" i="33"/>
  <c r="R18" i="33"/>
  <c r="D20" i="33"/>
  <c r="E20" i="33"/>
  <c r="T19" i="33"/>
  <c r="G22" i="22"/>
  <c r="F24" i="22"/>
  <c r="D22" i="22"/>
  <c r="C66" i="1" l="1"/>
  <c r="C66" i="42"/>
  <c r="H24" i="22"/>
  <c r="H21" i="41" s="1"/>
  <c r="C87" i="1"/>
  <c r="P19" i="40"/>
  <c r="R19" i="40"/>
  <c r="Q19" i="40"/>
  <c r="T20" i="40"/>
  <c r="N20" i="40" s="1"/>
  <c r="O20" i="40" s="1"/>
  <c r="AB21" i="40"/>
  <c r="AD21" i="40" s="1"/>
  <c r="AA21" i="40"/>
  <c r="AE21" i="40" s="1"/>
  <c r="N19" i="33"/>
  <c r="O19" i="33" s="1"/>
  <c r="P19" i="33" s="1"/>
  <c r="AA20" i="33"/>
  <c r="AE20" i="33" s="1"/>
  <c r="E21" i="33"/>
  <c r="AB20" i="33"/>
  <c r="AD20" i="33" s="1"/>
  <c r="E23" i="22"/>
  <c r="C67" i="1" l="1"/>
  <c r="C67" i="42"/>
  <c r="G20" i="41"/>
  <c r="D21" i="40"/>
  <c r="E22" i="40" s="1"/>
  <c r="P20" i="40"/>
  <c r="Q20" i="40"/>
  <c r="R20" i="40"/>
  <c r="Q19" i="33"/>
  <c r="R19" i="33"/>
  <c r="D21" i="33"/>
  <c r="E22" i="33" s="1"/>
  <c r="T20" i="33"/>
  <c r="AA21" i="33"/>
  <c r="AE21" i="33" s="1"/>
  <c r="AB21" i="33"/>
  <c r="AD21" i="33" s="1"/>
  <c r="G23" i="22"/>
  <c r="F25" i="22"/>
  <c r="D23" i="22"/>
  <c r="C68" i="1" l="1"/>
  <c r="C68" i="42"/>
  <c r="H25" i="22"/>
  <c r="H22" i="41" s="1"/>
  <c r="C88" i="1"/>
  <c r="AB22" i="40"/>
  <c r="AD22" i="40" s="1"/>
  <c r="AA22" i="40"/>
  <c r="AE22" i="40" s="1"/>
  <c r="T21" i="40"/>
  <c r="N21" i="40" s="1"/>
  <c r="O21" i="40" s="1"/>
  <c r="N20" i="33"/>
  <c r="O20" i="33" s="1"/>
  <c r="P20" i="33" s="1"/>
  <c r="T21" i="33"/>
  <c r="AB22" i="33"/>
  <c r="AD22" i="33" s="1"/>
  <c r="AA22" i="33"/>
  <c r="AE22" i="33" s="1"/>
  <c r="E24" i="22"/>
  <c r="G21" i="41" l="1"/>
  <c r="D22" i="40"/>
  <c r="E23" i="40" s="1"/>
  <c r="P21" i="40"/>
  <c r="Q21" i="40"/>
  <c r="R21" i="40"/>
  <c r="Q20" i="33"/>
  <c r="R20" i="33"/>
  <c r="N21" i="33"/>
  <c r="O21" i="33" s="1"/>
  <c r="P21" i="33" s="1"/>
  <c r="D22" i="33"/>
  <c r="E23" i="33" s="1"/>
  <c r="C69" i="42" s="1"/>
  <c r="F26" i="22"/>
  <c r="G24" i="22"/>
  <c r="D24" i="22"/>
  <c r="AA23" i="33" l="1"/>
  <c r="AE23" i="33" s="1"/>
  <c r="C69" i="1"/>
  <c r="H26" i="22"/>
  <c r="H23" i="41" s="1"/>
  <c r="C89" i="1"/>
  <c r="AB23" i="40"/>
  <c r="AD23" i="40" s="1"/>
  <c r="AA23" i="40"/>
  <c r="AE23" i="40" s="1"/>
  <c r="T22" i="40"/>
  <c r="N22" i="40" s="1"/>
  <c r="O22" i="40" s="1"/>
  <c r="Q21" i="33"/>
  <c r="R21" i="33"/>
  <c r="T22" i="33"/>
  <c r="AB23" i="33"/>
  <c r="AD23" i="33" s="1"/>
  <c r="E25" i="22"/>
  <c r="G22" i="41" l="1"/>
  <c r="D23" i="40"/>
  <c r="T23" i="40" s="1"/>
  <c r="N23" i="40" s="1"/>
  <c r="O23" i="40" s="1"/>
  <c r="P22" i="40"/>
  <c r="R22" i="40"/>
  <c r="Q22" i="40"/>
  <c r="N22" i="33"/>
  <c r="O22" i="33" s="1"/>
  <c r="P22" i="33" s="1"/>
  <c r="D23" i="33"/>
  <c r="T23" i="33" s="1"/>
  <c r="F27" i="22"/>
  <c r="G25" i="22"/>
  <c r="D25" i="22"/>
  <c r="H27" i="22" l="1"/>
  <c r="H24" i="41" s="1"/>
  <c r="C90" i="1"/>
  <c r="P23" i="40"/>
  <c r="Q23" i="40"/>
  <c r="R23" i="40"/>
  <c r="Q22" i="33"/>
  <c r="R22" i="33"/>
  <c r="N23" i="33"/>
  <c r="O23" i="33" s="1"/>
  <c r="E26" i="22"/>
  <c r="D26" i="22" l="1"/>
  <c r="E27" i="22" s="1"/>
  <c r="G23" i="41"/>
  <c r="Q23" i="33"/>
  <c r="P23" i="33"/>
  <c r="R23" i="33"/>
  <c r="F28" i="22"/>
  <c r="H28" i="22" s="1"/>
  <c r="H25" i="41" s="1"/>
  <c r="G26" i="22"/>
  <c r="D27" i="22" l="1"/>
  <c r="E28" i="22" s="1"/>
  <c r="G24" i="41"/>
  <c r="F29" i="22"/>
  <c r="H29" i="22" s="1"/>
  <c r="H26" i="41" s="1"/>
  <c r="G27" i="22"/>
  <c r="D28" i="22" l="1"/>
  <c r="G25" i="41"/>
  <c r="E29" i="22"/>
  <c r="G26" i="41" s="1"/>
  <c r="G28" i="22"/>
  <c r="F30" i="22"/>
  <c r="H30" i="22" s="1"/>
  <c r="H27" i="41" s="1"/>
  <c r="F31" i="22" l="1"/>
  <c r="H31" i="22" s="1"/>
  <c r="H28" i="41" s="1"/>
  <c r="G29" i="22"/>
  <c r="D29" i="22"/>
  <c r="E30" i="22" l="1"/>
  <c r="D30" i="22" l="1"/>
  <c r="G27" i="41"/>
  <c r="E31" i="22"/>
  <c r="G28" i="41" s="1"/>
  <c r="F32" i="22"/>
  <c r="H32" i="22" s="1"/>
  <c r="H29" i="41" s="1"/>
  <c r="G30" i="22"/>
  <c r="F33" i="22" l="1"/>
  <c r="H33" i="22" s="1"/>
  <c r="H30" i="41" s="1"/>
  <c r="G31" i="22"/>
  <c r="D31" i="22"/>
  <c r="E32" i="22" l="1"/>
  <c r="D32" i="22" l="1"/>
  <c r="G29" i="41"/>
  <c r="E33" i="22"/>
  <c r="F34" i="22"/>
  <c r="H34" i="22" s="1"/>
  <c r="H31" i="41" s="1"/>
  <c r="G32" i="22"/>
  <c r="D33" i="22" l="1"/>
  <c r="G30" i="41"/>
  <c r="E34" i="22"/>
  <c r="G31" i="41" s="1"/>
  <c r="F35" i="22"/>
  <c r="H35" i="22" s="1"/>
  <c r="G33" i="22"/>
  <c r="F36" i="22" l="1"/>
  <c r="H36" i="22" s="1"/>
  <c r="G34" i="22"/>
  <c r="D34" i="22"/>
  <c r="E35" i="22" l="1"/>
  <c r="F37" i="22" l="1"/>
  <c r="H37" i="22" s="1"/>
  <c r="G35" i="22"/>
  <c r="D35" i="22"/>
  <c r="E36" i="22" l="1"/>
  <c r="D36" i="22" s="1"/>
  <c r="E37" i="22" l="1"/>
  <c r="D37" i="22" s="1"/>
  <c r="G36" i="22"/>
  <c r="F38" i="22"/>
  <c r="H38" i="22" s="1"/>
  <c r="E38" i="22" l="1"/>
  <c r="D38" i="22" s="1"/>
  <c r="G37" i="22"/>
  <c r="F39" i="22"/>
  <c r="H39" i="22" s="1"/>
  <c r="E39" i="22" l="1"/>
  <c r="G38" i="22"/>
  <c r="F40" i="22"/>
  <c r="H40" i="22" s="1"/>
  <c r="F41" i="22" l="1"/>
  <c r="H41" i="22" s="1"/>
  <c r="G39" i="22"/>
  <c r="D39" i="22"/>
  <c r="E40" i="22" l="1"/>
  <c r="D40" i="22" s="1"/>
  <c r="E41" i="22" l="1"/>
  <c r="G40" i="22"/>
  <c r="F42" i="22"/>
  <c r="H42" i="22" s="1"/>
  <c r="F43" i="22" l="1"/>
  <c r="H43" i="22" s="1"/>
  <c r="G41" i="22"/>
  <c r="D41" i="22"/>
  <c r="E42" i="22" l="1"/>
  <c r="F44" i="22" l="1"/>
  <c r="H44" i="22" s="1"/>
  <c r="G42" i="22"/>
  <c r="D42" i="22"/>
  <c r="E43" i="22" l="1"/>
  <c r="G43" i="22" l="1"/>
  <c r="F45" i="22"/>
  <c r="H45" i="22" s="1"/>
  <c r="D43" i="22"/>
  <c r="E44" i="22" l="1"/>
  <c r="D44" i="22" s="1"/>
  <c r="E45" i="22" l="1"/>
  <c r="D45" i="22" s="1"/>
  <c r="G44" i="22"/>
  <c r="F46" i="22"/>
  <c r="H46" i="22" s="1"/>
  <c r="E46" i="22" l="1"/>
  <c r="F47" i="22"/>
  <c r="H47" i="22" s="1"/>
  <c r="G45" i="22"/>
  <c r="F48" i="22" l="1"/>
  <c r="H48" i="22" s="1"/>
  <c r="G46" i="22"/>
  <c r="D46" i="22"/>
  <c r="E47" i="22" l="1"/>
  <c r="D47" i="22" s="1"/>
  <c r="E48" i="22" l="1"/>
  <c r="D48" i="22" s="1"/>
  <c r="G47" i="22"/>
  <c r="F49" i="22"/>
  <c r="H49" i="22" s="1"/>
  <c r="E49" i="22" l="1"/>
  <c r="F50" i="22"/>
  <c r="H50" i="22" s="1"/>
  <c r="G48" i="22"/>
  <c r="F51" i="22" l="1"/>
  <c r="H51" i="22" s="1"/>
  <c r="G49" i="22"/>
  <c r="D49" i="22"/>
  <c r="E50" i="22" l="1"/>
  <c r="D50" i="22" s="1"/>
  <c r="E51" i="22" l="1"/>
  <c r="D51" i="22" s="1"/>
  <c r="F52" i="22"/>
  <c r="H52" i="22" s="1"/>
  <c r="G50" i="22"/>
  <c r="E52" i="22" l="1"/>
  <c r="D52" i="22" s="1"/>
  <c r="F53" i="22"/>
  <c r="H53" i="22" s="1"/>
  <c r="G51" i="22"/>
  <c r="E53" i="22" l="1"/>
  <c r="G52" i="22"/>
  <c r="F54" i="22"/>
  <c r="H54" i="22" s="1"/>
  <c r="G53" i="22" l="1"/>
  <c r="F55" i="22"/>
  <c r="H55" i="22" s="1"/>
  <c r="D53" i="22"/>
  <c r="E54" i="22" l="1"/>
  <c r="D54" i="22" s="1"/>
  <c r="E55" i="22" l="1"/>
  <c r="F56" i="22"/>
  <c r="H56" i="22" s="1"/>
  <c r="G54" i="22"/>
  <c r="G55" i="22" l="1"/>
  <c r="F57" i="22"/>
  <c r="H57" i="22" s="1"/>
  <c r="D55" i="22"/>
  <c r="E56" i="22" l="1"/>
  <c r="F58" i="22" l="1"/>
  <c r="H58" i="22" s="1"/>
  <c r="G56" i="22"/>
  <c r="D56" i="22"/>
  <c r="E57" i="22" l="1"/>
  <c r="F59" i="22" l="1"/>
  <c r="H59" i="22" s="1"/>
  <c r="G57" i="22"/>
  <c r="D57" i="22"/>
  <c r="E58" i="22" l="1"/>
  <c r="G58" i="22" l="1"/>
  <c r="F60" i="22"/>
  <c r="H60" i="22" s="1"/>
  <c r="D58" i="22"/>
  <c r="E59" i="22" l="1"/>
  <c r="D59" i="22" s="1"/>
  <c r="E60" i="22" l="1"/>
  <c r="F61" i="22"/>
  <c r="H61" i="22" s="1"/>
  <c r="G59" i="22"/>
  <c r="G60" i="22" l="1"/>
  <c r="F62" i="22"/>
  <c r="H62" i="22" s="1"/>
  <c r="D60" i="22"/>
  <c r="E61" i="22" l="1"/>
  <c r="D61" i="22" s="1"/>
  <c r="E62" i="22" l="1"/>
  <c r="D62" i="22" s="1"/>
  <c r="G61" i="22"/>
  <c r="F63" i="22"/>
  <c r="H63" i="22" s="1"/>
  <c r="E63" i="22" l="1"/>
  <c r="D63" i="22" s="1"/>
  <c r="F64" i="22"/>
  <c r="H64" i="22" s="1"/>
  <c r="G62" i="22"/>
  <c r="E64" i="22" l="1"/>
  <c r="D64" i="22" s="1"/>
  <c r="F65" i="22"/>
  <c r="H65" i="22" s="1"/>
  <c r="G63" i="22"/>
  <c r="E65" i="22" l="1"/>
  <c r="G64" i="22"/>
  <c r="F66" i="22"/>
  <c r="H66" i="22" s="1"/>
  <c r="G65" i="22" l="1"/>
  <c r="F67" i="22"/>
  <c r="H67" i="22" s="1"/>
  <c r="D65" i="22"/>
  <c r="E66" i="22" l="1"/>
  <c r="F68" i="22" l="1"/>
  <c r="H68" i="22" s="1"/>
  <c r="G66" i="22"/>
  <c r="D66" i="22"/>
  <c r="E67" i="22" l="1"/>
  <c r="F69" i="22" l="1"/>
  <c r="H69" i="22" s="1"/>
  <c r="G67" i="22"/>
  <c r="D67" i="22"/>
  <c r="E68" i="22" l="1"/>
  <c r="G68" i="22" l="1"/>
  <c r="F70" i="22"/>
  <c r="H70" i="22" s="1"/>
  <c r="D68" i="22"/>
  <c r="E69" i="22" l="1"/>
  <c r="F71" i="22" l="1"/>
  <c r="H71" i="22" s="1"/>
  <c r="G69" i="22"/>
  <c r="D69" i="22"/>
  <c r="E70" i="22" l="1"/>
  <c r="G70" i="22" l="1"/>
  <c r="F72" i="22"/>
  <c r="H72" i="22" s="1"/>
  <c r="D70" i="22"/>
  <c r="E71" i="22" l="1"/>
  <c r="F73" i="22" l="1"/>
  <c r="H73" i="22" s="1"/>
  <c r="G71" i="22"/>
  <c r="D71" i="22"/>
  <c r="E72" i="22" l="1"/>
  <c r="F74" i="22" l="1"/>
  <c r="H74" i="22" s="1"/>
  <c r="G72" i="22"/>
  <c r="D72" i="22"/>
  <c r="E73" i="22" l="1"/>
  <c r="F75" i="22" l="1"/>
  <c r="H75" i="22" s="1"/>
  <c r="G73" i="22"/>
  <c r="D73" i="22"/>
  <c r="E74" i="22" l="1"/>
  <c r="D74" i="22" s="1"/>
  <c r="E75" i="22" l="1"/>
  <c r="D75" i="22" s="1"/>
  <c r="G74" i="22"/>
  <c r="F76" i="22"/>
  <c r="H76" i="22" s="1"/>
  <c r="E76" i="22" l="1"/>
  <c r="D76" i="22" s="1"/>
  <c r="G75" i="22"/>
  <c r="F77" i="22"/>
  <c r="H77" i="22" s="1"/>
  <c r="E77" i="22" l="1"/>
  <c r="G77" i="22" s="1"/>
  <c r="G76" i="22"/>
  <c r="F78" i="22"/>
  <c r="H78" i="22" s="1"/>
  <c r="F79" i="22" l="1"/>
  <c r="D77" i="22"/>
  <c r="E78" i="22" s="1"/>
  <c r="G78" i="22" l="1"/>
  <c r="E79" i="22"/>
  <c r="D78" i="22"/>
  <c r="D84" i="22" s="1"/>
  <c r="E85" i="22" s="1"/>
  <c r="E84" i="22" l="1"/>
  <c r="I84" i="22" l="1"/>
  <c r="F85" i="22"/>
  <c r="G84" i="22"/>
  <c r="F86" i="22" l="1"/>
  <c r="I85" i="22"/>
  <c r="G85" i="22"/>
  <c r="I86" i="22" l="1"/>
  <c r="G86" i="22"/>
  <c r="F87" i="22"/>
  <c r="G87" i="22" l="1"/>
  <c r="F88" i="22"/>
  <c r="F89" i="22" s="1"/>
  <c r="I87" i="22"/>
  <c r="F90" i="22" l="1"/>
  <c r="G89" i="22"/>
  <c r="I88" i="22"/>
  <c r="G88" i="22"/>
  <c r="C36" i="1"/>
  <c r="I6" i="41" l="1"/>
  <c r="I8" i="41"/>
  <c r="I4" i="41"/>
  <c r="I7" i="41"/>
  <c r="I3" i="41"/>
  <c r="I5" i="41"/>
  <c r="I9" i="41"/>
  <c r="F91" i="22"/>
  <c r="G90" i="22"/>
  <c r="K7" i="1"/>
  <c r="W7" i="1"/>
  <c r="P7" i="1"/>
  <c r="T7" i="1"/>
  <c r="J7" i="1"/>
  <c r="L7" i="1"/>
  <c r="X7" i="1"/>
  <c r="M7" i="1"/>
  <c r="N7" i="1"/>
  <c r="O7" i="1"/>
  <c r="Q7" i="1"/>
  <c r="V7" i="1"/>
  <c r="R7" i="1"/>
  <c r="S7" i="1"/>
  <c r="H7" i="1"/>
  <c r="I7" i="1"/>
  <c r="U7" i="1"/>
  <c r="F20" i="1"/>
  <c r="F22" i="1"/>
  <c r="F14" i="1"/>
  <c r="F21" i="1"/>
  <c r="F23" i="1"/>
  <c r="F13" i="1"/>
  <c r="F15" i="1"/>
  <c r="F19" i="1"/>
  <c r="F18" i="1"/>
  <c r="F11" i="1"/>
  <c r="F24" i="1"/>
  <c r="F92" i="22" l="1"/>
  <c r="G91" i="22"/>
  <c r="C11" i="1"/>
  <c r="C13" i="1" s="1"/>
  <c r="C16" i="1" s="1"/>
  <c r="C10" i="1"/>
  <c r="C14" i="1" s="1"/>
  <c r="F93" i="22" l="1"/>
  <c r="G92" i="22"/>
  <c r="C17" i="1"/>
  <c r="C18" i="1" s="1"/>
  <c r="C19" i="1" s="1"/>
  <c r="C20" i="1" s="1"/>
  <c r="C21" i="1" s="1"/>
  <c r="C23" i="1" s="1"/>
  <c r="S30" i="1"/>
  <c r="Q30" i="1"/>
  <c r="O30" i="1"/>
  <c r="J30" i="1"/>
  <c r="H30" i="1"/>
  <c r="L30" i="1"/>
  <c r="F94" i="22" l="1"/>
  <c r="G93" i="22"/>
  <c r="S26" i="1"/>
  <c r="R26" i="1"/>
  <c r="U26" i="1"/>
  <c r="X26" i="1"/>
  <c r="R30" i="1"/>
  <c r="I26" i="1"/>
  <c r="Q26" i="1"/>
  <c r="K26" i="1"/>
  <c r="X30" i="1"/>
  <c r="V26" i="1"/>
  <c r="N26" i="1"/>
  <c r="M26" i="1"/>
  <c r="O26" i="1"/>
  <c r="N30" i="1"/>
  <c r="M30" i="1"/>
  <c r="U30" i="1"/>
  <c r="L26" i="1"/>
  <c r="I30" i="1"/>
  <c r="K30" i="1"/>
  <c r="P26" i="1"/>
  <c r="T26" i="1"/>
  <c r="T30" i="1"/>
  <c r="P30" i="1"/>
  <c r="H26" i="1"/>
  <c r="J26" i="1"/>
  <c r="V30" i="1"/>
  <c r="C44" i="1"/>
  <c r="W30" i="1"/>
  <c r="W26" i="1"/>
  <c r="C45" i="1" l="1"/>
  <c r="C46" i="1" s="1"/>
  <c r="C48" i="1" s="1"/>
  <c r="C47" i="1"/>
  <c r="F95" i="22"/>
  <c r="G94" i="22"/>
  <c r="F66" i="1"/>
  <c r="F92" i="1" l="1"/>
  <c r="F7" i="1"/>
  <c r="F96" i="22"/>
  <c r="G95" i="22"/>
  <c r="F40" i="1"/>
  <c r="C49" i="1"/>
  <c r="D33" i="33"/>
  <c r="D34" i="33" s="1"/>
  <c r="D35" i="33" s="1"/>
  <c r="F2" i="1"/>
  <c r="F61" i="1"/>
  <c r="F35" i="1"/>
  <c r="F97" i="22" l="1"/>
  <c r="G96" i="22"/>
  <c r="F98" i="22" l="1"/>
  <c r="G97" i="22"/>
  <c r="F99" i="22" l="1"/>
  <c r="G98" i="22"/>
  <c r="F100" i="22" l="1"/>
  <c r="G99" i="22"/>
  <c r="F101" i="22" l="1"/>
  <c r="G100" i="22"/>
  <c r="F102" i="22" l="1"/>
  <c r="G101" i="22"/>
  <c r="F103" i="22" l="1"/>
  <c r="G102" i="22"/>
  <c r="F104" i="22" l="1"/>
  <c r="G103" i="22"/>
  <c r="F105" i="22" l="1"/>
  <c r="G104" i="22"/>
  <c r="F106" i="22" l="1"/>
  <c r="G105" i="22"/>
  <c r="F107" i="22" l="1"/>
  <c r="G106" i="22"/>
  <c r="F108" i="22" l="1"/>
  <c r="G107" i="22"/>
  <c r="F109" i="22" l="1"/>
  <c r="G108" i="22"/>
  <c r="F110" i="22" l="1"/>
  <c r="G109" i="22"/>
  <c r="F111" i="22" l="1"/>
  <c r="G110" i="22"/>
  <c r="F112" i="22" l="1"/>
  <c r="G111" i="22"/>
  <c r="F113" i="22" l="1"/>
  <c r="G112" i="22"/>
  <c r="G113" i="22" l="1"/>
  <c r="F114" i="22"/>
  <c r="F115" i="22" l="1"/>
  <c r="G114" i="22"/>
  <c r="F116" i="22" l="1"/>
  <c r="G115" i="22"/>
  <c r="F117" i="22" l="1"/>
  <c r="G116" i="22"/>
  <c r="F118" i="22" l="1"/>
  <c r="G117" i="22"/>
  <c r="F119" i="22" l="1"/>
  <c r="G118" i="22"/>
  <c r="F120" i="22" l="1"/>
  <c r="G119" i="22"/>
  <c r="F121" i="22" l="1"/>
  <c r="G120" i="22"/>
  <c r="F122" i="22" l="1"/>
  <c r="G121" i="22"/>
  <c r="F123" i="22" l="1"/>
  <c r="G122" i="22"/>
  <c r="F124" i="22" l="1"/>
  <c r="G123" i="22"/>
  <c r="F125" i="22" l="1"/>
  <c r="G124" i="22"/>
  <c r="F126" i="22" l="1"/>
  <c r="G125" i="22"/>
  <c r="F127" i="22" l="1"/>
  <c r="G126" i="22"/>
  <c r="F128" i="22" l="1"/>
  <c r="G127" i="22"/>
  <c r="F129" i="22" l="1"/>
  <c r="G128" i="22"/>
  <c r="F130" i="22" l="1"/>
  <c r="G129" i="22"/>
  <c r="F131" i="22" l="1"/>
  <c r="G130" i="22"/>
  <c r="F132" i="22" l="1"/>
  <c r="G131" i="22"/>
  <c r="F133" i="22" l="1"/>
  <c r="G132" i="22"/>
  <c r="F134" i="22" l="1"/>
  <c r="G133" i="22"/>
  <c r="F135" i="22" l="1"/>
  <c r="G134" i="22"/>
  <c r="F136" i="22" l="1"/>
  <c r="G135" i="22"/>
  <c r="F137" i="22" l="1"/>
  <c r="G136" i="22"/>
  <c r="F138" i="22" l="1"/>
  <c r="G137" i="22"/>
  <c r="F139" i="22" l="1"/>
  <c r="G138" i="22"/>
  <c r="F140" i="22" l="1"/>
  <c r="G139" i="22"/>
  <c r="F141" i="22" l="1"/>
  <c r="G140" i="22"/>
  <c r="F142" i="22" l="1"/>
  <c r="G141" i="22"/>
  <c r="F143" i="22" l="1"/>
  <c r="G142" i="22"/>
  <c r="F144" i="22" l="1"/>
  <c r="G143" i="22"/>
  <c r="F145" i="22" l="1"/>
  <c r="G144" i="22"/>
  <c r="F146" i="22" l="1"/>
  <c r="G145" i="22"/>
  <c r="F147" i="22" l="1"/>
  <c r="G146" i="22"/>
  <c r="F148" i="22" l="1"/>
  <c r="G147" i="22"/>
  <c r="F149" i="22" l="1"/>
  <c r="G148" i="22"/>
  <c r="F150" i="22" l="1"/>
  <c r="G149" i="22"/>
  <c r="F151" i="22" l="1"/>
  <c r="G150" i="22"/>
  <c r="F152" i="22" l="1"/>
  <c r="G151" i="22"/>
  <c r="F153" i="22" l="1"/>
  <c r="G152" i="22"/>
  <c r="F154" i="22" l="1"/>
  <c r="G153" i="22"/>
  <c r="F155" i="22" l="1"/>
  <c r="G154" i="22"/>
  <c r="F156" i="22" l="1"/>
  <c r="G155" i="22"/>
  <c r="F157" i="22" l="1"/>
  <c r="G156" i="22"/>
  <c r="F158" i="22" l="1"/>
  <c r="G157" i="22"/>
  <c r="F159" i="22" l="1"/>
  <c r="G158" i="22"/>
  <c r="F160" i="22" l="1"/>
  <c r="G159" i="22"/>
  <c r="F161" i="22" l="1"/>
  <c r="G160" i="22"/>
  <c r="F162" i="22" l="1"/>
  <c r="G161" i="22"/>
  <c r="F163" i="22" l="1"/>
  <c r="G162" i="22"/>
  <c r="G163" i="22" l="1"/>
  <c r="F164" i="22"/>
  <c r="F165" i="22" l="1"/>
  <c r="G164" i="22"/>
  <c r="F166" i="22" l="1"/>
  <c r="G165" i="22"/>
  <c r="F167" i="22" l="1"/>
  <c r="G166" i="22"/>
  <c r="F168" i="22" l="1"/>
  <c r="G167" i="22"/>
  <c r="F169" i="22" l="1"/>
  <c r="G168" i="22"/>
  <c r="F170" i="22" l="1"/>
  <c r="G169" i="22"/>
  <c r="G170" i="22" l="1"/>
  <c r="F171" i="22"/>
  <c r="F172" i="22" l="1"/>
  <c r="G171" i="22"/>
  <c r="F173" i="22" l="1"/>
  <c r="G172" i="22"/>
  <c r="F174" i="22" l="1"/>
  <c r="G173" i="22"/>
  <c r="F175" i="22" l="1"/>
  <c r="G174" i="22"/>
  <c r="F176" i="22" l="1"/>
  <c r="G175" i="22"/>
  <c r="F177" i="22" l="1"/>
  <c r="G176" i="22"/>
  <c r="F178" i="22" l="1"/>
  <c r="G177" i="22"/>
  <c r="G178" i="22" l="1"/>
  <c r="F179" i="22"/>
  <c r="F180" i="22" l="1"/>
  <c r="G179" i="22"/>
  <c r="F181" i="22" l="1"/>
  <c r="G180" i="22"/>
  <c r="F182" i="22" l="1"/>
  <c r="G181" i="22"/>
  <c r="F183" i="22" l="1"/>
  <c r="G182" i="22"/>
  <c r="G183" i="22" l="1"/>
  <c r="F184" i="22"/>
  <c r="F185" i="22" l="1"/>
  <c r="G184" i="22"/>
  <c r="F186" i="22" l="1"/>
  <c r="G185" i="22"/>
  <c r="G186" i="22" l="1"/>
  <c r="F187" i="22"/>
  <c r="G187" i="22" l="1"/>
  <c r="F188" i="22"/>
  <c r="F189" i="22" l="1"/>
  <c r="G188" i="22"/>
  <c r="F190" i="22" l="1"/>
  <c r="G189" i="22"/>
  <c r="G190" i="22" l="1"/>
  <c r="F191" i="22"/>
  <c r="F192" i="22" l="1"/>
  <c r="G191" i="22"/>
  <c r="F193" i="22" l="1"/>
  <c r="G193" i="22" s="1"/>
  <c r="G192" i="22"/>
  <c r="I25" i="41"/>
  <c r="I22" i="41"/>
  <c r="I31" i="41"/>
  <c r="I19" i="41"/>
  <c r="I24" i="41"/>
  <c r="I11" i="41"/>
  <c r="I15" i="41"/>
  <c r="I18" i="41"/>
  <c r="I28" i="41"/>
  <c r="I30" i="41"/>
  <c r="I20" i="41"/>
  <c r="I27" i="41"/>
  <c r="I23" i="41"/>
  <c r="I16" i="41"/>
  <c r="I26" i="41"/>
  <c r="I10" i="41"/>
  <c r="I13" i="41"/>
  <c r="I14" i="41"/>
  <c r="I29" i="41"/>
  <c r="I12" i="41"/>
  <c r="I21" i="41"/>
  <c r="I17" i="41"/>
</calcChain>
</file>

<file path=xl/sharedStrings.xml><?xml version="1.0" encoding="utf-8"?>
<sst xmlns="http://schemas.openxmlformats.org/spreadsheetml/2006/main" count="506" uniqueCount="167">
  <si>
    <t>k</t>
  </si>
  <si>
    <t>desired # of pools</t>
  </si>
  <si>
    <t>R</t>
  </si>
  <si>
    <t>ƛ</t>
  </si>
  <si>
    <t>Value</t>
  </si>
  <si>
    <t>ơ</t>
  </si>
  <si>
    <t>ơ'</t>
  </si>
  <si>
    <t>pool share [capped at 1/k]</t>
  </si>
  <si>
    <t>max. pool size [1/k]</t>
  </si>
  <si>
    <t>ƛ'</t>
  </si>
  <si>
    <t>leader share [capped at 1/k]</t>
  </si>
  <si>
    <t>epoch rewards represented as percentage</t>
  </si>
  <si>
    <t>A</t>
  </si>
  <si>
    <t>B</t>
  </si>
  <si>
    <t>ƛ' * A</t>
  </si>
  <si>
    <t>C</t>
  </si>
  <si>
    <t>ơ' -B</t>
  </si>
  <si>
    <t>D</t>
  </si>
  <si>
    <t>E</t>
  </si>
  <si>
    <t>F</t>
  </si>
  <si>
    <t>G</t>
  </si>
  <si>
    <t xml:space="preserve"> ơ' + E</t>
  </si>
  <si>
    <t>=</t>
  </si>
  <si>
    <t>Result</t>
  </si>
  <si>
    <t>Epoch Length (days)</t>
  </si>
  <si>
    <t>Saturation Point</t>
  </si>
  <si>
    <t>Variables</t>
  </si>
  <si>
    <t>Comments</t>
  </si>
  <si>
    <t>Pool Size</t>
  </si>
  <si>
    <t>Pool Size (ADA)</t>
  </si>
  <si>
    <t>Operator Pledge (ADA)</t>
  </si>
  <si>
    <t>Pool Operator Pledge</t>
  </si>
  <si>
    <t>Staking Ratio</t>
  </si>
  <si>
    <t>USD/ADA Price</t>
  </si>
  <si>
    <t>Variable Pool Fees</t>
  </si>
  <si>
    <t>pledged stake influence factor</t>
  </si>
  <si>
    <t>pool's total share of the stake</t>
  </si>
  <si>
    <t>a</t>
  </si>
  <si>
    <t>b</t>
  </si>
  <si>
    <t>R/(1 + a)</t>
  </si>
  <si>
    <t xml:space="preserve">ƛ' * a  * D </t>
  </si>
  <si>
    <t>C/b</t>
  </si>
  <si>
    <t>(1-ơ'/b)</t>
  </si>
  <si>
    <t>Total Liquid Supply (ADA)</t>
  </si>
  <si>
    <t>Pool size premium</t>
  </si>
  <si>
    <t>Pledge Amount Percentile</t>
  </si>
  <si>
    <t>Pledge</t>
  </si>
  <si>
    <t>Pools</t>
  </si>
  <si>
    <t>Max.Return</t>
  </si>
  <si>
    <t>Total Staked ADA</t>
  </si>
  <si>
    <t xml:space="preserve">pledged stake share </t>
  </si>
  <si>
    <t>Annual Pool Reward (%)</t>
  </si>
  <si>
    <t>Annual Delegator Net Reward</t>
  </si>
  <si>
    <t>Pool Fixed costs (ADA/epoch)</t>
  </si>
  <si>
    <t>Reserves</t>
  </si>
  <si>
    <t>Epoch</t>
  </si>
  <si>
    <t>Days</t>
  </si>
  <si>
    <t>Date</t>
  </si>
  <si>
    <t>Decay Rate</t>
  </si>
  <si>
    <t>Total</t>
  </si>
  <si>
    <t>Cumulative Reward Distribution</t>
  </si>
  <si>
    <t>Pool Performance</t>
  </si>
  <si>
    <t>ADA in Circulation</t>
  </si>
  <si>
    <t>Total Rewards Before Treasury Tax</t>
  </si>
  <si>
    <t xml:space="preserve">Pledge Amount </t>
  </si>
  <si>
    <t>rho: The Reserve Decay Parameter</t>
  </si>
  <si>
    <t>k: The Desired Number of Pools</t>
  </si>
  <si>
    <t>tau: Treasury Tax Rate</t>
  </si>
  <si>
    <t>ADA In Circulation</t>
  </si>
  <si>
    <t>Average Epoch Rewards Before Treasury Tax</t>
  </si>
  <si>
    <t>Pool Reward per Epoch After Taxes (ADA)</t>
  </si>
  <si>
    <t>Pool fee</t>
  </si>
  <si>
    <t>USD/ADA</t>
  </si>
  <si>
    <t>Year</t>
  </si>
  <si>
    <t>Total Pool Rewards Per Epoch After  Treasury Taxes (ADA)</t>
  </si>
  <si>
    <t>Assumptions/Inputs</t>
  </si>
  <si>
    <t>ROS After Treasury Tax, Before Pool Fees (excludes tx. Fees)</t>
  </si>
  <si>
    <t>Year End</t>
  </si>
  <si>
    <t>Tx. Fees</t>
  </si>
  <si>
    <t>Max Block Size</t>
  </si>
  <si>
    <t>Max. Tx. Size</t>
  </si>
  <si>
    <t>min. tx/block</t>
  </si>
  <si>
    <t>Active slots</t>
  </si>
  <si>
    <t>tx. Fees</t>
  </si>
  <si>
    <t>Network ROS after Treasury Tax (Including tx. Fees)</t>
  </si>
  <si>
    <t>Network ROS Before Treasury Tax</t>
  </si>
  <si>
    <t>average tx. Size (bytes)</t>
  </si>
  <si>
    <t>nOps</t>
  </si>
  <si>
    <t>variance</t>
  </si>
  <si>
    <t>Blocks</t>
  </si>
  <si>
    <t>Probability</t>
  </si>
  <si>
    <t>st.deviation</t>
  </si>
  <si>
    <t>3 standard deviations</t>
  </si>
  <si>
    <t>Pool's Stake</t>
  </si>
  <si>
    <t xml:space="preserve">Annual Total Operator Fees </t>
  </si>
  <si>
    <t>ADA/Block</t>
  </si>
  <si>
    <t>Epoch Payouts</t>
  </si>
  <si>
    <t>Rewards</t>
  </si>
  <si>
    <t>Excess Rewards</t>
  </si>
  <si>
    <t>Active Stake</t>
  </si>
  <si>
    <t>Blocks per Epoch at d=0</t>
  </si>
  <si>
    <t>Epoch Rewards (ADA)</t>
  </si>
  <si>
    <t>Pool size</t>
  </si>
  <si>
    <t>Total Active Stake</t>
  </si>
  <si>
    <t>Total Stake</t>
  </si>
  <si>
    <t>a0</t>
  </si>
  <si>
    <t>Actual Blocks</t>
  </si>
  <si>
    <t>Performance</t>
  </si>
  <si>
    <t>d</t>
  </si>
  <si>
    <t>Chart Inputs</t>
  </si>
  <si>
    <t xml:space="preserve">Rewards After Tr.Tax </t>
  </si>
  <si>
    <t>Opt. Rewards</t>
  </si>
  <si>
    <t>Exp. Blocks</t>
  </si>
  <si>
    <t>fixed fee</t>
  </si>
  <si>
    <t>op. fees</t>
  </si>
  <si>
    <t>Pool fees</t>
  </si>
  <si>
    <t>Stakeholder Rewards</t>
  </si>
  <si>
    <t>n (number of trials)</t>
  </si>
  <si>
    <t>p (pool probability of success )</t>
  </si>
  <si>
    <t>epoch start</t>
  </si>
  <si>
    <t>k factor (number of desired pools)</t>
  </si>
  <si>
    <t>Stakeholder ROS</t>
  </si>
  <si>
    <t>Epoch 212</t>
  </si>
  <si>
    <t>Epoch 213</t>
  </si>
  <si>
    <t>Epoch 214</t>
  </si>
  <si>
    <t>Epoch 215</t>
  </si>
  <si>
    <t>Epoch 216</t>
  </si>
  <si>
    <t>Net Stakeholder Returns= f( Pledge Amount, Pool Size)</t>
  </si>
  <si>
    <t>STAKING/POOL PARAMETERS</t>
  </si>
  <si>
    <t>REWARDS</t>
  </si>
  <si>
    <t>BLOCK PRODUCTION</t>
  </si>
  <si>
    <t>Your Stake</t>
  </si>
  <si>
    <t>Your Rewards</t>
  </si>
  <si>
    <t>Reward Date</t>
  </si>
  <si>
    <t>Stakeholder Rewards = f(pool size, variable fee)</t>
  </si>
  <si>
    <t>variable fee</t>
  </si>
  <si>
    <t>Reward Time</t>
  </si>
  <si>
    <t>Reward Emissions</t>
  </si>
  <si>
    <t>Treasury Tax</t>
  </si>
  <si>
    <t>Unclaimed Rewards</t>
  </si>
  <si>
    <t>Distributed Rewards</t>
  </si>
  <si>
    <t>Epoch 217</t>
  </si>
  <si>
    <t>Epoch 218</t>
  </si>
  <si>
    <t>Epoch 219</t>
  </si>
  <si>
    <t>Epoch 220</t>
  </si>
  <si>
    <t>Epoch 221</t>
  </si>
  <si>
    <t>Epoch 222</t>
  </si>
  <si>
    <t>Epoch 223</t>
  </si>
  <si>
    <t>Epoch 224</t>
  </si>
  <si>
    <t>Epoch 225</t>
  </si>
  <si>
    <t>Epoch 226</t>
  </si>
  <si>
    <t>Epoch 227</t>
  </si>
  <si>
    <t>Epoch 228</t>
  </si>
  <si>
    <t>Epoch 229</t>
  </si>
  <si>
    <t>Epoch 230</t>
  </si>
  <si>
    <t>Max ROS</t>
  </si>
  <si>
    <t>Total ADA in Circulation</t>
  </si>
  <si>
    <t>Pool Fees</t>
  </si>
  <si>
    <t>Delegator Rewards</t>
  </si>
  <si>
    <t>Your Pool Size</t>
  </si>
  <si>
    <t>Fixed Fee</t>
  </si>
  <si>
    <t>Operator fee</t>
  </si>
  <si>
    <t>Performance-Adjusted Rewards</t>
  </si>
  <si>
    <t>Annualized ROS</t>
  </si>
  <si>
    <t>Input</t>
  </si>
  <si>
    <t>Results</t>
  </si>
  <si>
    <t>Your Pool's Pledge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</si>
</sst>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000"/>
    <numFmt numFmtId="165" formatCode="0.00000"/>
    <numFmt numFmtId="166" formatCode="0.0"/>
    <numFmt numFmtId="167" formatCode="#,##0.00000000"/>
    <numFmt numFmtId="168" formatCode="0.0000%"/>
    <numFmt numFmtId="169" formatCode="0.0%"/>
    <numFmt numFmtId="170" formatCode="0.0000000000"/>
    <numFmt numFmtId="171" formatCode="0.00000000"/>
    <numFmt numFmtId="172" formatCode="_(* #,##0_);_(* \(#,##0\);_(* &quot;-&quot;??_);_(@_)"/>
    <numFmt numFmtId="173" formatCode="#,##0.000000"/>
    <numFmt numFmtId="174" formatCode="0.000%"/>
    <numFmt numFmtId="175" formatCode="#,##0.0"/>
    <numFmt numFmtId="176" formatCode="[$-409]m/d/yy\ h:mm\ AM/PM;@"/>
    <numFmt numFmtId="177" formatCode="0.0000"/>
    <numFmt numFmtId="178" formatCode="0.000"/>
    <numFmt numFmtId="179" formatCode="#,##0.0000000"/>
    <numFmt numFmtId="180" formatCode="#,##0.000000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206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sz val="8"/>
      <color theme="0"/>
      <name val="Tahoma"/>
      <family val="2"/>
    </font>
    <font>
      <sz val="20"/>
      <color theme="1"/>
      <name val="Calibri"/>
      <family val="2"/>
      <scheme val="minor"/>
    </font>
    <font>
      <sz val="20"/>
      <color theme="8" tint="-0.249977111117893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320">
    <xf numFmtId="0" fontId="0" fillId="0" borderId="0" xfId="0"/>
    <xf numFmtId="0" fontId="0" fillId="0" borderId="0" xfId="0" applyAlignment="1">
      <alignment horizontal="center"/>
    </xf>
    <xf numFmtId="3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0" fontId="0" fillId="4" borderId="0" xfId="0" applyNumberFormat="1" applyFill="1" applyAlignment="1">
      <alignment horizontal="center"/>
    </xf>
    <xf numFmtId="6" fontId="0" fillId="4" borderId="0" xfId="0" applyNumberFormat="1" applyFill="1" applyAlignment="1">
      <alignment horizontal="center"/>
    </xf>
    <xf numFmtId="0" fontId="0" fillId="4" borderId="0" xfId="0" applyFill="1"/>
    <xf numFmtId="0" fontId="2" fillId="0" borderId="0" xfId="0" applyFont="1" applyFill="1"/>
    <xf numFmtId="10" fontId="2" fillId="0" borderId="0" xfId="0" applyNumberFormat="1" applyFont="1" applyFill="1" applyAlignment="1">
      <alignment horizontal="center"/>
    </xf>
    <xf numFmtId="9" fontId="3" fillId="4" borderId="6" xfId="0" applyNumberFormat="1" applyFont="1" applyFill="1" applyBorder="1"/>
    <xf numFmtId="3" fontId="2" fillId="4" borderId="7" xfId="0" applyNumberFormat="1" applyFont="1" applyFill="1" applyBorder="1" applyAlignment="1">
      <alignment horizontal="center"/>
    </xf>
    <xf numFmtId="3" fontId="2" fillId="4" borderId="8" xfId="0" applyNumberFormat="1" applyFont="1" applyFill="1" applyBorder="1" applyAlignment="1">
      <alignment horizontal="center"/>
    </xf>
    <xf numFmtId="3" fontId="2" fillId="4" borderId="9" xfId="0" applyNumberFormat="1" applyFont="1" applyFill="1" applyBorder="1" applyAlignment="1">
      <alignment horizontal="center"/>
    </xf>
    <xf numFmtId="10" fontId="1" fillId="4" borderId="0" xfId="2" applyNumberFormat="1" applyFont="1" applyFill="1" applyBorder="1" applyAlignment="1">
      <alignment horizontal="center"/>
    </xf>
    <xf numFmtId="10" fontId="1" fillId="4" borderId="12" xfId="2" applyNumberFormat="1" applyFont="1" applyFill="1" applyBorder="1" applyAlignment="1">
      <alignment horizontal="center"/>
    </xf>
    <xf numFmtId="10" fontId="1" fillId="4" borderId="13" xfId="2" applyNumberFormat="1" applyFont="1" applyFill="1" applyBorder="1" applyAlignment="1">
      <alignment horizontal="center"/>
    </xf>
    <xf numFmtId="10" fontId="1" fillId="4" borderId="10" xfId="2" applyNumberFormat="1" applyFont="1" applyFill="1" applyBorder="1" applyAlignment="1">
      <alignment horizontal="center"/>
    </xf>
    <xf numFmtId="0" fontId="2" fillId="4" borderId="0" xfId="0" applyFont="1" applyFill="1"/>
    <xf numFmtId="8" fontId="0" fillId="4" borderId="0" xfId="0" applyNumberFormat="1" applyFill="1"/>
    <xf numFmtId="0" fontId="2" fillId="4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 applyBorder="1"/>
    <xf numFmtId="4" fontId="0" fillId="4" borderId="0" xfId="0" applyNumberFormat="1" applyFill="1"/>
    <xf numFmtId="166" fontId="0" fillId="4" borderId="0" xfId="0" applyNumberFormat="1" applyFill="1" applyAlignment="1">
      <alignment horizontal="center"/>
    </xf>
    <xf numFmtId="10" fontId="2" fillId="0" borderId="0" xfId="0" applyNumberFormat="1" applyFont="1" applyFill="1" applyBorder="1" applyAlignment="1">
      <alignment horizontal="center"/>
    </xf>
    <xf numFmtId="10" fontId="0" fillId="4" borderId="0" xfId="0" applyNumberForma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/>
    </xf>
    <xf numFmtId="10" fontId="2" fillId="4" borderId="12" xfId="2" applyNumberFormat="1" applyFont="1" applyFill="1" applyBorder="1" applyAlignment="1">
      <alignment horizontal="center"/>
    </xf>
    <xf numFmtId="3" fontId="5" fillId="4" borderId="0" xfId="0" applyNumberFormat="1" applyFont="1" applyFill="1" applyAlignment="1">
      <alignment horizontal="center"/>
    </xf>
    <xf numFmtId="3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4" fillId="4" borderId="0" xfId="0" applyFont="1" applyFill="1" applyAlignment="1">
      <alignment horizontal="center"/>
    </xf>
    <xf numFmtId="2" fontId="0" fillId="4" borderId="0" xfId="0" applyNumberFormat="1" applyFill="1" applyAlignment="1">
      <alignment horizontal="center"/>
    </xf>
    <xf numFmtId="165" fontId="0" fillId="4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15" xfId="0" applyFont="1" applyFill="1" applyBorder="1"/>
    <xf numFmtId="0" fontId="2" fillId="4" borderId="17" xfId="0" applyFont="1" applyFill="1" applyBorder="1"/>
    <xf numFmtId="0" fontId="2" fillId="4" borderId="19" xfId="0" applyFont="1" applyFill="1" applyBorder="1"/>
    <xf numFmtId="10" fontId="2" fillId="4" borderId="20" xfId="0" applyNumberFormat="1" applyFont="1" applyFill="1" applyBorder="1" applyAlignment="1">
      <alignment horizontal="center"/>
    </xf>
    <xf numFmtId="10" fontId="1" fillId="4" borderId="0" xfId="1" applyNumberFormat="1" applyFont="1" applyFill="1" applyBorder="1" applyAlignment="1">
      <alignment horizontal="center"/>
    </xf>
    <xf numFmtId="10" fontId="1" fillId="4" borderId="10" xfId="1" applyNumberFormat="1" applyFont="1" applyFill="1" applyBorder="1" applyAlignment="1">
      <alignment horizontal="center"/>
    </xf>
    <xf numFmtId="10" fontId="3" fillId="4" borderId="0" xfId="2" applyNumberFormat="1" applyFont="1" applyFill="1" applyBorder="1" applyAlignment="1">
      <alignment horizontal="center"/>
    </xf>
    <xf numFmtId="10" fontId="3" fillId="4" borderId="12" xfId="2" applyNumberFormat="1" applyFont="1" applyFill="1" applyBorder="1" applyAlignment="1">
      <alignment horizontal="center"/>
    </xf>
    <xf numFmtId="10" fontId="3" fillId="4" borderId="13" xfId="2" applyNumberFormat="1" applyFont="1" applyFill="1" applyBorder="1" applyAlignment="1">
      <alignment horizontal="center"/>
    </xf>
    <xf numFmtId="10" fontId="3" fillId="4" borderId="10" xfId="2" applyNumberFormat="1" applyFont="1" applyFill="1" applyBorder="1" applyAlignment="1">
      <alignment horizontal="center"/>
    </xf>
    <xf numFmtId="0" fontId="6" fillId="4" borderId="0" xfId="0" applyFont="1" applyFill="1"/>
    <xf numFmtId="9" fontId="0" fillId="4" borderId="0" xfId="0" applyNumberForma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3" fontId="5" fillId="4" borderId="0" xfId="1" applyNumberFormat="1" applyFont="1" applyFill="1" applyBorder="1" applyAlignment="1">
      <alignment horizontal="center"/>
    </xf>
    <xf numFmtId="9" fontId="5" fillId="2" borderId="22" xfId="0" applyNumberFormat="1" applyFont="1" applyFill="1" applyBorder="1" applyAlignment="1">
      <alignment horizontal="center"/>
    </xf>
    <xf numFmtId="3" fontId="3" fillId="4" borderId="6" xfId="0" applyNumberFormat="1" applyFont="1" applyFill="1" applyBorder="1"/>
    <xf numFmtId="3" fontId="1" fillId="4" borderId="0" xfId="2" applyNumberFormat="1" applyFont="1" applyFill="1" applyBorder="1" applyAlignment="1">
      <alignment horizontal="center"/>
    </xf>
    <xf numFmtId="3" fontId="1" fillId="4" borderId="0" xfId="1" applyNumberFormat="1" applyFont="1" applyFill="1" applyBorder="1" applyAlignment="1">
      <alignment horizontal="center"/>
    </xf>
    <xf numFmtId="3" fontId="1" fillId="4" borderId="10" xfId="1" applyNumberFormat="1" applyFont="1" applyFill="1" applyBorder="1" applyAlignment="1">
      <alignment horizontal="center"/>
    </xf>
    <xf numFmtId="3" fontId="1" fillId="4" borderId="10" xfId="2" applyNumberFormat="1" applyFont="1" applyFill="1" applyBorder="1" applyAlignment="1">
      <alignment horizontal="center"/>
    </xf>
    <xf numFmtId="3" fontId="6" fillId="4" borderId="0" xfId="2" applyNumberFormat="1" applyFont="1" applyFill="1" applyBorder="1" applyAlignment="1">
      <alignment horizontal="center"/>
    </xf>
    <xf numFmtId="3" fontId="6" fillId="4" borderId="10" xfId="2" applyNumberFormat="1" applyFont="1" applyFill="1" applyBorder="1" applyAlignment="1">
      <alignment horizontal="center"/>
    </xf>
    <xf numFmtId="3" fontId="6" fillId="4" borderId="12" xfId="2" applyNumberFormat="1" applyFont="1" applyFill="1" applyBorder="1" applyAlignment="1">
      <alignment horizontal="center"/>
    </xf>
    <xf numFmtId="3" fontId="6" fillId="4" borderId="13" xfId="2" applyNumberFormat="1" applyFont="1" applyFill="1" applyBorder="1" applyAlignment="1">
      <alignment horizontal="center"/>
    </xf>
    <xf numFmtId="43" fontId="3" fillId="4" borderId="0" xfId="1" applyFont="1" applyFill="1" applyBorder="1" applyAlignment="1">
      <alignment horizontal="center"/>
    </xf>
    <xf numFmtId="43" fontId="3" fillId="4" borderId="10" xfId="1" applyFont="1" applyFill="1" applyBorder="1" applyAlignment="1">
      <alignment horizontal="center"/>
    </xf>
    <xf numFmtId="43" fontId="3" fillId="4" borderId="0" xfId="1" applyNumberFormat="1" applyFont="1" applyFill="1" applyBorder="1" applyAlignment="1">
      <alignment horizontal="center"/>
    </xf>
    <xf numFmtId="10" fontId="2" fillId="4" borderId="0" xfId="0" applyNumberFormat="1" applyFont="1" applyFill="1" applyAlignment="1">
      <alignment horizontal="center"/>
    </xf>
    <xf numFmtId="10" fontId="2" fillId="4" borderId="0" xfId="0" applyNumberFormat="1" applyFont="1" applyFill="1" applyBorder="1" applyAlignment="1">
      <alignment horizontal="center"/>
    </xf>
    <xf numFmtId="10" fontId="2" fillId="4" borderId="16" xfId="0" applyNumberFormat="1" applyFont="1" applyFill="1" applyBorder="1" applyAlignment="1">
      <alignment horizontal="center"/>
    </xf>
    <xf numFmtId="10" fontId="2" fillId="4" borderId="18" xfId="0" applyNumberFormat="1" applyFont="1" applyFill="1" applyBorder="1" applyAlignment="1">
      <alignment horizontal="center"/>
    </xf>
    <xf numFmtId="3" fontId="8" fillId="2" borderId="4" xfId="1" applyNumberFormat="1" applyFont="1" applyFill="1" applyBorder="1" applyAlignment="1">
      <alignment horizontal="center"/>
    </xf>
    <xf numFmtId="10" fontId="8" fillId="2" borderId="14" xfId="0" applyNumberFormat="1" applyFont="1" applyFill="1" applyBorder="1" applyAlignment="1">
      <alignment horizontal="center"/>
    </xf>
    <xf numFmtId="3" fontId="8" fillId="2" borderId="14" xfId="0" applyNumberFormat="1" applyFont="1" applyFill="1" applyBorder="1" applyAlignment="1">
      <alignment horizontal="center"/>
    </xf>
    <xf numFmtId="8" fontId="10" fillId="4" borderId="23" xfId="0" applyNumberFormat="1" applyFont="1" applyFill="1" applyBorder="1" applyAlignment="1">
      <alignment horizontal="center"/>
    </xf>
    <xf numFmtId="9" fontId="8" fillId="4" borderId="24" xfId="0" applyNumberFormat="1" applyFont="1" applyFill="1" applyBorder="1" applyAlignment="1">
      <alignment horizontal="center"/>
    </xf>
    <xf numFmtId="3" fontId="6" fillId="4" borderId="0" xfId="0" applyNumberFormat="1" applyFont="1" applyFill="1" applyAlignment="1">
      <alignment horizontal="center"/>
    </xf>
    <xf numFmtId="4" fontId="0" fillId="4" borderId="0" xfId="0" applyNumberFormat="1" applyFill="1" applyAlignment="1">
      <alignment horizontal="center"/>
    </xf>
    <xf numFmtId="3" fontId="10" fillId="2" borderId="22" xfId="0" applyNumberFormat="1" applyFont="1" applyFill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10" fontId="11" fillId="4" borderId="0" xfId="3" applyNumberFormat="1" applyFill="1" applyAlignment="1">
      <alignment horizontal="center"/>
    </xf>
    <xf numFmtId="1" fontId="11" fillId="4" borderId="0" xfId="3" applyNumberFormat="1" applyFill="1" applyAlignment="1">
      <alignment horizontal="center"/>
    </xf>
    <xf numFmtId="166" fontId="11" fillId="4" borderId="0" xfId="3" applyNumberFormat="1" applyFill="1" applyAlignment="1">
      <alignment horizontal="center"/>
    </xf>
    <xf numFmtId="169" fontId="11" fillId="4" borderId="0" xfId="3" applyNumberFormat="1" applyFill="1" applyAlignment="1">
      <alignment horizontal="center"/>
    </xf>
    <xf numFmtId="3" fontId="11" fillId="4" borderId="0" xfId="3" applyNumberFormat="1" applyFill="1" applyAlignment="1">
      <alignment horizontal="center"/>
    </xf>
    <xf numFmtId="10" fontId="0" fillId="4" borderId="0" xfId="0" applyNumberFormat="1" applyFill="1"/>
    <xf numFmtId="0" fontId="2" fillId="4" borderId="21" xfId="0" applyFont="1" applyFill="1" applyBorder="1" applyAlignment="1">
      <alignment horizontal="center"/>
    </xf>
    <xf numFmtId="10" fontId="7" fillId="4" borderId="21" xfId="0" applyNumberFormat="1" applyFont="1" applyFill="1" applyBorder="1"/>
    <xf numFmtId="9" fontId="0" fillId="4" borderId="0" xfId="0" applyNumberFormat="1" applyFill="1"/>
    <xf numFmtId="14" fontId="0" fillId="4" borderId="0" xfId="0" applyNumberFormat="1" applyFill="1" applyAlignment="1">
      <alignment horizontal="center"/>
    </xf>
    <xf numFmtId="3" fontId="0" fillId="4" borderId="0" xfId="0" applyNumberFormat="1" applyFill="1"/>
    <xf numFmtId="9" fontId="3" fillId="4" borderId="0" xfId="0" applyNumberFormat="1" applyFont="1" applyFill="1" applyAlignment="1">
      <alignment horizontal="center"/>
    </xf>
    <xf numFmtId="0" fontId="3" fillId="4" borderId="0" xfId="0" applyFont="1" applyFill="1"/>
    <xf numFmtId="3" fontId="2" fillId="4" borderId="1" xfId="0" applyNumberFormat="1" applyFont="1" applyFill="1" applyBorder="1" applyAlignment="1">
      <alignment horizontal="center"/>
    </xf>
    <xf numFmtId="3" fontId="2" fillId="4" borderId="2" xfId="2" applyNumberFormat="1" applyFont="1" applyFill="1" applyBorder="1" applyAlignment="1">
      <alignment horizontal="center"/>
    </xf>
    <xf numFmtId="3" fontId="2" fillId="4" borderId="2" xfId="1" applyNumberFormat="1" applyFont="1" applyFill="1" applyBorder="1" applyAlignment="1">
      <alignment horizontal="center"/>
    </xf>
    <xf numFmtId="3" fontId="2" fillId="4" borderId="3" xfId="1" applyNumberFormat="1" applyFont="1" applyFill="1" applyBorder="1" applyAlignment="1">
      <alignment horizontal="center"/>
    </xf>
    <xf numFmtId="0" fontId="2" fillId="4" borderId="0" xfId="0" applyFont="1" applyFill="1" applyBorder="1"/>
    <xf numFmtId="165" fontId="6" fillId="4" borderId="0" xfId="0" applyNumberFormat="1" applyFont="1" applyFill="1" applyAlignment="1">
      <alignment horizontal="center"/>
    </xf>
    <xf numFmtId="164" fontId="6" fillId="4" borderId="0" xfId="0" quotePrefix="1" applyNumberFormat="1" applyFont="1" applyFill="1" applyAlignment="1">
      <alignment horizontal="center"/>
    </xf>
    <xf numFmtId="164" fontId="6" fillId="4" borderId="0" xfId="0" applyNumberFormat="1" applyFont="1" applyFill="1" applyAlignment="1">
      <alignment horizontal="center"/>
    </xf>
    <xf numFmtId="167" fontId="2" fillId="4" borderId="0" xfId="0" applyNumberFormat="1" applyFont="1" applyFill="1" applyAlignment="1">
      <alignment horizontal="center"/>
    </xf>
    <xf numFmtId="170" fontId="0" fillId="4" borderId="0" xfId="0" applyNumberFormat="1" applyFill="1"/>
    <xf numFmtId="171" fontId="2" fillId="4" borderId="0" xfId="0" applyNumberFormat="1" applyFont="1" applyFill="1" applyAlignment="1">
      <alignment horizontal="center"/>
    </xf>
    <xf numFmtId="169" fontId="0" fillId="4" borderId="0" xfId="0" applyNumberFormat="1" applyFill="1" applyAlignment="1">
      <alignment horizontal="center"/>
    </xf>
    <xf numFmtId="3" fontId="8" fillId="4" borderId="24" xfId="0" applyNumberFormat="1" applyFont="1" applyFill="1" applyBorder="1" applyAlignment="1">
      <alignment horizontal="center"/>
    </xf>
    <xf numFmtId="3" fontId="0" fillId="0" borderId="25" xfId="0" applyNumberFormat="1" applyBorder="1" applyAlignment="1">
      <alignment horizontal="center"/>
    </xf>
    <xf numFmtId="0" fontId="2" fillId="0" borderId="0" xfId="0" applyFont="1"/>
    <xf numFmtId="0" fontId="8" fillId="2" borderId="4" xfId="0" applyNumberFormat="1" applyFont="1" applyFill="1" applyBorder="1" applyAlignment="1">
      <alignment horizontal="center"/>
    </xf>
    <xf numFmtId="1" fontId="6" fillId="4" borderId="0" xfId="0" applyNumberFormat="1" applyFont="1" applyFill="1" applyBorder="1" applyAlignment="1">
      <alignment horizontal="center"/>
    </xf>
    <xf numFmtId="2" fontId="8" fillId="4" borderId="0" xfId="0" applyNumberFormat="1" applyFont="1" applyFill="1" applyBorder="1" applyAlignment="1">
      <alignment horizontal="center"/>
    </xf>
    <xf numFmtId="4" fontId="8" fillId="2" borderId="22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172" fontId="2" fillId="0" borderId="0" xfId="1" applyNumberFormat="1" applyFont="1" applyFill="1" applyBorder="1" applyAlignment="1">
      <alignment horizontal="center"/>
    </xf>
    <xf numFmtId="0" fontId="11" fillId="0" borderId="0" xfId="3" applyFill="1" applyBorder="1"/>
    <xf numFmtId="10" fontId="11" fillId="0" borderId="0" xfId="3" applyNumberFormat="1" applyFill="1" applyBorder="1" applyAlignment="1">
      <alignment horizontal="center"/>
    </xf>
    <xf numFmtId="10" fontId="0" fillId="0" borderId="0" xfId="0" applyNumberForma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168" fontId="11" fillId="0" borderId="0" xfId="3" applyNumberFormat="1" applyFill="1" applyBorder="1" applyAlignment="1">
      <alignment horizontal="center"/>
    </xf>
    <xf numFmtId="168" fontId="2" fillId="0" borderId="0" xfId="0" applyNumberFormat="1" applyFont="1" applyFill="1" applyBorder="1" applyAlignment="1">
      <alignment horizontal="center"/>
    </xf>
    <xf numFmtId="168" fontId="0" fillId="0" borderId="0" xfId="0" applyNumberFormat="1" applyFill="1" applyBorder="1"/>
    <xf numFmtId="9" fontId="0" fillId="4" borderId="0" xfId="0" applyNumberFormat="1" applyFill="1" applyAlignment="1">
      <alignment horizontal="center"/>
    </xf>
    <xf numFmtId="174" fontId="2" fillId="4" borderId="3" xfId="0" applyNumberFormat="1" applyFont="1" applyFill="1" applyBorder="1" applyAlignment="1">
      <alignment horizontal="center"/>
    </xf>
    <xf numFmtId="173" fontId="0" fillId="4" borderId="0" xfId="0" applyNumberFormat="1" applyFill="1" applyAlignment="1">
      <alignment horizontal="center"/>
    </xf>
    <xf numFmtId="10" fontId="6" fillId="4" borderId="0" xfId="0" applyNumberFormat="1" applyFont="1" applyFill="1" applyBorder="1" applyAlignment="1">
      <alignment horizontal="center"/>
    </xf>
    <xf numFmtId="0" fontId="2" fillId="4" borderId="1" xfId="0" quotePrefix="1" applyFont="1" applyFill="1" applyBorder="1"/>
    <xf numFmtId="0" fontId="2" fillId="4" borderId="0" xfId="0" quotePrefix="1" applyFont="1" applyFill="1"/>
    <xf numFmtId="8" fontId="8" fillId="2" borderId="14" xfId="0" applyNumberFormat="1" applyFont="1" applyFill="1" applyBorder="1" applyAlignment="1">
      <alignment horizontal="center"/>
    </xf>
    <xf numFmtId="3" fontId="8" fillId="2" borderId="5" xfId="1" applyNumberFormat="1" applyFont="1" applyFill="1" applyBorder="1" applyAlignment="1">
      <alignment horizontal="center"/>
    </xf>
    <xf numFmtId="164" fontId="14" fillId="4" borderId="0" xfId="0" applyNumberFormat="1" applyFont="1" applyFill="1" applyBorder="1" applyAlignment="1">
      <alignment horizontal="center"/>
    </xf>
    <xf numFmtId="164" fontId="14" fillId="4" borderId="0" xfId="0" applyNumberFormat="1" applyFont="1" applyFill="1" applyAlignment="1">
      <alignment horizontal="center"/>
    </xf>
    <xf numFmtId="3" fontId="0" fillId="2" borderId="5" xfId="0" applyNumberForma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2" fontId="0" fillId="4" borderId="0" xfId="0" applyNumberFormat="1" applyFill="1" applyBorder="1" applyAlignment="1">
      <alignment horizontal="center"/>
    </xf>
    <xf numFmtId="165" fontId="0" fillId="4" borderId="0" xfId="0" applyNumberFormat="1" applyFill="1" applyBorder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174" fontId="2" fillId="4" borderId="0" xfId="0" applyNumberFormat="1" applyFont="1" applyFill="1" applyBorder="1" applyAlignment="1">
      <alignment horizontal="center"/>
    </xf>
    <xf numFmtId="4" fontId="8" fillId="4" borderId="0" xfId="0" applyNumberFormat="1" applyFont="1" applyFill="1" applyBorder="1" applyAlignment="1">
      <alignment horizontal="center"/>
    </xf>
    <xf numFmtId="0" fontId="15" fillId="2" borderId="0" xfId="0" applyFont="1" applyFill="1" applyAlignment="1">
      <alignment horizontal="center"/>
    </xf>
    <xf numFmtId="4" fontId="0" fillId="4" borderId="0" xfId="0" applyNumberFormat="1" applyFill="1" applyBorder="1" applyAlignment="1">
      <alignment horizontal="center"/>
    </xf>
    <xf numFmtId="9" fontId="2" fillId="4" borderId="0" xfId="0" applyNumberFormat="1" applyFont="1" applyFill="1" applyAlignment="1">
      <alignment horizontal="center"/>
    </xf>
    <xf numFmtId="0" fontId="16" fillId="4" borderId="0" xfId="0" applyFont="1" applyFill="1" applyAlignment="1">
      <alignment horizontal="center"/>
    </xf>
    <xf numFmtId="9" fontId="0" fillId="4" borderId="0" xfId="0" applyNumberFormat="1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6" fontId="0" fillId="0" borderId="0" xfId="0" applyNumberFormat="1" applyFill="1"/>
    <xf numFmtId="6" fontId="1" fillId="0" borderId="0" xfId="2" applyNumberFormat="1" applyFont="1" applyFill="1" applyBorder="1" applyAlignment="1">
      <alignment horizontal="center"/>
    </xf>
    <xf numFmtId="6" fontId="1" fillId="0" borderId="0" xfId="1" applyNumberFormat="1" applyFont="1" applyFill="1" applyBorder="1" applyAlignment="1">
      <alignment horizontal="center"/>
    </xf>
    <xf numFmtId="6" fontId="6" fillId="0" borderId="0" xfId="2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0" xfId="1" applyNumberFormat="1" applyFont="1" applyFill="1" applyBorder="1" applyAlignment="1">
      <alignment horizontal="center"/>
    </xf>
    <xf numFmtId="8" fontId="10" fillId="0" borderId="0" xfId="0" applyNumberFormat="1" applyFont="1" applyFill="1" applyBorder="1" applyAlignment="1">
      <alignment horizontal="center"/>
    </xf>
    <xf numFmtId="6" fontId="0" fillId="0" borderId="0" xfId="0" applyNumberFormat="1" applyFill="1" applyBorder="1"/>
    <xf numFmtId="9" fontId="8" fillId="0" borderId="0" xfId="0" applyNumberFormat="1" applyFont="1" applyFill="1" applyBorder="1" applyAlignment="1">
      <alignment horizontal="center"/>
    </xf>
    <xf numFmtId="3" fontId="8" fillId="0" borderId="0" xfId="0" applyNumberFormat="1" applyFont="1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3" fontId="3" fillId="0" borderId="0" xfId="0" applyNumberFormat="1" applyFont="1" applyFill="1" applyBorder="1"/>
    <xf numFmtId="3" fontId="2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 textRotation="255"/>
    </xf>
    <xf numFmtId="0" fontId="3" fillId="0" borderId="0" xfId="0" applyFont="1" applyFill="1"/>
    <xf numFmtId="10" fontId="0" fillId="0" borderId="0" xfId="0" applyNumberFormat="1" applyFill="1" applyAlignment="1">
      <alignment horizontal="center"/>
    </xf>
    <xf numFmtId="3" fontId="0" fillId="0" borderId="0" xfId="0" applyNumberFormat="1" applyFill="1" applyAlignment="1">
      <alignment horizontal="center"/>
    </xf>
    <xf numFmtId="175" fontId="0" fillId="0" borderId="0" xfId="0" applyNumberFormat="1" applyFill="1" applyAlignment="1">
      <alignment horizontal="center"/>
    </xf>
    <xf numFmtId="3" fontId="2" fillId="0" borderId="0" xfId="0" applyNumberFormat="1" applyFont="1" applyFill="1" applyAlignment="1">
      <alignment horizontal="center"/>
    </xf>
    <xf numFmtId="0" fontId="0" fillId="0" borderId="0" xfId="0" quotePrefix="1" applyFill="1"/>
    <xf numFmtId="0" fontId="6" fillId="0" borderId="0" xfId="0" applyFont="1" applyFill="1"/>
    <xf numFmtId="1" fontId="6" fillId="0" borderId="0" xfId="0" applyNumberFormat="1" applyFont="1" applyFill="1" applyAlignment="1">
      <alignment horizontal="center"/>
    </xf>
    <xf numFmtId="6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/>
    <xf numFmtId="6" fontId="0" fillId="0" borderId="0" xfId="0" applyNumberFormat="1" applyFont="1" applyFill="1" applyAlignment="1">
      <alignment horizontal="center"/>
    </xf>
    <xf numFmtId="0" fontId="0" fillId="0" borderId="0" xfId="0" applyFont="1" applyFill="1" applyBorder="1"/>
    <xf numFmtId="6" fontId="0" fillId="0" borderId="0" xfId="0" applyNumberFormat="1" applyFill="1" applyBorder="1" applyAlignment="1">
      <alignment horizontal="center"/>
    </xf>
    <xf numFmtId="6" fontId="0" fillId="0" borderId="0" xfId="0" applyNumberFormat="1" applyFill="1" applyAlignment="1">
      <alignment horizontal="center"/>
    </xf>
    <xf numFmtId="9" fontId="0" fillId="0" borderId="0" xfId="0" applyNumberFormat="1" applyFont="1" applyFill="1" applyAlignment="1">
      <alignment horizontal="center"/>
    </xf>
    <xf numFmtId="0" fontId="2" fillId="0" borderId="0" xfId="0" applyFont="1" applyFill="1" applyBorder="1" applyAlignment="1"/>
    <xf numFmtId="166" fontId="2" fillId="0" borderId="0" xfId="0" applyNumberFormat="1" applyFont="1" applyFill="1" applyBorder="1" applyAlignment="1"/>
    <xf numFmtId="3" fontId="2" fillId="4" borderId="0" xfId="0" applyNumberFormat="1" applyFont="1" applyFill="1" applyBorder="1" applyAlignment="1">
      <alignment horizontal="center"/>
    </xf>
    <xf numFmtId="3" fontId="0" fillId="4" borderId="7" xfId="0" applyNumberFormat="1" applyFill="1" applyBorder="1" applyAlignment="1">
      <alignment horizontal="center"/>
    </xf>
    <xf numFmtId="3" fontId="0" fillId="4" borderId="0" xfId="0" applyNumberFormat="1" applyFill="1" applyBorder="1" applyAlignment="1">
      <alignment horizontal="center"/>
    </xf>
    <xf numFmtId="2" fontId="6" fillId="4" borderId="6" xfId="0" applyNumberFormat="1" applyFont="1" applyFill="1" applyBorder="1" applyAlignment="1">
      <alignment horizontal="center"/>
    </xf>
    <xf numFmtId="164" fontId="14" fillId="4" borderId="7" xfId="0" applyNumberFormat="1" applyFont="1" applyFill="1" applyBorder="1" applyAlignment="1">
      <alignment horizontal="center"/>
    </xf>
    <xf numFmtId="165" fontId="6" fillId="4" borderId="7" xfId="0" applyNumberFormat="1" applyFont="1" applyFill="1" applyBorder="1" applyAlignment="1">
      <alignment horizontal="center"/>
    </xf>
    <xf numFmtId="164" fontId="6" fillId="4" borderId="7" xfId="0" quotePrefix="1" applyNumberFormat="1" applyFont="1" applyFill="1" applyBorder="1" applyAlignment="1">
      <alignment horizontal="center"/>
    </xf>
    <xf numFmtId="164" fontId="6" fillId="4" borderId="8" xfId="0" applyNumberFormat="1" applyFont="1" applyFill="1" applyBorder="1" applyAlignment="1">
      <alignment horizontal="center"/>
    </xf>
    <xf numFmtId="2" fontId="6" fillId="4" borderId="9" xfId="0" applyNumberFormat="1" applyFont="1" applyFill="1" applyBorder="1" applyAlignment="1">
      <alignment horizontal="center"/>
    </xf>
    <xf numFmtId="165" fontId="6" fillId="4" borderId="0" xfId="0" applyNumberFormat="1" applyFont="1" applyFill="1" applyBorder="1" applyAlignment="1">
      <alignment horizontal="center"/>
    </xf>
    <xf numFmtId="164" fontId="6" fillId="4" borderId="0" xfId="0" quotePrefix="1" applyNumberFormat="1" applyFont="1" applyFill="1" applyBorder="1" applyAlignment="1">
      <alignment horizontal="center"/>
    </xf>
    <xf numFmtId="164" fontId="6" fillId="4" borderId="10" xfId="0" applyNumberFormat="1" applyFont="1" applyFill="1" applyBorder="1" applyAlignment="1">
      <alignment horizontal="center"/>
    </xf>
    <xf numFmtId="2" fontId="6" fillId="4" borderId="11" xfId="0" applyNumberFormat="1" applyFont="1" applyFill="1" applyBorder="1" applyAlignment="1">
      <alignment horizontal="center"/>
    </xf>
    <xf numFmtId="164" fontId="14" fillId="4" borderId="12" xfId="0" applyNumberFormat="1" applyFont="1" applyFill="1" applyBorder="1" applyAlignment="1">
      <alignment horizontal="center"/>
    </xf>
    <xf numFmtId="165" fontId="6" fillId="4" borderId="12" xfId="0" applyNumberFormat="1" applyFont="1" applyFill="1" applyBorder="1" applyAlignment="1">
      <alignment horizontal="center"/>
    </xf>
    <xf numFmtId="164" fontId="6" fillId="4" borderId="12" xfId="0" quotePrefix="1" applyNumberFormat="1" applyFont="1" applyFill="1" applyBorder="1" applyAlignment="1">
      <alignment horizontal="center"/>
    </xf>
    <xf numFmtId="164" fontId="6" fillId="4" borderId="13" xfId="0" applyNumberFormat="1" applyFont="1" applyFill="1" applyBorder="1" applyAlignment="1">
      <alignment horizontal="center"/>
    </xf>
    <xf numFmtId="0" fontId="17" fillId="4" borderId="0" xfId="0" applyFont="1" applyFill="1" applyAlignment="1">
      <alignment horizontal="center"/>
    </xf>
    <xf numFmtId="3" fontId="15" fillId="2" borderId="4" xfId="0" applyNumberFormat="1" applyFont="1" applyFill="1" applyBorder="1" applyAlignment="1">
      <alignment horizontal="center"/>
    </xf>
    <xf numFmtId="3" fontId="15" fillId="2" borderId="14" xfId="0" applyNumberFormat="1" applyFont="1" applyFill="1" applyBorder="1" applyAlignment="1">
      <alignment horizontal="center"/>
    </xf>
    <xf numFmtId="4" fontId="15" fillId="2" borderId="5" xfId="0" applyNumberFormat="1" applyFont="1" applyFill="1" applyBorder="1" applyAlignment="1">
      <alignment horizontal="center"/>
    </xf>
    <xf numFmtId="3" fontId="2" fillId="5" borderId="0" xfId="0" applyNumberFormat="1" applyFont="1" applyFill="1" applyBorder="1" applyAlignment="1">
      <alignment horizontal="center"/>
    </xf>
    <xf numFmtId="3" fontId="2" fillId="5" borderId="7" xfId="0" applyNumberFormat="1" applyFont="1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3" fontId="8" fillId="4" borderId="0" xfId="0" applyNumberFormat="1" applyFont="1" applyFill="1" applyBorder="1" applyAlignment="1">
      <alignment horizontal="center"/>
    </xf>
    <xf numFmtId="3" fontId="15" fillId="2" borderId="22" xfId="0" applyNumberFormat="1" applyFont="1" applyFill="1" applyBorder="1" applyAlignment="1">
      <alignment horizontal="center"/>
    </xf>
    <xf numFmtId="15" fontId="0" fillId="0" borderId="0" xfId="0" applyNumberFormat="1"/>
    <xf numFmtId="176" fontId="0" fillId="4" borderId="0" xfId="0" applyNumberFormat="1" applyFill="1" applyAlignment="1">
      <alignment horizontal="center"/>
    </xf>
    <xf numFmtId="4" fontId="3" fillId="4" borderId="0" xfId="0" applyNumberFormat="1" applyFont="1" applyFill="1" applyAlignment="1">
      <alignment horizontal="center"/>
    </xf>
    <xf numFmtId="22" fontId="3" fillId="4" borderId="0" xfId="0" applyNumberFormat="1" applyFont="1" applyFill="1" applyAlignment="1">
      <alignment horizontal="center"/>
    </xf>
    <xf numFmtId="10" fontId="6" fillId="4" borderId="0" xfId="2" applyNumberFormat="1" applyFont="1" applyFill="1" applyBorder="1" applyAlignment="1">
      <alignment horizontal="center"/>
    </xf>
    <xf numFmtId="10" fontId="2" fillId="5" borderId="7" xfId="0" applyNumberFormat="1" applyFont="1" applyFill="1" applyBorder="1" applyAlignment="1">
      <alignment horizontal="center"/>
    </xf>
    <xf numFmtId="10" fontId="2" fillId="5" borderId="0" xfId="0" applyNumberFormat="1" applyFont="1" applyFill="1" applyBorder="1" applyAlignment="1">
      <alignment horizontal="center"/>
    </xf>
    <xf numFmtId="10" fontId="2" fillId="4" borderId="27" xfId="2" applyNumberFormat="1" applyFont="1" applyFill="1" applyBorder="1" applyAlignment="1">
      <alignment horizontal="center"/>
    </xf>
    <xf numFmtId="10" fontId="2" fillId="4" borderId="26" xfId="2" applyNumberFormat="1" applyFont="1" applyFill="1" applyBorder="1" applyAlignment="1">
      <alignment horizontal="center"/>
    </xf>
    <xf numFmtId="10" fontId="2" fillId="4" borderId="28" xfId="2" applyNumberFormat="1" applyFont="1" applyFill="1" applyBorder="1" applyAlignment="1">
      <alignment horizontal="center"/>
    </xf>
    <xf numFmtId="177" fontId="3" fillId="4" borderId="0" xfId="0" applyNumberFormat="1" applyFont="1" applyFill="1"/>
    <xf numFmtId="178" fontId="3" fillId="4" borderId="0" xfId="0" applyNumberFormat="1" applyFont="1" applyFill="1"/>
    <xf numFmtId="6" fontId="12" fillId="4" borderId="0" xfId="0" applyNumberFormat="1" applyFont="1" applyFill="1" applyAlignment="1">
      <alignment horizontal="center"/>
    </xf>
    <xf numFmtId="9" fontId="5" fillId="4" borderId="0" xfId="0" applyNumberFormat="1" applyFont="1" applyFill="1" applyBorder="1" applyAlignment="1">
      <alignment horizontal="center"/>
    </xf>
    <xf numFmtId="10" fontId="2" fillId="4" borderId="1" xfId="2" applyNumberFormat="1" applyFont="1" applyFill="1" applyBorder="1" applyAlignment="1">
      <alignment horizontal="center"/>
    </xf>
    <xf numFmtId="10" fontId="2" fillId="4" borderId="2" xfId="2" applyNumberFormat="1" applyFont="1" applyFill="1" applyBorder="1" applyAlignment="1">
      <alignment horizontal="center"/>
    </xf>
    <xf numFmtId="10" fontId="2" fillId="4" borderId="3" xfId="2" applyNumberFormat="1" applyFont="1" applyFill="1" applyBorder="1" applyAlignment="1">
      <alignment horizontal="center"/>
    </xf>
    <xf numFmtId="3" fontId="15" fillId="2" borderId="17" xfId="0" applyNumberFormat="1" applyFont="1" applyFill="1" applyBorder="1" applyAlignment="1">
      <alignment horizontal="center"/>
    </xf>
    <xf numFmtId="3" fontId="15" fillId="2" borderId="0" xfId="0" applyNumberFormat="1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3" fontId="17" fillId="5" borderId="30" xfId="0" applyNumberFormat="1" applyFont="1" applyFill="1" applyBorder="1" applyAlignment="1">
      <alignment horizontal="center"/>
    </xf>
    <xf numFmtId="3" fontId="2" fillId="5" borderId="31" xfId="0" applyNumberFormat="1" applyFont="1" applyFill="1" applyBorder="1" applyAlignment="1">
      <alignment horizontal="center"/>
    </xf>
    <xf numFmtId="3" fontId="17" fillId="5" borderId="17" xfId="0" applyNumberFormat="1" applyFont="1" applyFill="1" applyBorder="1" applyAlignment="1">
      <alignment horizontal="center"/>
    </xf>
    <xf numFmtId="3" fontId="2" fillId="5" borderId="18" xfId="0" applyNumberFormat="1" applyFont="1" applyFill="1" applyBorder="1" applyAlignment="1">
      <alignment horizontal="center"/>
    </xf>
    <xf numFmtId="4" fontId="17" fillId="5" borderId="17" xfId="0" applyNumberFormat="1" applyFont="1" applyFill="1" applyBorder="1" applyAlignment="1">
      <alignment horizontal="center"/>
    </xf>
    <xf numFmtId="4" fontId="17" fillId="5" borderId="19" xfId="0" applyNumberFormat="1" applyFont="1" applyFill="1" applyBorder="1" applyAlignment="1">
      <alignment horizontal="center"/>
    </xf>
    <xf numFmtId="3" fontId="2" fillId="5" borderId="32" xfId="0" applyNumberFormat="1" applyFont="1" applyFill="1" applyBorder="1" applyAlignment="1">
      <alignment horizontal="center"/>
    </xf>
    <xf numFmtId="10" fontId="2" fillId="5" borderId="32" xfId="0" applyNumberFormat="1" applyFont="1" applyFill="1" applyBorder="1" applyAlignment="1">
      <alignment horizontal="center"/>
    </xf>
    <xf numFmtId="3" fontId="2" fillId="5" borderId="20" xfId="0" applyNumberFormat="1" applyFont="1" applyFill="1" applyBorder="1" applyAlignment="1">
      <alignment horizontal="center"/>
    </xf>
    <xf numFmtId="0" fontId="15" fillId="2" borderId="0" xfId="0" applyFont="1" applyFill="1" applyBorder="1" applyAlignment="1">
      <alignment horizontal="center"/>
    </xf>
    <xf numFmtId="9" fontId="15" fillId="2" borderId="18" xfId="0" applyNumberFormat="1" applyFont="1" applyFill="1" applyBorder="1" applyAlignment="1">
      <alignment horizontal="center"/>
    </xf>
    <xf numFmtId="3" fontId="0" fillId="2" borderId="17" xfId="0" applyNumberFormat="1" applyFill="1" applyBorder="1" applyAlignment="1">
      <alignment horizontal="center"/>
    </xf>
    <xf numFmtId="3" fontId="0" fillId="2" borderId="19" xfId="0" applyNumberFormat="1" applyFill="1" applyBorder="1" applyAlignment="1">
      <alignment horizontal="center"/>
    </xf>
    <xf numFmtId="3" fontId="15" fillId="2" borderId="32" xfId="0" applyNumberFormat="1" applyFont="1" applyFill="1" applyBorder="1" applyAlignment="1">
      <alignment horizontal="center"/>
    </xf>
    <xf numFmtId="0" fontId="15" fillId="2" borderId="32" xfId="0" applyFont="1" applyFill="1" applyBorder="1" applyAlignment="1">
      <alignment horizontal="center"/>
    </xf>
    <xf numFmtId="9" fontId="15" fillId="2" borderId="20" xfId="0" applyNumberFormat="1" applyFont="1" applyFill="1" applyBorder="1" applyAlignment="1">
      <alignment horizontal="center"/>
    </xf>
    <xf numFmtId="15" fontId="0" fillId="4" borderId="0" xfId="0" applyNumberFormat="1" applyFill="1"/>
    <xf numFmtId="3" fontId="0" fillId="4" borderId="30" xfId="0" applyNumberFormat="1" applyFill="1" applyBorder="1" applyAlignment="1">
      <alignment horizontal="center"/>
    </xf>
    <xf numFmtId="2" fontId="0" fillId="4" borderId="31" xfId="0" applyNumberFormat="1" applyFill="1" applyBorder="1" applyAlignment="1">
      <alignment horizontal="center"/>
    </xf>
    <xf numFmtId="3" fontId="0" fillId="4" borderId="17" xfId="0" applyNumberFormat="1" applyFill="1" applyBorder="1" applyAlignment="1">
      <alignment horizontal="center"/>
    </xf>
    <xf numFmtId="2" fontId="0" fillId="4" borderId="18" xfId="0" applyNumberFormat="1" applyFill="1" applyBorder="1" applyAlignment="1">
      <alignment horizontal="center"/>
    </xf>
    <xf numFmtId="3" fontId="0" fillId="4" borderId="19" xfId="0" applyNumberFormat="1" applyFill="1" applyBorder="1" applyAlignment="1">
      <alignment horizontal="center"/>
    </xf>
    <xf numFmtId="3" fontId="0" fillId="4" borderId="32" xfId="0" applyNumberFormat="1" applyFill="1" applyBorder="1" applyAlignment="1">
      <alignment horizontal="center"/>
    </xf>
    <xf numFmtId="2" fontId="0" fillId="4" borderId="20" xfId="0" applyNumberFormat="1" applyFill="1" applyBorder="1" applyAlignment="1">
      <alignment horizontal="center"/>
    </xf>
    <xf numFmtId="0" fontId="2" fillId="4" borderId="33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34" xfId="0" applyFont="1" applyFill="1" applyBorder="1" applyAlignment="1">
      <alignment horizontal="center"/>
    </xf>
    <xf numFmtId="9" fontId="2" fillId="4" borderId="7" xfId="0" applyNumberFormat="1" applyFont="1" applyFill="1" applyBorder="1" applyAlignment="1">
      <alignment horizontal="center"/>
    </xf>
    <xf numFmtId="169" fontId="2" fillId="4" borderId="7" xfId="0" applyNumberFormat="1" applyFont="1" applyFill="1" applyBorder="1" applyAlignment="1">
      <alignment horizontal="center"/>
    </xf>
    <xf numFmtId="169" fontId="2" fillId="4" borderId="8" xfId="0" applyNumberFormat="1" applyFont="1" applyFill="1" applyBorder="1" applyAlignment="1">
      <alignment horizontal="center"/>
    </xf>
    <xf numFmtId="10" fontId="2" fillId="4" borderId="0" xfId="2" applyNumberFormat="1" applyFont="1" applyFill="1" applyBorder="1" applyAlignment="1">
      <alignment horizontal="center"/>
    </xf>
    <xf numFmtId="10" fontId="2" fillId="4" borderId="0" xfId="1" applyNumberFormat="1" applyFont="1" applyFill="1" applyBorder="1" applyAlignment="1">
      <alignment horizontal="center"/>
    </xf>
    <xf numFmtId="10" fontId="2" fillId="4" borderId="10" xfId="1" applyNumberFormat="1" applyFont="1" applyFill="1" applyBorder="1" applyAlignment="1">
      <alignment horizontal="center"/>
    </xf>
    <xf numFmtId="10" fontId="6" fillId="4" borderId="10" xfId="2" applyNumberFormat="1" applyFont="1" applyFill="1" applyBorder="1" applyAlignment="1">
      <alignment horizontal="center"/>
    </xf>
    <xf numFmtId="10" fontId="6" fillId="4" borderId="12" xfId="2" applyNumberFormat="1" applyFont="1" applyFill="1" applyBorder="1" applyAlignment="1">
      <alignment horizontal="center"/>
    </xf>
    <xf numFmtId="10" fontId="6" fillId="4" borderId="13" xfId="2" applyNumberFormat="1" applyFont="1" applyFill="1" applyBorder="1" applyAlignment="1">
      <alignment horizontal="center"/>
    </xf>
    <xf numFmtId="10" fontId="2" fillId="4" borderId="2" xfId="1" applyNumberFormat="1" applyFont="1" applyFill="1" applyBorder="1" applyAlignment="1">
      <alignment horizontal="center"/>
    </xf>
    <xf numFmtId="10" fontId="2" fillId="4" borderId="3" xfId="1" applyNumberFormat="1" applyFont="1" applyFill="1" applyBorder="1" applyAlignment="1">
      <alignment horizontal="center"/>
    </xf>
    <xf numFmtId="3" fontId="0" fillId="0" borderId="0" xfId="0" applyNumberFormat="1"/>
    <xf numFmtId="0" fontId="15" fillId="4" borderId="0" xfId="0" applyFont="1" applyFill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/>
    <xf numFmtId="14" fontId="0" fillId="0" borderId="0" xfId="0" applyNumberFormat="1"/>
    <xf numFmtId="14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 applyAlignment="1">
      <alignment horizontal="center"/>
    </xf>
    <xf numFmtId="10" fontId="2" fillId="0" borderId="0" xfId="0" applyNumberFormat="1" applyFont="1"/>
    <xf numFmtId="179" fontId="3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4" fontId="18" fillId="0" borderId="0" xfId="0" applyNumberFormat="1" applyFont="1"/>
    <xf numFmtId="180" fontId="3" fillId="4" borderId="0" xfId="0" applyNumberFormat="1" applyFont="1" applyFill="1" applyAlignment="1">
      <alignment horizontal="center"/>
    </xf>
    <xf numFmtId="3" fontId="18" fillId="0" borderId="0" xfId="0" applyNumberFormat="1" applyFont="1"/>
    <xf numFmtId="0" fontId="19" fillId="4" borderId="0" xfId="0" applyFont="1" applyFill="1"/>
    <xf numFmtId="3" fontId="19" fillId="4" borderId="21" xfId="0" applyNumberFormat="1" applyFont="1" applyFill="1" applyBorder="1" applyAlignment="1">
      <alignment horizontal="center"/>
    </xf>
    <xf numFmtId="3" fontId="20" fillId="2" borderId="21" xfId="0" applyNumberFormat="1" applyFont="1" applyFill="1" applyBorder="1" applyAlignment="1">
      <alignment horizontal="center"/>
    </xf>
    <xf numFmtId="9" fontId="20" fillId="2" borderId="21" xfId="0" applyNumberFormat="1" applyFont="1" applyFill="1" applyBorder="1" applyAlignment="1">
      <alignment horizontal="center"/>
    </xf>
    <xf numFmtId="3" fontId="21" fillId="4" borderId="0" xfId="0" applyNumberFormat="1" applyFont="1" applyFill="1" applyAlignment="1">
      <alignment horizontal="center"/>
    </xf>
    <xf numFmtId="9" fontId="19" fillId="4" borderId="21" xfId="4" applyFont="1" applyFill="1" applyBorder="1" applyAlignment="1">
      <alignment horizontal="center"/>
    </xf>
    <xf numFmtId="10" fontId="19" fillId="4" borderId="21" xfId="4" applyNumberFormat="1" applyFont="1" applyFill="1" applyBorder="1" applyAlignment="1">
      <alignment horizontal="center"/>
    </xf>
    <xf numFmtId="3" fontId="21" fillId="4" borderId="21" xfId="0" applyNumberFormat="1" applyFont="1" applyFill="1" applyBorder="1" applyAlignment="1">
      <alignment horizontal="center"/>
    </xf>
    <xf numFmtId="0" fontId="22" fillId="4" borderId="0" xfId="0" applyFont="1" applyFill="1"/>
    <xf numFmtId="0" fontId="2" fillId="4" borderId="15" xfId="0" applyFont="1" applyFill="1" applyBorder="1" applyAlignment="1">
      <alignment horizontal="center"/>
    </xf>
    <xf numFmtId="0" fontId="2" fillId="4" borderId="29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166" fontId="2" fillId="4" borderId="12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center" vertical="center" textRotation="255"/>
    </xf>
    <xf numFmtId="0" fontId="2" fillId="3" borderId="0" xfId="0" applyFont="1" applyFill="1" applyAlignment="1">
      <alignment horizontal="center"/>
    </xf>
    <xf numFmtId="6" fontId="2" fillId="4" borderId="11" xfId="0" applyNumberFormat="1" applyFont="1" applyFill="1" applyBorder="1" applyAlignment="1">
      <alignment horizontal="center"/>
    </xf>
    <xf numFmtId="6" fontId="2" fillId="4" borderId="12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 vertical="center" textRotation="255"/>
    </xf>
    <xf numFmtId="0" fontId="2" fillId="3" borderId="9" xfId="0" applyFont="1" applyFill="1" applyBorder="1" applyAlignment="1">
      <alignment horizontal="center" vertical="center" textRotation="255"/>
    </xf>
    <xf numFmtId="0" fontId="2" fillId="3" borderId="11" xfId="0" applyFont="1" applyFill="1" applyBorder="1" applyAlignment="1">
      <alignment horizontal="center" vertical="center" textRotation="255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/>
    </xf>
    <xf numFmtId="0" fontId="13" fillId="4" borderId="2" xfId="0" applyFont="1" applyFill="1" applyBorder="1" applyAlignment="1">
      <alignment horizontal="center"/>
    </xf>
    <xf numFmtId="0" fontId="13" fillId="4" borderId="3" xfId="0" applyFont="1" applyFill="1" applyBorder="1" applyAlignment="1">
      <alignment horizontal="center"/>
    </xf>
    <xf numFmtId="0" fontId="3" fillId="4" borderId="0" xfId="0" applyFont="1" applyFill="1" applyBorder="1"/>
    <xf numFmtId="22" fontId="3" fillId="4" borderId="0" xfId="0" applyNumberFormat="1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4" fontId="3" fillId="4" borderId="0" xfId="0" applyNumberFormat="1" applyFont="1" applyFill="1" applyBorder="1" applyAlignment="1">
      <alignment horizontal="center"/>
    </xf>
    <xf numFmtId="0" fontId="23" fillId="4" borderId="0" xfId="0" applyFont="1" applyFill="1" applyBorder="1"/>
    <xf numFmtId="0" fontId="3" fillId="4" borderId="0" xfId="0" applyFont="1" applyFill="1" applyBorder="1" applyAlignment="1">
      <alignment horizontal="left"/>
    </xf>
    <xf numFmtId="10" fontId="23" fillId="4" borderId="0" xfId="0" applyNumberFormat="1" applyFont="1" applyFill="1" applyBorder="1" applyAlignment="1">
      <alignment horizontal="center"/>
    </xf>
    <xf numFmtId="10" fontId="3" fillId="4" borderId="0" xfId="0" applyNumberFormat="1" applyFont="1" applyFill="1" applyBorder="1" applyAlignment="1">
      <alignment horizontal="center"/>
    </xf>
    <xf numFmtId="2" fontId="3" fillId="4" borderId="0" xfId="0" applyNumberFormat="1" applyFont="1" applyFill="1" applyBorder="1" applyAlignment="1">
      <alignment horizontal="center"/>
    </xf>
    <xf numFmtId="0" fontId="23" fillId="4" borderId="0" xfId="0" applyFont="1" applyFill="1" applyBorder="1" applyAlignment="1">
      <alignment horizontal="center"/>
    </xf>
    <xf numFmtId="1" fontId="3" fillId="4" borderId="0" xfId="0" applyNumberFormat="1" applyFont="1" applyFill="1" applyBorder="1" applyAlignment="1">
      <alignment horizontal="center"/>
    </xf>
    <xf numFmtId="22" fontId="0" fillId="4" borderId="0" xfId="0" applyNumberFormat="1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1" fontId="0" fillId="4" borderId="0" xfId="0" applyNumberFormat="1" applyFill="1" applyBorder="1" applyAlignment="1">
      <alignment horizontal="center"/>
    </xf>
    <xf numFmtId="0" fontId="15" fillId="4" borderId="0" xfId="0" applyFont="1" applyFill="1" applyBorder="1" applyAlignment="1">
      <alignment horizontal="center"/>
    </xf>
    <xf numFmtId="10" fontId="15" fillId="4" borderId="0" xfId="0" applyNumberFormat="1" applyFont="1" applyFill="1" applyBorder="1" applyAlignment="1">
      <alignment horizontal="center"/>
    </xf>
  </cellXfs>
  <cellStyles count="5">
    <cellStyle name="Comma" xfId="1" builtinId="3"/>
    <cellStyle name="Currency" xfId="2" builtinId="4"/>
    <cellStyle name="Explanatory Text" xfId="3" builtinId="53"/>
    <cellStyle name="Normal" xfId="0" builtinId="0"/>
    <cellStyle name="Percent" xfId="4" builtinId="5"/>
  </cellStyles>
  <dxfs count="6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colors>
    <mruColors>
      <color rgb="FF1CEE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Probability</a:t>
            </a:r>
            <a:r>
              <a:rPr lang="en-US" baseline="0"/>
              <a:t> Distribution</a:t>
            </a:r>
            <a:r>
              <a:rPr lang="en-US"/>
              <a:t> </a:t>
            </a:r>
            <a:br>
              <a:rPr lang="en-US"/>
            </a:br>
            <a:r>
              <a:rPr lang="en-US"/>
              <a:t>EPOCH 217:</a:t>
            </a:r>
            <a:r>
              <a:rPr lang="en-US" baseline="0"/>
              <a:t> SKY </a:t>
            </a:r>
            <a:r>
              <a:rPr lang="en-US"/>
              <a:t># of expected</a:t>
            </a:r>
            <a:r>
              <a:rPr lang="en-US" baseline="0"/>
              <a:t> blocks </a:t>
            </a:r>
            <a:endParaRPr lang="en-US"/>
          </a:p>
        </c:rich>
      </c:tx>
      <c:layout>
        <c:manualLayout>
          <c:xMode val="edge"/>
          <c:yMode val="edge"/>
          <c:x val="0.35642465098630183"/>
          <c:y val="2.9313828213659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SKY!$C$38:$C$59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cat>
          <c:val>
            <c:numRef>
              <c:f>SKY!$D$38:$D$59</c:f>
              <c:numCache>
                <c:formatCode>0.00%</c:formatCode>
                <c:ptCount val="22"/>
                <c:pt idx="0">
                  <c:v>3.1443673573608636E-5</c:v>
                </c:pt>
                <c:pt idx="1">
                  <c:v>3.2599030965856448E-4</c:v>
                </c:pt>
                <c:pt idx="2">
                  <c:v>1.6898381123929248E-3</c:v>
                </c:pt>
                <c:pt idx="3">
                  <c:v>5.8397364408269E-3</c:v>
                </c:pt>
                <c:pt idx="4">
                  <c:v>1.5135670026687802E-2</c:v>
                </c:pt>
                <c:pt idx="5">
                  <c:v>3.1383330967338523E-2</c:v>
                </c:pt>
                <c:pt idx="6">
                  <c:v>5.4226824280848511E-2</c:v>
                </c:pt>
                <c:pt idx="7">
                  <c:v>8.0312197791761311E-2</c:v>
                </c:pt>
                <c:pt idx="8">
                  <c:v>0.1040772714464733</c:v>
                </c:pt>
                <c:pt idx="9">
                  <c:v>0.11988828767861924</c:v>
                </c:pt>
                <c:pt idx="10">
                  <c:v>0.12429083935188236</c:v>
                </c:pt>
                <c:pt idx="11">
                  <c:v>0.11714069432635733</c:v>
                </c:pt>
                <c:pt idx="12">
                  <c:v>0.1012014885929122</c:v>
                </c:pt>
                <c:pt idx="13">
                  <c:v>8.0705456031552728E-2</c:v>
                </c:pt>
                <c:pt idx="14">
                  <c:v>5.9763111759961844E-2</c:v>
                </c:pt>
                <c:pt idx="15">
                  <c:v>4.1304681731378121E-2</c:v>
                </c:pt>
                <c:pt idx="16">
                  <c:v>2.6763051445563731E-2</c:v>
                </c:pt>
                <c:pt idx="17">
                  <c:v>1.6320822203034546E-2</c:v>
                </c:pt>
                <c:pt idx="18">
                  <c:v>9.3999133307841494E-3</c:v>
                </c:pt>
                <c:pt idx="19">
                  <c:v>5.1288921139911311E-3</c:v>
                </c:pt>
                <c:pt idx="20">
                  <c:v>2.6585564006257334E-3</c:v>
                </c:pt>
                <c:pt idx="21">
                  <c:v>1.3124352554994081E-3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05-4062-818F-C4DD9AACDA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36778271"/>
        <c:axId val="340095551"/>
      </c:barChart>
      <c:catAx>
        <c:axId val="336778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Blocks</a:t>
                </a:r>
              </a:p>
            </c:rich>
          </c:tx>
          <c:layout>
            <c:manualLayout>
              <c:xMode val="edge"/>
              <c:yMode val="edge"/>
              <c:x val="0.34466824365651411"/>
              <c:y val="0.961298135021472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095551"/>
        <c:crosses val="autoZero"/>
        <c:auto val="1"/>
        <c:lblAlgn val="ctr"/>
        <c:lblOffset val="100"/>
        <c:noMultiLvlLbl val="0"/>
      </c:catAx>
      <c:valAx>
        <c:axId val="34009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778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Probability</a:t>
            </a:r>
            <a:r>
              <a:rPr lang="en-US" baseline="0"/>
              <a:t> Distribution</a:t>
            </a:r>
            <a:r>
              <a:rPr lang="en-US"/>
              <a:t> </a:t>
            </a:r>
            <a:br>
              <a:rPr lang="en-US"/>
            </a:br>
            <a:r>
              <a:rPr lang="en-US"/>
              <a:t>EPOCH 217:</a:t>
            </a:r>
            <a:r>
              <a:rPr lang="en-US" baseline="0"/>
              <a:t> SKY2 </a:t>
            </a:r>
            <a:r>
              <a:rPr lang="en-US"/>
              <a:t># of expected</a:t>
            </a:r>
            <a:r>
              <a:rPr lang="en-US" baseline="0"/>
              <a:t> blocks </a:t>
            </a:r>
            <a:endParaRPr lang="en-US"/>
          </a:p>
        </c:rich>
      </c:tx>
      <c:layout>
        <c:manualLayout>
          <c:xMode val="edge"/>
          <c:yMode val="edge"/>
          <c:x val="0.35642465098630183"/>
          <c:y val="2.9313828213659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'SKY2'!$C$38:$C$54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'SKY2'!$D$38:$D$54</c:f>
              <c:numCache>
                <c:formatCode>0.00%</c:formatCode>
                <c:ptCount val="17"/>
                <c:pt idx="0">
                  <c:v>6.5657401588775479E-3</c:v>
                </c:pt>
                <c:pt idx="1">
                  <c:v>3.2998879987267922E-2</c:v>
                </c:pt>
                <c:pt idx="2">
                  <c:v>8.2924661454927773E-2</c:v>
                </c:pt>
                <c:pt idx="3">
                  <c:v>0.1389235748245162</c:v>
                </c:pt>
                <c:pt idx="4">
                  <c:v>0.17455345576179943</c:v>
                </c:pt>
                <c:pt idx="5">
                  <c:v>0.17545669078269643</c:v>
                </c:pt>
                <c:pt idx="6">
                  <c:v>0.14697015948357203</c:v>
                </c:pt>
                <c:pt idx="7">
                  <c:v>0.10552141393084763</c:v>
                </c:pt>
                <c:pt idx="8">
                  <c:v>6.6291689272703166E-2</c:v>
                </c:pt>
                <c:pt idx="9">
                  <c:v>3.701894540307276E-2</c:v>
                </c:pt>
                <c:pt idx="10">
                  <c:v>1.860503549319371E-2</c:v>
                </c:pt>
                <c:pt idx="11">
                  <c:v>8.5004765348798694E-3</c:v>
                </c:pt>
                <c:pt idx="12">
                  <c:v>3.560135081276357E-3</c:v>
                </c:pt>
                <c:pt idx="13">
                  <c:v>1.3763426525288762E-3</c:v>
                </c:pt>
                <c:pt idx="14">
                  <c:v>4.9408420696834654E-4</c:v>
                </c:pt>
                <c:pt idx="15">
                  <c:v>1.6554312412777079E-4</c:v>
                </c:pt>
                <c:pt idx="16">
                  <c:v>5.1998593030215442E-5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5A-41A7-B498-5CAE76525C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36778271"/>
        <c:axId val="340095551"/>
      </c:barChart>
      <c:catAx>
        <c:axId val="336778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Blocks</a:t>
                </a:r>
              </a:p>
            </c:rich>
          </c:tx>
          <c:layout>
            <c:manualLayout>
              <c:xMode val="edge"/>
              <c:yMode val="edge"/>
              <c:x val="0.34466824365651411"/>
              <c:y val="0.961298135021472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095551"/>
        <c:crosses val="autoZero"/>
        <c:auto val="1"/>
        <c:lblAlgn val="ctr"/>
        <c:lblOffset val="100"/>
        <c:noMultiLvlLbl val="0"/>
      </c:catAx>
      <c:valAx>
        <c:axId val="34009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778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Reserve Emissions 2020</a:t>
            </a:r>
          </a:p>
        </c:rich>
      </c:tx>
      <c:layout>
        <c:manualLayout>
          <c:xMode val="edge"/>
          <c:yMode val="edge"/>
          <c:x val="0.40936422455718169"/>
          <c:y val="6.5261511232660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5472584677719967E-2"/>
          <c:y val="0.20448168039681205"/>
          <c:w val="0.91584270991681493"/>
          <c:h val="0.71544043302920635"/>
        </c:manualLayout>
      </c:layout>
      <c:areaChart>
        <c:grouping val="stacked"/>
        <c:varyColors val="0"/>
        <c:ser>
          <c:idx val="0"/>
          <c:order val="1"/>
          <c:tx>
            <c:strRef>
              <c:f>rho!$G$4</c:f>
              <c:strCache>
                <c:ptCount val="1"/>
                <c:pt idx="0">
                  <c:v>Cumulative Reward Distribution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accent2">
                  <a:lumMod val="75000"/>
                </a:schemeClr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rho!$C$8:$C$34</c:f>
              <c:numCache>
                <c:formatCode>General</c:formatCode>
                <c:ptCount val="27"/>
                <c:pt idx="0">
                  <c:v>213</c:v>
                </c:pt>
                <c:pt idx="1">
                  <c:v>214</c:v>
                </c:pt>
                <c:pt idx="2">
                  <c:v>215</c:v>
                </c:pt>
                <c:pt idx="3">
                  <c:v>216</c:v>
                </c:pt>
                <c:pt idx="4">
                  <c:v>217</c:v>
                </c:pt>
                <c:pt idx="5">
                  <c:v>218</c:v>
                </c:pt>
                <c:pt idx="6">
                  <c:v>219</c:v>
                </c:pt>
                <c:pt idx="7">
                  <c:v>220</c:v>
                </c:pt>
                <c:pt idx="8">
                  <c:v>221</c:v>
                </c:pt>
                <c:pt idx="9">
                  <c:v>222</c:v>
                </c:pt>
                <c:pt idx="10">
                  <c:v>223</c:v>
                </c:pt>
                <c:pt idx="11">
                  <c:v>224</c:v>
                </c:pt>
                <c:pt idx="12">
                  <c:v>225</c:v>
                </c:pt>
                <c:pt idx="13">
                  <c:v>226</c:v>
                </c:pt>
                <c:pt idx="14">
                  <c:v>227</c:v>
                </c:pt>
                <c:pt idx="15">
                  <c:v>228</c:v>
                </c:pt>
                <c:pt idx="16">
                  <c:v>229</c:v>
                </c:pt>
                <c:pt idx="17">
                  <c:v>230</c:v>
                </c:pt>
                <c:pt idx="18">
                  <c:v>231</c:v>
                </c:pt>
                <c:pt idx="19">
                  <c:v>232</c:v>
                </c:pt>
                <c:pt idx="20">
                  <c:v>233</c:v>
                </c:pt>
                <c:pt idx="21">
                  <c:v>234</c:v>
                </c:pt>
                <c:pt idx="22">
                  <c:v>235</c:v>
                </c:pt>
                <c:pt idx="23">
                  <c:v>236</c:v>
                </c:pt>
                <c:pt idx="24">
                  <c:v>237</c:v>
                </c:pt>
                <c:pt idx="25">
                  <c:v>238</c:v>
                </c:pt>
                <c:pt idx="26">
                  <c:v>239</c:v>
                </c:pt>
              </c:numCache>
            </c:numRef>
          </c:cat>
          <c:val>
            <c:numRef>
              <c:f>rho!$G$8:$G$34</c:f>
              <c:numCache>
                <c:formatCode>#,##0</c:formatCode>
                <c:ptCount val="27"/>
                <c:pt idx="0">
                  <c:v>119002804.07398814</c:v>
                </c:pt>
                <c:pt idx="1">
                  <c:v>158432638.18680978</c:v>
                </c:pt>
                <c:pt idx="2">
                  <c:v>197744182.79729295</c:v>
                </c:pt>
                <c:pt idx="3">
                  <c:v>236937792.77394468</c:v>
                </c:pt>
                <c:pt idx="4">
                  <c:v>276013821.92066646</c:v>
                </c:pt>
                <c:pt idx="5">
                  <c:v>314972622.97994804</c:v>
                </c:pt>
                <c:pt idx="6">
                  <c:v>353814547.63605177</c:v>
                </c:pt>
                <c:pt idx="7">
                  <c:v>392539946.51818722</c:v>
                </c:pt>
                <c:pt idx="8">
                  <c:v>431149169.20367628</c:v>
                </c:pt>
                <c:pt idx="9">
                  <c:v>469642564.22110885</c:v>
                </c:pt>
                <c:pt idx="10">
                  <c:v>508020479.05348915</c:v>
                </c:pt>
                <c:pt idx="11">
                  <c:v>546283260.14137232</c:v>
                </c:pt>
                <c:pt idx="12">
                  <c:v>584431252.88599181</c:v>
                </c:pt>
                <c:pt idx="13">
                  <c:v>622464801.65237749</c:v>
                </c:pt>
                <c:pt idx="14">
                  <c:v>660384249.77246392</c:v>
                </c:pt>
                <c:pt idx="15">
                  <c:v>698189939.54819012</c:v>
                </c:pt>
                <c:pt idx="16">
                  <c:v>735882212.2545892</c:v>
                </c:pt>
                <c:pt idx="17">
                  <c:v>773461408.142869</c:v>
                </c:pt>
                <c:pt idx="18">
                  <c:v>810927866.44348395</c:v>
                </c:pt>
                <c:pt idx="19">
                  <c:v>848281925.36919713</c:v>
                </c:pt>
                <c:pt idx="20">
                  <c:v>885523922.11813319</c:v>
                </c:pt>
                <c:pt idx="21">
                  <c:v>922654192.87682235</c:v>
                </c:pt>
                <c:pt idx="22">
                  <c:v>959673072.82323551</c:v>
                </c:pt>
                <c:pt idx="23">
                  <c:v>996580896.12980938</c:v>
                </c:pt>
                <c:pt idx="24">
                  <c:v>1033377995.9664636</c:v>
                </c:pt>
                <c:pt idx="25">
                  <c:v>1070064704.5036077</c:v>
                </c:pt>
                <c:pt idx="26">
                  <c:v>1106641352.9151406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8E-40EF-9366-46AEBCF408A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567199584"/>
        <c:axId val="1501947216"/>
      </c:areaChart>
      <c:barChart>
        <c:barDir val="col"/>
        <c:grouping val="clustered"/>
        <c:varyColors val="0"/>
        <c:ser>
          <c:idx val="2"/>
          <c:order val="2"/>
          <c:tx>
            <c:strRef>
              <c:f>rho!$F$4</c:f>
              <c:strCache>
                <c:ptCount val="1"/>
                <c:pt idx="0">
                  <c:v>Epoch Payouts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 cap="rnd">
              <a:gradFill>
                <a:gsLst>
                  <a:gs pos="0">
                    <a:srgbClr val="D9E3F3"/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rho!$C$8:$C$34</c:f>
              <c:numCache>
                <c:formatCode>General</c:formatCode>
                <c:ptCount val="27"/>
                <c:pt idx="0">
                  <c:v>213</c:v>
                </c:pt>
                <c:pt idx="1">
                  <c:v>214</c:v>
                </c:pt>
                <c:pt idx="2">
                  <c:v>215</c:v>
                </c:pt>
                <c:pt idx="3">
                  <c:v>216</c:v>
                </c:pt>
                <c:pt idx="4">
                  <c:v>217</c:v>
                </c:pt>
                <c:pt idx="5">
                  <c:v>218</c:v>
                </c:pt>
                <c:pt idx="6">
                  <c:v>219</c:v>
                </c:pt>
                <c:pt idx="7">
                  <c:v>220</c:v>
                </c:pt>
                <c:pt idx="8">
                  <c:v>221</c:v>
                </c:pt>
                <c:pt idx="9">
                  <c:v>222</c:v>
                </c:pt>
                <c:pt idx="10">
                  <c:v>223</c:v>
                </c:pt>
                <c:pt idx="11">
                  <c:v>224</c:v>
                </c:pt>
                <c:pt idx="12">
                  <c:v>225</c:v>
                </c:pt>
                <c:pt idx="13">
                  <c:v>226</c:v>
                </c:pt>
                <c:pt idx="14">
                  <c:v>227</c:v>
                </c:pt>
                <c:pt idx="15">
                  <c:v>228</c:v>
                </c:pt>
                <c:pt idx="16">
                  <c:v>229</c:v>
                </c:pt>
                <c:pt idx="17">
                  <c:v>230</c:v>
                </c:pt>
                <c:pt idx="18">
                  <c:v>231</c:v>
                </c:pt>
                <c:pt idx="19">
                  <c:v>232</c:v>
                </c:pt>
                <c:pt idx="20">
                  <c:v>233</c:v>
                </c:pt>
                <c:pt idx="21">
                  <c:v>234</c:v>
                </c:pt>
                <c:pt idx="22">
                  <c:v>235</c:v>
                </c:pt>
                <c:pt idx="23">
                  <c:v>236</c:v>
                </c:pt>
                <c:pt idx="24">
                  <c:v>237</c:v>
                </c:pt>
                <c:pt idx="25">
                  <c:v>238</c:v>
                </c:pt>
                <c:pt idx="26">
                  <c:v>239</c:v>
                </c:pt>
              </c:numCache>
            </c:numRef>
          </c:cat>
          <c:val>
            <c:numRef>
              <c:f>rho!$F$8:$F$34</c:f>
              <c:numCache>
                <c:formatCode>#,##0</c:formatCode>
                <c:ptCount val="27"/>
                <c:pt idx="0">
                  <c:v>39786842.525043599</c:v>
                </c:pt>
                <c:pt idx="1">
                  <c:v>39667481.997468472</c:v>
                </c:pt>
                <c:pt idx="2">
                  <c:v>39548479.551476061</c:v>
                </c:pt>
                <c:pt idx="3">
                  <c:v>39429834.112821639</c:v>
                </c:pt>
                <c:pt idx="4">
                  <c:v>39311544.61048317</c:v>
                </c:pt>
                <c:pt idx="5">
                  <c:v>39193609.976651721</c:v>
                </c:pt>
                <c:pt idx="6">
                  <c:v>39076029.146721765</c:v>
                </c:pt>
                <c:pt idx="7">
                  <c:v>38958801.059281603</c:v>
                </c:pt>
                <c:pt idx="8">
                  <c:v>38841924.65610376</c:v>
                </c:pt>
                <c:pt idx="9">
                  <c:v>38725398.882135451</c:v>
                </c:pt>
                <c:pt idx="10">
                  <c:v>38609222.685489044</c:v>
                </c:pt>
                <c:pt idx="11">
                  <c:v>38493395.01743257</c:v>
                </c:pt>
                <c:pt idx="12">
                  <c:v>38377914.832380272</c:v>
                </c:pt>
                <c:pt idx="13">
                  <c:v>38262781.08788313</c:v>
                </c:pt>
                <c:pt idx="14">
                  <c:v>38147992.744619481</c:v>
                </c:pt>
                <c:pt idx="15">
                  <c:v>38033548.766385622</c:v>
                </c:pt>
                <c:pt idx="16">
                  <c:v>37919448.120086469</c:v>
                </c:pt>
                <c:pt idx="17">
                  <c:v>37805689.775726207</c:v>
                </c:pt>
                <c:pt idx="18">
                  <c:v>37692272.706399031</c:v>
                </c:pt>
                <c:pt idx="19">
                  <c:v>37579195.888279825</c:v>
                </c:pt>
                <c:pt idx="20">
                  <c:v>37466458.30061499</c:v>
                </c:pt>
                <c:pt idx="21">
                  <c:v>37354058.925713144</c:v>
                </c:pt>
                <c:pt idx="22">
                  <c:v>37241996.748936005</c:v>
                </c:pt>
                <c:pt idx="23">
                  <c:v>37130270.758689202</c:v>
                </c:pt>
                <c:pt idx="24">
                  <c:v>37018879.94641313</c:v>
                </c:pt>
                <c:pt idx="25">
                  <c:v>36907823.30657389</c:v>
                </c:pt>
                <c:pt idx="26">
                  <c:v>36797099.836654171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05-4C8F-8F05-A00CB42AAAD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8"/>
        <c:axId val="1488439392"/>
        <c:axId val="1490139440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rho!$D$4</c15:sqref>
                        </c15:formulaRef>
                      </c:ext>
                    </c:extLst>
                    <c:strCache>
                      <c:ptCount val="1"/>
                      <c:pt idx="0">
                        <c:v>Reserves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solidFill>
                      <a:srgbClr val="0070C0"/>
                    </a:solidFill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rho!$C$8:$C$34</c15:sqref>
                        </c15:formulaRef>
                      </c:ext>
                    </c:extLst>
                    <c:numCache>
                      <c:formatCode>General</c:formatCode>
                      <c:ptCount val="27"/>
                      <c:pt idx="0">
                        <c:v>213</c:v>
                      </c:pt>
                      <c:pt idx="1">
                        <c:v>214</c:v>
                      </c:pt>
                      <c:pt idx="2">
                        <c:v>215</c:v>
                      </c:pt>
                      <c:pt idx="3">
                        <c:v>216</c:v>
                      </c:pt>
                      <c:pt idx="4">
                        <c:v>217</c:v>
                      </c:pt>
                      <c:pt idx="5">
                        <c:v>218</c:v>
                      </c:pt>
                      <c:pt idx="6">
                        <c:v>219</c:v>
                      </c:pt>
                      <c:pt idx="7">
                        <c:v>220</c:v>
                      </c:pt>
                      <c:pt idx="8">
                        <c:v>221</c:v>
                      </c:pt>
                      <c:pt idx="9">
                        <c:v>222</c:v>
                      </c:pt>
                      <c:pt idx="10">
                        <c:v>223</c:v>
                      </c:pt>
                      <c:pt idx="11">
                        <c:v>224</c:v>
                      </c:pt>
                      <c:pt idx="12">
                        <c:v>225</c:v>
                      </c:pt>
                      <c:pt idx="13">
                        <c:v>226</c:v>
                      </c:pt>
                      <c:pt idx="14">
                        <c:v>227</c:v>
                      </c:pt>
                      <c:pt idx="15">
                        <c:v>228</c:v>
                      </c:pt>
                      <c:pt idx="16">
                        <c:v>229</c:v>
                      </c:pt>
                      <c:pt idx="17">
                        <c:v>230</c:v>
                      </c:pt>
                      <c:pt idx="18">
                        <c:v>231</c:v>
                      </c:pt>
                      <c:pt idx="19">
                        <c:v>232</c:v>
                      </c:pt>
                      <c:pt idx="20">
                        <c:v>233</c:v>
                      </c:pt>
                      <c:pt idx="21">
                        <c:v>234</c:v>
                      </c:pt>
                      <c:pt idx="22">
                        <c:v>235</c:v>
                      </c:pt>
                      <c:pt idx="23">
                        <c:v>236</c:v>
                      </c:pt>
                      <c:pt idx="24">
                        <c:v>237</c:v>
                      </c:pt>
                      <c:pt idx="25">
                        <c:v>238</c:v>
                      </c:pt>
                      <c:pt idx="26">
                        <c:v>239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rho!$D$5:$D$34</c15:sqref>
                        </c15:formulaRef>
                      </c:ext>
                    </c:extLst>
                    <c:numCache>
                      <c:formatCode>#,##0</c:formatCode>
                      <c:ptCount val="30"/>
                      <c:pt idx="0">
                        <c:v>13262280841.6812</c:v>
                      </c:pt>
                      <c:pt idx="1">
                        <c:v>13222493999.156157</c:v>
                      </c:pt>
                      <c:pt idx="2">
                        <c:v>13182826517.158688</c:v>
                      </c:pt>
                      <c:pt idx="3">
                        <c:v>13143278037.607212</c:v>
                      </c:pt>
                      <c:pt idx="4">
                        <c:v>13103848203.49439</c:v>
                      </c:pt>
                      <c:pt idx="5">
                        <c:v>13064536658.883907</c:v>
                      </c:pt>
                      <c:pt idx="6">
                        <c:v>13025343048.907255</c:v>
                      </c:pt>
                      <c:pt idx="7">
                        <c:v>12986267019.760534</c:v>
                      </c:pt>
                      <c:pt idx="8">
                        <c:v>12947308218.701252</c:v>
                      </c:pt>
                      <c:pt idx="9">
                        <c:v>12908466294.045149</c:v>
                      </c:pt>
                      <c:pt idx="10">
                        <c:v>12869740895.163013</c:v>
                      </c:pt>
                      <c:pt idx="11">
                        <c:v>12831131672.477524</c:v>
                      </c:pt>
                      <c:pt idx="12">
                        <c:v>12792638277.460091</c:v>
                      </c:pt>
                      <c:pt idx="13">
                        <c:v>12754260362.62771</c:v>
                      </c:pt>
                      <c:pt idx="14">
                        <c:v>12715997581.539827</c:v>
                      </c:pt>
                      <c:pt idx="15">
                        <c:v>12677849588.795208</c:v>
                      </c:pt>
                      <c:pt idx="16">
                        <c:v>12639816040.028822</c:v>
                      </c:pt>
                      <c:pt idx="17">
                        <c:v>12601896591.908735</c:v>
                      </c:pt>
                      <c:pt idx="18">
                        <c:v>12564090902.133009</c:v>
                      </c:pt>
                      <c:pt idx="19">
                        <c:v>12526398629.426609</c:v>
                      </c:pt>
                      <c:pt idx="20">
                        <c:v>12488819433.53833</c:v>
                      </c:pt>
                      <c:pt idx="21">
                        <c:v>12451352975.237715</c:v>
                      </c:pt>
                      <c:pt idx="22">
                        <c:v>12413998916.312002</c:v>
                      </c:pt>
                      <c:pt idx="23">
                        <c:v>12376756919.563066</c:v>
                      </c:pt>
                      <c:pt idx="24">
                        <c:v>12339626648.804377</c:v>
                      </c:pt>
                      <c:pt idx="25">
                        <c:v>12302607768.857964</c:v>
                      </c:pt>
                      <c:pt idx="26">
                        <c:v>12265699945.55139</c:v>
                      </c:pt>
                      <c:pt idx="27">
                        <c:v>12228902845.714735</c:v>
                      </c:pt>
                      <c:pt idx="28">
                        <c:v>12192216137.177591</c:v>
                      </c:pt>
                      <c:pt idx="29">
                        <c:v>12155639488.766058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68E-40EF-9366-46AEBCF408A4}"/>
                  </c:ext>
                </c:extLst>
              </c15:ser>
            </c15:filteredBarSeries>
          </c:ext>
        </c:extLst>
      </c:barChart>
      <c:dateAx>
        <c:axId val="148843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139440"/>
        <c:crosses val="autoZero"/>
        <c:auto val="1"/>
        <c:lblOffset val="100"/>
        <c:baseTimeUnit val="days"/>
        <c:majorTimeUnit val="days"/>
        <c:minorTimeUnit val="days"/>
      </c:dateAx>
      <c:valAx>
        <c:axId val="149013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Reward DIstributions</a:t>
                </a:r>
                <a:r>
                  <a:rPr lang="en-US" baseline="0"/>
                  <a:t> (ADA 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8439392"/>
        <c:crosses val="autoZero"/>
        <c:crossBetween val="between"/>
        <c:dispUnits>
          <c:builtInUnit val="millions"/>
        </c:dispUnits>
      </c:valAx>
      <c:valAx>
        <c:axId val="1501947216"/>
        <c:scaling>
          <c:orientation val="minMax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7199584"/>
        <c:crosses val="max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0.98463346255223039"/>
                <c:y val="0.48580941979356207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900" b="1" i="0" u="none" strike="noStrike" kern="1200" cap="all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TOtal ADA</a:t>
                  </a:r>
                  <a:r>
                    <a:rPr lang="en-US" baseline="0"/>
                    <a:t> Issued</a:t>
                  </a:r>
                  <a:endParaRPr lang="en-US"/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catAx>
        <c:axId val="15671995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01947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7480790125086535"/>
          <c:y val="0.94869222747030912"/>
          <c:w val="0.41193189946631542"/>
          <c:h val="5.13077725296908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_xlchart.v1.0</cx:f>
      </cx:strDim>
      <cx:numDim type="val">
        <cx:f dir="row">_xlchart.v1.1</cx:f>
      </cx:numDim>
    </cx:data>
    <cx:data id="1">
      <cx:numDim type="val">
        <cx:f dir="row">_xlchart.v1.3</cx:f>
      </cx:numDim>
    </cx:data>
  </cx:chartData>
  <cx:chart>
    <cx:title pos="t" align="ctr" overlay="0">
      <cx:tx>
        <cx:txData>
          <cx:v>Reward Emissions: Epoch 217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Reward Emissions: Epoch 217</a:t>
          </a:r>
        </a:p>
      </cx:txPr>
    </cx:title>
    <cx:plotArea>
      <cx:plotAreaRegion>
        <cx:series layoutId="waterfall" uniqueId="{AB117130-B75E-41FE-90A7-567C195DE58E}" formatIdx="0">
          <cx:dataLabels>
            <cx:visibility seriesName="0" categoryName="0" value="1"/>
          </cx:dataLabels>
          <cx:dataId val="0"/>
          <cx:layoutPr>
            <cx:subtotals/>
          </cx:layoutPr>
        </cx:series>
        <cx:series layoutId="waterfall" hidden="1" uniqueId="{0000000D-0CA4-479F-8153-ED6E7D93A015}" formatIdx="1">
          <cx:tx>
            <cx:txData>
              <cx:f>_xlchart.v1.2</cx:f>
              <cx:v>Reward Emissions</cx:v>
            </cx:txData>
          </cx:tx>
          <cx:dataLabels>
            <cx:visibility seriesName="0" categoryName="0" value="1"/>
          </cx:dataLabels>
          <cx:dataId val="1"/>
          <cx:layoutPr>
            <cx:subtotals/>
          </cx:layoutPr>
        </cx:series>
      </cx:plotAreaRegion>
      <cx:axis id="0">
        <cx:catScaling gapWidth="0.5"/>
        <cx:title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endParaRPr lang="en-US" sz="900" b="0" i="0" u="none" strike="noStrike" baseline="0">
                <a:solidFill>
                  <a:sysClr val="window" lastClr="FFFFFF">
                    <a:lumMod val="95000"/>
                  </a:sysClr>
                </a:solidFill>
                <a:latin typeface="Calibri" panose="020F0502020204030204"/>
              </a:endParaRPr>
            </a:p>
          </cx:txPr>
        </cx:title>
        <cx:tickLabels/>
      </cx:axis>
      <cx:axis id="1">
        <cx:valScaling/>
        <cx:title>
          <cx:tx>
            <cx:txData>
              <cx:v>ADA DISTRIBUTED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ADA DISTRIBUTED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72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178743</xdr:colOff>
      <xdr:row>36</xdr:row>
      <xdr:rowOff>150517</xdr:rowOff>
    </xdr:from>
    <xdr:to>
      <xdr:col>15</xdr:col>
      <xdr:colOff>211667</xdr:colOff>
      <xdr:row>61</xdr:row>
      <xdr:rowOff>47037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C11125-C9FE-4633-800B-0FDFF71692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141112</xdr:colOff>
      <xdr:row>36</xdr:row>
      <xdr:rowOff>105833</xdr:rowOff>
    </xdr:from>
    <xdr:to>
      <xdr:col>15</xdr:col>
      <xdr:colOff>126999</xdr:colOff>
      <xdr:row>61</xdr:row>
      <xdr:rowOff>2353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2247B9D-4981-48F5-B8E0-5D3097C7C7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451038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E228CD0-EF6D-4D0E-863A-B5682B910E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3451412" cy="8001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451038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FA2A55-A150-464F-9165-405CFCF99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3529517" cy="76962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21</xdr:col>
      <xdr:colOff>409574</xdr:colOff>
      <xdr:row>41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9FC9E2-E13A-4F72-8CF0-DDE9491DE2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3</xdr:row>
      <xdr:rowOff>57150</xdr:rowOff>
    </xdr:from>
    <xdr:to>
      <xdr:col>6</xdr:col>
      <xdr:colOff>600075</xdr:colOff>
      <xdr:row>9</xdr:row>
      <xdr:rowOff>19050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1063ED6-EE26-49CC-A6A3-CC773463D8E5}"/>
            </a:ext>
          </a:extLst>
        </xdr:cNvPr>
        <xdr:cNvSpPr/>
      </xdr:nvSpPr>
      <xdr:spPr>
        <a:xfrm>
          <a:off x="1257300" y="1295400"/>
          <a:ext cx="1781175" cy="1104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Total Available Rewards:</a:t>
          </a:r>
        </a:p>
        <a:p>
          <a:pPr algn="ctr"/>
          <a:r>
            <a:rPr lang="en-US" sz="1400" b="1"/>
            <a:t>ADA 39M</a:t>
          </a:r>
        </a:p>
      </xdr:txBody>
    </xdr:sp>
    <xdr:clientData/>
  </xdr:twoCellAnchor>
  <xdr:twoCellAnchor>
    <xdr:from>
      <xdr:col>4</xdr:col>
      <xdr:colOff>104775</xdr:colOff>
      <xdr:row>19</xdr:row>
      <xdr:rowOff>114300</xdr:rowOff>
    </xdr:from>
    <xdr:to>
      <xdr:col>6</xdr:col>
      <xdr:colOff>600075</xdr:colOff>
      <xdr:row>26</xdr:row>
      <xdr:rowOff>180975</xdr:rowOff>
    </xdr:to>
    <xdr:sp macro="" textlink="">
      <xdr:nvSpPr>
        <xdr:cNvPr id="4" name="Flowchart: Merge 3">
          <a:extLst>
            <a:ext uri="{FF2B5EF4-FFF2-40B4-BE49-F238E27FC236}">
              <a16:creationId xmlns:a16="http://schemas.microsoft.com/office/drawing/2014/main" id="{0855950D-A029-450F-82D9-506449508759}"/>
            </a:ext>
          </a:extLst>
        </xdr:cNvPr>
        <xdr:cNvSpPr/>
      </xdr:nvSpPr>
      <xdr:spPr>
        <a:xfrm>
          <a:off x="2543175" y="4400550"/>
          <a:ext cx="1714500" cy="140017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/>
            <a:t>Pool Reward </a:t>
          </a:r>
        </a:p>
        <a:p>
          <a:pPr algn="ctr"/>
          <a:r>
            <a:rPr lang="en-US" sz="1200" b="1"/>
            <a:t>Formula</a:t>
          </a:r>
        </a:p>
      </xdr:txBody>
    </xdr:sp>
    <xdr:clientData/>
  </xdr:twoCellAnchor>
  <xdr:twoCellAnchor>
    <xdr:from>
      <xdr:col>5</xdr:col>
      <xdr:colOff>161925</xdr:colOff>
      <xdr:row>9</xdr:row>
      <xdr:rowOff>28575</xdr:rowOff>
    </xdr:from>
    <xdr:to>
      <xdr:col>5</xdr:col>
      <xdr:colOff>371475</xdr:colOff>
      <xdr:row>10</xdr:row>
      <xdr:rowOff>133350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7E44FDB2-1D50-46CA-BB52-E2F3E2DB47F2}"/>
            </a:ext>
          </a:extLst>
        </xdr:cNvPr>
        <xdr:cNvSpPr/>
      </xdr:nvSpPr>
      <xdr:spPr>
        <a:xfrm>
          <a:off x="1990725" y="2409825"/>
          <a:ext cx="209550" cy="295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266699</xdr:colOff>
      <xdr:row>27</xdr:row>
      <xdr:rowOff>0</xdr:rowOff>
    </xdr:from>
    <xdr:to>
      <xdr:col>5</xdr:col>
      <xdr:colOff>438150</xdr:colOff>
      <xdr:row>29</xdr:row>
      <xdr:rowOff>66675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EEEABEFD-EE51-41D1-89EA-35F7C3DD6F91}"/>
            </a:ext>
          </a:extLst>
        </xdr:cNvPr>
        <xdr:cNvSpPr/>
      </xdr:nvSpPr>
      <xdr:spPr>
        <a:xfrm>
          <a:off x="3314699" y="5238750"/>
          <a:ext cx="171451" cy="447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114300</xdr:colOff>
      <xdr:row>3</xdr:row>
      <xdr:rowOff>28575</xdr:rowOff>
    </xdr:from>
    <xdr:to>
      <xdr:col>13</xdr:col>
      <xdr:colOff>66675</xdr:colOff>
      <xdr:row>8</xdr:row>
      <xdr:rowOff>180975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97560C7C-858D-4827-9F1F-07E407F552B9}"/>
            </a:ext>
          </a:extLst>
        </xdr:cNvPr>
        <xdr:cNvSpPr/>
      </xdr:nvSpPr>
      <xdr:spPr>
        <a:xfrm>
          <a:off x="4991100" y="219075"/>
          <a:ext cx="1781175" cy="1104900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 baseline="0"/>
            <a:t>Share of Live Stake:</a:t>
          </a:r>
        </a:p>
        <a:p>
          <a:pPr algn="ctr"/>
          <a:r>
            <a:rPr lang="en-US" sz="1400" b="1"/>
            <a:t>Pool</a:t>
          </a:r>
          <a:r>
            <a:rPr lang="en-US" sz="1400" b="1" baseline="0"/>
            <a:t> Stake/Live Stake</a:t>
          </a:r>
          <a:endParaRPr lang="en-US" sz="1400" b="1"/>
        </a:p>
      </xdr:txBody>
    </xdr:sp>
    <xdr:clientData/>
  </xdr:twoCellAnchor>
  <xdr:twoCellAnchor>
    <xdr:from>
      <xdr:col>10</xdr:col>
      <xdr:colOff>200025</xdr:colOff>
      <xdr:row>19</xdr:row>
      <xdr:rowOff>123825</xdr:rowOff>
    </xdr:from>
    <xdr:to>
      <xdr:col>13</xdr:col>
      <xdr:colOff>85725</xdr:colOff>
      <xdr:row>27</xdr:row>
      <xdr:rowOff>0</xdr:rowOff>
    </xdr:to>
    <xdr:sp macro="" textlink="">
      <xdr:nvSpPr>
        <xdr:cNvPr id="10" name="Flowchart: Merge 9">
          <a:extLst>
            <a:ext uri="{FF2B5EF4-FFF2-40B4-BE49-F238E27FC236}">
              <a16:creationId xmlns:a16="http://schemas.microsoft.com/office/drawing/2014/main" id="{146C707F-7B38-4EE3-848C-21B5728AA4BD}"/>
            </a:ext>
          </a:extLst>
        </xdr:cNvPr>
        <xdr:cNvSpPr/>
      </xdr:nvSpPr>
      <xdr:spPr>
        <a:xfrm>
          <a:off x="6296025" y="3838575"/>
          <a:ext cx="1714500" cy="1400175"/>
        </a:xfrm>
        <a:prstGeom prst="flowChartMerg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/>
            <a:t>VRF Function</a:t>
          </a:r>
        </a:p>
      </xdr:txBody>
    </xdr:sp>
    <xdr:clientData/>
  </xdr:twoCellAnchor>
  <xdr:twoCellAnchor>
    <xdr:from>
      <xdr:col>11</xdr:col>
      <xdr:colOff>276225</xdr:colOff>
      <xdr:row>8</xdr:row>
      <xdr:rowOff>161925</xdr:rowOff>
    </xdr:from>
    <xdr:to>
      <xdr:col>11</xdr:col>
      <xdr:colOff>485775</xdr:colOff>
      <xdr:row>10</xdr:row>
      <xdr:rowOff>76200</xdr:rowOff>
    </xdr:to>
    <xdr:sp macro="" textlink="">
      <xdr:nvSpPr>
        <xdr:cNvPr id="11" name="Arrow: Down 10">
          <a:extLst>
            <a:ext uri="{FF2B5EF4-FFF2-40B4-BE49-F238E27FC236}">
              <a16:creationId xmlns:a16="http://schemas.microsoft.com/office/drawing/2014/main" id="{EEF10CED-24E8-43FC-A137-13928B0CF6B6}"/>
            </a:ext>
          </a:extLst>
        </xdr:cNvPr>
        <xdr:cNvSpPr/>
      </xdr:nvSpPr>
      <xdr:spPr>
        <a:xfrm>
          <a:off x="6981825" y="2352675"/>
          <a:ext cx="209550" cy="295275"/>
        </a:xfrm>
        <a:prstGeom prst="downArrow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19050</xdr:colOff>
      <xdr:row>10</xdr:row>
      <xdr:rowOff>142875</xdr:rowOff>
    </xdr:from>
    <xdr:to>
      <xdr:col>6</xdr:col>
      <xdr:colOff>581025</xdr:colOff>
      <xdr:row>16</xdr:row>
      <xdr:rowOff>104775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BB4B9762-8E46-47D1-A1BD-07F5CCCC433A}"/>
            </a:ext>
          </a:extLst>
        </xdr:cNvPr>
        <xdr:cNvSpPr/>
      </xdr:nvSpPr>
      <xdr:spPr>
        <a:xfrm>
          <a:off x="1238250" y="2714625"/>
          <a:ext cx="1781175" cy="1104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Total</a:t>
          </a:r>
          <a:r>
            <a:rPr lang="en-US" sz="1400" b="1" baseline="0"/>
            <a:t> Rewards After Tr. Taxes</a:t>
          </a:r>
          <a:r>
            <a:rPr lang="en-US" sz="1400" b="1"/>
            <a:t>:</a:t>
          </a:r>
        </a:p>
        <a:p>
          <a:pPr algn="ctr"/>
          <a:r>
            <a:rPr lang="en-US" sz="1400" b="1"/>
            <a:t>ADA 31.2M</a:t>
          </a:r>
        </a:p>
      </xdr:txBody>
    </xdr:sp>
    <xdr:clientData/>
  </xdr:twoCellAnchor>
  <xdr:twoCellAnchor>
    <xdr:from>
      <xdr:col>6</xdr:col>
      <xdr:colOff>532039</xdr:colOff>
      <xdr:row>32</xdr:row>
      <xdr:rowOff>92529</xdr:rowOff>
    </xdr:from>
    <xdr:to>
      <xdr:col>10</xdr:col>
      <xdr:colOff>236764</xdr:colOff>
      <xdr:row>40</xdr:row>
      <xdr:rowOff>159204</xdr:rowOff>
    </xdr:to>
    <xdr:sp macro="" textlink="">
      <xdr:nvSpPr>
        <xdr:cNvPr id="20" name="Callout: Down Arrow 19">
          <a:extLst>
            <a:ext uri="{FF2B5EF4-FFF2-40B4-BE49-F238E27FC236}">
              <a16:creationId xmlns:a16="http://schemas.microsoft.com/office/drawing/2014/main" id="{BA400066-01C6-4FF4-9551-D76C40C1B2A2}"/>
            </a:ext>
          </a:extLst>
        </xdr:cNvPr>
        <xdr:cNvSpPr/>
      </xdr:nvSpPr>
      <xdr:spPr>
        <a:xfrm>
          <a:off x="4254953" y="6155872"/>
          <a:ext cx="2186668" cy="1547132"/>
        </a:xfrm>
        <a:prstGeom prst="down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Pe</a:t>
          </a:r>
        </a:p>
        <a:p>
          <a:pPr algn="l"/>
          <a:r>
            <a:rPr lang="en-US" sz="1100" baseline="0"/>
            <a:t>         </a:t>
          </a:r>
        </a:p>
        <a:p>
          <a:pPr algn="l"/>
          <a:r>
            <a:rPr lang="en-US" sz="1600" b="1" baseline="0"/>
            <a:t>         Performance</a:t>
          </a:r>
          <a:endParaRPr lang="en-US" sz="1600" b="1"/>
        </a:p>
      </xdr:txBody>
    </xdr:sp>
    <xdr:clientData/>
  </xdr:twoCellAnchor>
  <xdr:twoCellAnchor>
    <xdr:from>
      <xdr:col>10</xdr:col>
      <xdr:colOff>123825</xdr:colOff>
      <xdr:row>10</xdr:row>
      <xdr:rowOff>76200</xdr:rowOff>
    </xdr:from>
    <xdr:to>
      <xdr:col>13</xdr:col>
      <xdr:colOff>76200</xdr:colOff>
      <xdr:row>16</xdr:row>
      <xdr:rowOff>38100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2F610055-8C56-4107-82A6-EABD20E942CE}"/>
            </a:ext>
          </a:extLst>
        </xdr:cNvPr>
        <xdr:cNvSpPr/>
      </xdr:nvSpPr>
      <xdr:spPr>
        <a:xfrm>
          <a:off x="6219825" y="2647950"/>
          <a:ext cx="1781175" cy="1104900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Available Blocks= f(d</a:t>
          </a:r>
          <a:r>
            <a:rPr lang="en-US" sz="1400" b="1" baseline="0"/>
            <a:t> factor)--&gt;6480</a:t>
          </a:r>
        </a:p>
      </xdr:txBody>
    </xdr:sp>
    <xdr:clientData/>
  </xdr:twoCellAnchor>
  <xdr:twoCellAnchor>
    <xdr:from>
      <xdr:col>5</xdr:col>
      <xdr:colOff>228600</xdr:colOff>
      <xdr:row>16</xdr:row>
      <xdr:rowOff>133351</xdr:rowOff>
    </xdr:from>
    <xdr:to>
      <xdr:col>5</xdr:col>
      <xdr:colOff>419100</xdr:colOff>
      <xdr:row>19</xdr:row>
      <xdr:rowOff>114300</xdr:rowOff>
    </xdr:to>
    <xdr:sp macro="" textlink="">
      <xdr:nvSpPr>
        <xdr:cNvPr id="14" name="Arrow: Down 13">
          <a:extLst>
            <a:ext uri="{FF2B5EF4-FFF2-40B4-BE49-F238E27FC236}">
              <a16:creationId xmlns:a16="http://schemas.microsoft.com/office/drawing/2014/main" id="{DA1DBCD6-31EB-4C83-B1A3-0BCCE538EDC3}"/>
            </a:ext>
          </a:extLst>
        </xdr:cNvPr>
        <xdr:cNvSpPr/>
      </xdr:nvSpPr>
      <xdr:spPr>
        <a:xfrm>
          <a:off x="3457575" y="5019676"/>
          <a:ext cx="190500" cy="55244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314324</xdr:colOff>
      <xdr:row>16</xdr:row>
      <xdr:rowOff>57150</xdr:rowOff>
    </xdr:from>
    <xdr:to>
      <xdr:col>11</xdr:col>
      <xdr:colOff>552449</xdr:colOff>
      <xdr:row>19</xdr:row>
      <xdr:rowOff>123825</xdr:rowOff>
    </xdr:to>
    <xdr:sp macro="" textlink="">
      <xdr:nvSpPr>
        <xdr:cNvPr id="15" name="Arrow: Down 14">
          <a:extLst>
            <a:ext uri="{FF2B5EF4-FFF2-40B4-BE49-F238E27FC236}">
              <a16:creationId xmlns:a16="http://schemas.microsoft.com/office/drawing/2014/main" id="{F5A52B4F-DAE4-4F1E-99C6-C98B60C38930}"/>
            </a:ext>
          </a:extLst>
        </xdr:cNvPr>
        <xdr:cNvSpPr/>
      </xdr:nvSpPr>
      <xdr:spPr>
        <a:xfrm>
          <a:off x="7019924" y="3200400"/>
          <a:ext cx="238125" cy="638175"/>
        </a:xfrm>
        <a:prstGeom prst="downArrow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352425</xdr:colOff>
      <xdr:row>27</xdr:row>
      <xdr:rowOff>9526</xdr:rowOff>
    </xdr:from>
    <xdr:to>
      <xdr:col>11</xdr:col>
      <xdr:colOff>542925</xdr:colOff>
      <xdr:row>29</xdr:row>
      <xdr:rowOff>95250</xdr:rowOff>
    </xdr:to>
    <xdr:sp macro="" textlink="">
      <xdr:nvSpPr>
        <xdr:cNvPr id="16" name="Arrow: Down 15">
          <a:extLst>
            <a:ext uri="{FF2B5EF4-FFF2-40B4-BE49-F238E27FC236}">
              <a16:creationId xmlns:a16="http://schemas.microsoft.com/office/drawing/2014/main" id="{1BDE40D0-E082-435D-B3B3-D73308E77672}"/>
            </a:ext>
          </a:extLst>
        </xdr:cNvPr>
        <xdr:cNvSpPr/>
      </xdr:nvSpPr>
      <xdr:spPr>
        <a:xfrm>
          <a:off x="7058025" y="5295901"/>
          <a:ext cx="190500" cy="466724"/>
        </a:xfrm>
        <a:prstGeom prst="downArrow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19050</xdr:colOff>
      <xdr:row>29</xdr:row>
      <xdr:rowOff>85725</xdr:rowOff>
    </xdr:from>
    <xdr:to>
      <xdr:col>13</xdr:col>
      <xdr:colOff>371475</xdr:colOff>
      <xdr:row>40</xdr:row>
      <xdr:rowOff>9525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5857018B-1E3F-4DF4-97F4-6E4071F756EA}"/>
            </a:ext>
          </a:extLst>
        </xdr:cNvPr>
        <xdr:cNvSpPr/>
      </xdr:nvSpPr>
      <xdr:spPr>
        <a:xfrm>
          <a:off x="6115050" y="5705475"/>
          <a:ext cx="2181225" cy="2019300"/>
        </a:xfrm>
        <a:prstGeom prst="ellips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ctr"/>
          <a:endParaRPr lang="en-US" sz="1400" b="1"/>
        </a:p>
        <a:p>
          <a:pPr algn="ctr"/>
          <a:r>
            <a:rPr lang="en-US" sz="1400" b="1"/>
            <a:t>Assigned Blocks</a:t>
          </a:r>
        </a:p>
      </xdr:txBody>
    </xdr:sp>
    <xdr:clientData/>
  </xdr:twoCellAnchor>
  <xdr:twoCellAnchor>
    <xdr:from>
      <xdr:col>3</xdr:col>
      <xdr:colOff>504825</xdr:colOff>
      <xdr:row>29</xdr:row>
      <xdr:rowOff>57150</xdr:rowOff>
    </xdr:from>
    <xdr:to>
      <xdr:col>7</xdr:col>
      <xdr:colOff>247650</xdr:colOff>
      <xdr:row>40</xdr:row>
      <xdr:rowOff>9525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F0E62DF1-3719-492C-BD15-F9B2925971EE}"/>
            </a:ext>
          </a:extLst>
        </xdr:cNvPr>
        <xdr:cNvSpPr/>
      </xdr:nvSpPr>
      <xdr:spPr>
        <a:xfrm>
          <a:off x="2333625" y="5676900"/>
          <a:ext cx="2181225" cy="2047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ctr"/>
          <a:r>
            <a:rPr lang="en-US" sz="1400" b="1"/>
            <a:t>Available</a:t>
          </a:r>
          <a:r>
            <a:rPr lang="en-US" sz="1400" b="1" baseline="0"/>
            <a:t> Reward</a:t>
          </a:r>
        </a:p>
        <a:p>
          <a:pPr algn="ctr"/>
          <a:r>
            <a:rPr lang="en-US" sz="1400" b="1" baseline="0"/>
            <a:t> for a pool</a:t>
          </a:r>
          <a:endParaRPr lang="en-US" sz="1400" b="1"/>
        </a:p>
      </xdr:txBody>
    </xdr:sp>
    <xdr:clientData/>
  </xdr:twoCellAnchor>
  <xdr:twoCellAnchor>
    <xdr:from>
      <xdr:col>7</xdr:col>
      <xdr:colOff>65314</xdr:colOff>
      <xdr:row>41</xdr:row>
      <xdr:rowOff>13607</xdr:rowOff>
    </xdr:from>
    <xdr:to>
      <xdr:col>10</xdr:col>
      <xdr:colOff>93889</xdr:colOff>
      <xdr:row>50</xdr:row>
      <xdr:rowOff>42182</xdr:rowOff>
    </xdr:to>
    <xdr:sp macro="" textlink="">
      <xdr:nvSpPr>
        <xdr:cNvPr id="23" name="Partial Circle 22">
          <a:extLst>
            <a:ext uri="{FF2B5EF4-FFF2-40B4-BE49-F238E27FC236}">
              <a16:creationId xmlns:a16="http://schemas.microsoft.com/office/drawing/2014/main" id="{F41B731B-4F1C-4BCC-858C-3FEB86222389}"/>
            </a:ext>
          </a:extLst>
        </xdr:cNvPr>
        <xdr:cNvSpPr/>
      </xdr:nvSpPr>
      <xdr:spPr>
        <a:xfrm>
          <a:off x="4408714" y="7742464"/>
          <a:ext cx="1890032" cy="1694089"/>
        </a:xfrm>
        <a:prstGeom prst="pi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chemeClr val="tx1"/>
              </a:solidFill>
            </a:rPr>
            <a:t>Total Actual Pool</a:t>
          </a:r>
          <a:r>
            <a:rPr lang="en-US" sz="1100" b="1" baseline="0">
              <a:solidFill>
                <a:schemeClr val="tx1"/>
              </a:solidFill>
            </a:rPr>
            <a:t> Rewards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417739</xdr:colOff>
      <xdr:row>11</xdr:row>
      <xdr:rowOff>83005</xdr:rowOff>
    </xdr:from>
    <xdr:to>
      <xdr:col>8</xdr:col>
      <xdr:colOff>384402</xdr:colOff>
      <xdr:row>40</xdr:row>
      <xdr:rowOff>159205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827509F1-DFD0-4906-9622-800BA0E3E8AC}"/>
            </a:ext>
          </a:extLst>
        </xdr:cNvPr>
        <xdr:cNvCxnSpPr>
          <a:stCxn id="20" idx="2"/>
        </xdr:cNvCxnSpPr>
      </xdr:nvCxnSpPr>
      <xdr:spPr>
        <a:xfrm rot="5400000" flipH="1">
          <a:off x="471828" y="2826545"/>
          <a:ext cx="5442857" cy="4310063"/>
        </a:xfrm>
        <a:prstGeom prst="bentConnector3">
          <a:avLst>
            <a:gd name="adj1" fmla="val 340"/>
          </a:avLst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7</xdr:row>
      <xdr:rowOff>142875</xdr:rowOff>
    </xdr:from>
    <xdr:to>
      <xdr:col>2</xdr:col>
      <xdr:colOff>457199</xdr:colOff>
      <xdr:row>11</xdr:row>
      <xdr:rowOff>19050</xdr:rowOff>
    </xdr:to>
    <xdr:sp macro="" textlink="">
      <xdr:nvSpPr>
        <xdr:cNvPr id="47" name="Frame 46">
          <a:extLst>
            <a:ext uri="{FF2B5EF4-FFF2-40B4-BE49-F238E27FC236}">
              <a16:creationId xmlns:a16="http://schemas.microsoft.com/office/drawing/2014/main" id="{B041DC9E-B15B-4777-AF7E-0CE912D81146}"/>
            </a:ext>
          </a:extLst>
        </xdr:cNvPr>
        <xdr:cNvSpPr/>
      </xdr:nvSpPr>
      <xdr:spPr>
        <a:xfrm>
          <a:off x="342900" y="1571625"/>
          <a:ext cx="1333499" cy="6858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451038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75B517-5936-4692-912F-D4B8199144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3441887" cy="8001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27</xdr:col>
      <xdr:colOff>600075</xdr:colOff>
      <xdr:row>35</xdr:row>
      <xdr:rowOff>115420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CCB80F1-35AF-49E7-BA79-0C3B25A7F71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72575" y="190500"/>
              <a:ext cx="10963275" cy="65924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DE21C-EC63-427C-89FB-000C12D7D2E3}">
  <dimension ref="A1:AM179"/>
  <sheetViews>
    <sheetView zoomScale="81" zoomScaleNormal="81" workbookViewId="0">
      <selection activeCell="D119" sqref="D119"/>
    </sheetView>
  </sheetViews>
  <sheetFormatPr defaultRowHeight="15" x14ac:dyDescent="0.25"/>
  <cols>
    <col min="1" max="1" width="1.85546875" style="6" customWidth="1"/>
    <col min="2" max="2" width="10.85546875" style="6" customWidth="1"/>
    <col min="3" max="3" width="27.140625" bestFit="1" customWidth="1"/>
    <col min="4" max="4" width="20.28515625" style="1" bestFit="1" customWidth="1"/>
    <col min="5" max="5" width="20.7109375" style="6" bestFit="1" customWidth="1"/>
    <col min="6" max="6" width="10" style="6" bestFit="1" customWidth="1"/>
    <col min="7" max="7" width="14.7109375" style="31" bestFit="1" customWidth="1"/>
    <col min="8" max="8" width="16.140625" style="31" customWidth="1"/>
    <col min="9" max="9" width="8.140625" style="31" bestFit="1" customWidth="1"/>
    <col min="10" max="10" width="12.140625" style="31" bestFit="1" customWidth="1"/>
    <col min="11" max="12" width="12.140625" style="31" customWidth="1"/>
    <col min="13" max="13" width="3.28515625" style="22" customWidth="1"/>
    <col min="14" max="14" width="12.140625" style="31" customWidth="1"/>
    <col min="15" max="15" width="19.28515625" style="31" bestFit="1" customWidth="1"/>
    <col min="16" max="17" width="19.28515625" style="31" customWidth="1"/>
    <col min="18" max="18" width="10.5703125" style="31" bestFit="1" customWidth="1"/>
    <col min="19" max="19" width="2.28515625" style="31" customWidth="1"/>
    <col min="20" max="20" width="12.85546875" style="31" bestFit="1" customWidth="1"/>
    <col min="21" max="21" width="14.7109375" style="31" bestFit="1" customWidth="1"/>
    <col min="22" max="22" width="11.85546875" style="31" bestFit="1" customWidth="1"/>
    <col min="23" max="23" width="2.5703125" customWidth="1"/>
    <col min="25" max="25" width="8.85546875" style="6"/>
    <col min="26" max="26" width="8.85546875" style="31"/>
    <col min="27" max="33" width="9.140625" style="31"/>
    <col min="34" max="39" width="9.140625" style="6"/>
  </cols>
  <sheetData>
    <row r="1" spans="1:39" s="6" customFormat="1" ht="15.75" thickBot="1" x14ac:dyDescent="0.3">
      <c r="D1" s="31"/>
      <c r="G1" s="31"/>
      <c r="H1" s="31"/>
      <c r="I1" s="31"/>
      <c r="J1" s="31"/>
      <c r="K1" s="31"/>
      <c r="L1" s="31"/>
      <c r="N1" s="31"/>
      <c r="O1" s="31"/>
      <c r="P1" s="31"/>
      <c r="Q1" s="31"/>
      <c r="R1" s="31"/>
      <c r="S1" s="31"/>
      <c r="T1" s="31"/>
      <c r="U1" s="31"/>
      <c r="V1" s="31"/>
      <c r="Z1" s="31"/>
      <c r="AA1" s="31"/>
      <c r="AB1" s="31"/>
      <c r="AC1" s="31"/>
      <c r="AD1" s="31"/>
      <c r="AE1" s="31"/>
      <c r="AF1" s="31"/>
      <c r="AG1" s="31"/>
    </row>
    <row r="2" spans="1:39" s="6" customFormat="1" x14ac:dyDescent="0.25">
      <c r="D2" s="31"/>
      <c r="G2" s="288" t="s">
        <v>128</v>
      </c>
      <c r="H2" s="289"/>
      <c r="I2" s="289"/>
      <c r="J2" s="289"/>
      <c r="K2" s="289"/>
      <c r="L2" s="290"/>
      <c r="N2" s="288" t="s">
        <v>129</v>
      </c>
      <c r="O2" s="289"/>
      <c r="P2" s="289"/>
      <c r="Q2" s="289"/>
      <c r="R2" s="290"/>
      <c r="S2" s="31"/>
      <c r="T2" s="288" t="s">
        <v>130</v>
      </c>
      <c r="U2" s="289"/>
      <c r="V2" s="290"/>
      <c r="Z2" s="31"/>
      <c r="AA2" s="31"/>
      <c r="AB2" s="31"/>
      <c r="AC2" s="31"/>
      <c r="AD2" s="31"/>
      <c r="AE2" s="31"/>
      <c r="AF2" s="31"/>
      <c r="AG2" s="31"/>
    </row>
    <row r="3" spans="1:39" s="104" customFormat="1" ht="15.75" thickBot="1" x14ac:dyDescent="0.3">
      <c r="A3" s="17"/>
      <c r="B3" s="17" t="s">
        <v>133</v>
      </c>
      <c r="C3" s="3" t="s">
        <v>55</v>
      </c>
      <c r="D3" s="142" t="s">
        <v>110</v>
      </c>
      <c r="E3" s="3" t="s">
        <v>104</v>
      </c>
      <c r="F3" s="3" t="s">
        <v>131</v>
      </c>
      <c r="G3" s="225" t="s">
        <v>102</v>
      </c>
      <c r="H3" s="132" t="s">
        <v>103</v>
      </c>
      <c r="I3" s="132" t="s">
        <v>46</v>
      </c>
      <c r="J3" s="132" t="s">
        <v>106</v>
      </c>
      <c r="K3" s="132" t="s">
        <v>113</v>
      </c>
      <c r="L3" s="226" t="s">
        <v>114</v>
      </c>
      <c r="M3" s="22"/>
      <c r="N3" s="225" t="s">
        <v>115</v>
      </c>
      <c r="O3" s="132" t="s">
        <v>116</v>
      </c>
      <c r="P3" s="132" t="s">
        <v>132</v>
      </c>
      <c r="Q3" s="132" t="s">
        <v>121</v>
      </c>
      <c r="R3" s="226" t="s">
        <v>95</v>
      </c>
      <c r="S3" s="3"/>
      <c r="T3" s="225" t="s">
        <v>111</v>
      </c>
      <c r="U3" s="132" t="s">
        <v>112</v>
      </c>
      <c r="V3" s="226" t="s">
        <v>107</v>
      </c>
      <c r="W3" s="17"/>
      <c r="X3" s="197" t="s">
        <v>0</v>
      </c>
      <c r="Y3" s="197" t="s">
        <v>105</v>
      </c>
      <c r="Z3" s="3" t="s">
        <v>108</v>
      </c>
      <c r="AA3" s="143" t="s">
        <v>3</v>
      </c>
      <c r="AB3" s="143" t="s">
        <v>5</v>
      </c>
      <c r="AC3" s="3" t="s">
        <v>38</v>
      </c>
      <c r="AD3" s="143" t="s">
        <v>6</v>
      </c>
      <c r="AE3" s="3" t="s">
        <v>9</v>
      </c>
      <c r="AI3" s="17"/>
      <c r="AJ3" s="17"/>
      <c r="AK3" s="17"/>
      <c r="AL3" s="17"/>
      <c r="AM3" s="17"/>
    </row>
    <row r="4" spans="1:39" ht="15.75" thickBot="1" x14ac:dyDescent="0.3">
      <c r="B4" s="243">
        <f>Epoch_Times!B3</f>
        <v>44066.738888888889</v>
      </c>
      <c r="C4" s="31">
        <v>211</v>
      </c>
      <c r="D4" s="30">
        <f>rho!E6 * (1-tr_tax)</f>
        <v>31829474.020034879</v>
      </c>
      <c r="E4" s="205">
        <v>31704823791.377499</v>
      </c>
      <c r="F4" s="224">
        <v>100000</v>
      </c>
      <c r="G4" s="223">
        <f>76545000</f>
        <v>76545000</v>
      </c>
      <c r="H4" s="224">
        <v>10177000000</v>
      </c>
      <c r="I4" s="224">
        <v>250000</v>
      </c>
      <c r="J4" s="236">
        <v>16</v>
      </c>
      <c r="K4" s="236">
        <v>340</v>
      </c>
      <c r="L4" s="237">
        <v>0.05</v>
      </c>
      <c r="N4" s="227">
        <f t="shared" ref="N4:N23" si="0">V4*T4 *L4 +K4</f>
        <v>3296.6597726852656</v>
      </c>
      <c r="O4" s="202">
        <f t="shared" ref="O4:O23" si="1">V4*T4-N4</f>
        <v>55836.535681020046</v>
      </c>
      <c r="P4" s="202">
        <f>$F$4 / G4 * O4</f>
        <v>72.946026103625385</v>
      </c>
      <c r="Q4" s="211">
        <f t="shared" ref="Q4:Q23" si="2">(1+O4/G4)^(365/5) -1</f>
        <v>5.4673443090866636E-2</v>
      </c>
      <c r="R4" s="228">
        <f t="shared" ref="R4:R23" si="3">O4/J4</f>
        <v>3489.7834800637529</v>
      </c>
      <c r="S4" s="180"/>
      <c r="T4" s="244">
        <f t="shared" ref="T4:T23" si="4">(((AD4-((1-AD4/AC4)*AE4))/AC4*AE4*Y4)+AD4) * D4/(1+Y4)</f>
        <v>59133.19545370531</v>
      </c>
      <c r="U4" s="181">
        <f t="shared" ref="U4:U22" si="5">G4/H4 * 21600 * (1-Z4)</f>
        <v>16.246162916380069</v>
      </c>
      <c r="V4" s="245">
        <f>IF(Z4&gt;=0.8,1,J4/U4)</f>
        <v>1</v>
      </c>
      <c r="W4" s="6"/>
      <c r="X4" s="140">
        <v>150</v>
      </c>
      <c r="Y4" s="140">
        <v>0.3</v>
      </c>
      <c r="Z4" s="183">
        <v>0.9</v>
      </c>
      <c r="AA4" s="184">
        <f t="shared" ref="AA4:AA23" si="6">I4/E4</f>
        <v>7.8852354343628451E-6</v>
      </c>
      <c r="AB4" s="184">
        <f t="shared" ref="AB4:AB23" si="7">G4/E4</f>
        <v>2.4143013852932159E-3</v>
      </c>
      <c r="AC4" s="185">
        <f t="shared" ref="AC4:AC23" si="8">1/X4</f>
        <v>6.6666666666666671E-3</v>
      </c>
      <c r="AD4" s="186">
        <f>MIN(AB4,AC4)</f>
        <v>2.4143013852932159E-3</v>
      </c>
      <c r="AE4" s="187">
        <f>MIN(AA4,AC4)</f>
        <v>7.8852354343628451E-6</v>
      </c>
    </row>
    <row r="5" spans="1:39" x14ac:dyDescent="0.25">
      <c r="B5" s="243">
        <f>Epoch_Times!B4</f>
        <v>44071.738888888889</v>
      </c>
      <c r="C5" s="31">
        <v>212</v>
      </c>
      <c r="D5" s="30">
        <f>rho!E7 * (1-tr_tax)</f>
        <v>31733985.597974777</v>
      </c>
      <c r="E5" s="30">
        <f t="shared" ref="E5:E23" si="9">E4+(D4/(1-tr_tax))</f>
        <v>31744610633.902542</v>
      </c>
      <c r="F5" s="30"/>
      <c r="G5" s="223">
        <v>77590000</v>
      </c>
      <c r="H5" s="224">
        <v>12100000000</v>
      </c>
      <c r="I5" s="224">
        <v>250000</v>
      </c>
      <c r="J5" s="236">
        <v>22</v>
      </c>
      <c r="K5" s="236">
        <v>340</v>
      </c>
      <c r="L5" s="237">
        <v>0.05</v>
      </c>
      <c r="N5" s="229">
        <f t="shared" si="0"/>
        <v>3324.2870089945754</v>
      </c>
      <c r="O5" s="201">
        <f t="shared" si="1"/>
        <v>56361.45317089693</v>
      </c>
      <c r="P5" s="201">
        <f t="shared" ref="P5:P23" si="10">$F$4 / G5 * O5</f>
        <v>72.640099459849125</v>
      </c>
      <c r="Q5" s="212">
        <f t="shared" si="2"/>
        <v>5.4438104205019489E-2</v>
      </c>
      <c r="R5" s="230">
        <f t="shared" si="3"/>
        <v>2561.8842350407695</v>
      </c>
      <c r="S5" s="180"/>
      <c r="T5" s="246">
        <f t="shared" si="4"/>
        <v>59685.740179891502</v>
      </c>
      <c r="U5" s="182">
        <f t="shared" si="5"/>
        <v>27.701553719008263</v>
      </c>
      <c r="V5" s="247">
        <f>IF(Z5&gt;=0.8,1,J5/U5)</f>
        <v>1</v>
      </c>
      <c r="W5" s="6"/>
      <c r="X5" s="140">
        <v>150</v>
      </c>
      <c r="Y5" s="140">
        <v>0.3</v>
      </c>
      <c r="Z5" s="188">
        <v>0.8</v>
      </c>
      <c r="AA5" s="129">
        <f t="shared" si="6"/>
        <v>7.8753525404090341E-6</v>
      </c>
      <c r="AB5" s="129">
        <f t="shared" si="7"/>
        <v>2.4441944144413478E-3</v>
      </c>
      <c r="AC5" s="189">
        <f t="shared" si="8"/>
        <v>6.6666666666666671E-3</v>
      </c>
      <c r="AD5" s="190">
        <f t="shared" ref="AD5:AD18" si="11">MIN(AB5,AC5)</f>
        <v>2.4441944144413478E-3</v>
      </c>
      <c r="AE5" s="191">
        <f t="shared" ref="AE5:AE18" si="12">MIN(AA5,AC5)</f>
        <v>7.8753525404090341E-6</v>
      </c>
    </row>
    <row r="6" spans="1:39" x14ac:dyDescent="0.25">
      <c r="B6" s="243">
        <f>Epoch_Times!B5</f>
        <v>44076.738888888889</v>
      </c>
      <c r="C6" s="31">
        <v>213</v>
      </c>
      <c r="D6" s="30">
        <f>rho!E8 * (1-tr_tax)</f>
        <v>31638783.641180851</v>
      </c>
      <c r="E6" s="30">
        <f t="shared" si="9"/>
        <v>31784278115.900009</v>
      </c>
      <c r="F6" s="30"/>
      <c r="G6" s="223">
        <v>83850000</v>
      </c>
      <c r="H6" s="224">
        <v>12760000000</v>
      </c>
      <c r="I6" s="224">
        <f>I5</f>
        <v>250000</v>
      </c>
      <c r="J6" s="236">
        <v>23</v>
      </c>
      <c r="K6" s="236">
        <v>340</v>
      </c>
      <c r="L6" s="237">
        <v>0.05</v>
      </c>
      <c r="N6" s="229">
        <f t="shared" si="0"/>
        <v>2705.318185062777</v>
      </c>
      <c r="O6" s="201">
        <f t="shared" si="1"/>
        <v>44601.045516192768</v>
      </c>
      <c r="P6" s="201">
        <f t="shared" si="10"/>
        <v>53.191467520802341</v>
      </c>
      <c r="Q6" s="212">
        <f t="shared" si="2"/>
        <v>3.9582767840317779E-2</v>
      </c>
      <c r="R6" s="230">
        <f t="shared" si="3"/>
        <v>1939.1758920083812</v>
      </c>
      <c r="S6" s="180"/>
      <c r="T6" s="246">
        <f t="shared" si="4"/>
        <v>64227.431545101914</v>
      </c>
      <c r="U6" s="182">
        <f t="shared" si="5"/>
        <v>31.226896551724128</v>
      </c>
      <c r="V6" s="247">
        <f>IF(Z6&gt;=0.8,1,J6/U6)</f>
        <v>0.73654453499414763</v>
      </c>
      <c r="W6" s="6"/>
      <c r="X6" s="140">
        <v>150</v>
      </c>
      <c r="Y6" s="140">
        <v>0.3</v>
      </c>
      <c r="Z6" s="188">
        <v>0.78</v>
      </c>
      <c r="AA6" s="129">
        <f t="shared" si="6"/>
        <v>7.8655239262753027E-6</v>
      </c>
      <c r="AB6" s="129">
        <f t="shared" si="7"/>
        <v>2.6380967248727364E-3</v>
      </c>
      <c r="AC6" s="189">
        <f t="shared" si="8"/>
        <v>6.6666666666666671E-3</v>
      </c>
      <c r="AD6" s="190">
        <f t="shared" si="11"/>
        <v>2.6380967248727364E-3</v>
      </c>
      <c r="AE6" s="191">
        <f t="shared" si="12"/>
        <v>7.8655239262753027E-6</v>
      </c>
    </row>
    <row r="7" spans="1:39" x14ac:dyDescent="0.25">
      <c r="B7" s="243">
        <f>Epoch_Times!B6</f>
        <v>44081.738888888889</v>
      </c>
      <c r="C7" s="31">
        <v>214</v>
      </c>
      <c r="D7" s="30">
        <f>rho!E9 * (1-tr_tax)</f>
        <v>31543867.290257312</v>
      </c>
      <c r="E7" s="30">
        <f t="shared" si="9"/>
        <v>31823826595.451485</v>
      </c>
      <c r="F7" s="30"/>
      <c r="G7" s="223">
        <v>75730000</v>
      </c>
      <c r="H7" s="224">
        <v>13370000000</v>
      </c>
      <c r="I7" s="224">
        <f t="shared" ref="I7:I23" si="13">I6</f>
        <v>250000</v>
      </c>
      <c r="J7" s="236">
        <v>27</v>
      </c>
      <c r="K7" s="236">
        <v>340</v>
      </c>
      <c r="L7" s="237">
        <v>0.05</v>
      </c>
      <c r="N7" s="229">
        <f t="shared" si="0"/>
        <v>2995.6604274053539</v>
      </c>
      <c r="O7" s="201">
        <f t="shared" si="1"/>
        <v>50117.548120701722</v>
      </c>
      <c r="P7" s="201">
        <f t="shared" si="10"/>
        <v>66.179252767333594</v>
      </c>
      <c r="Q7" s="212">
        <f t="shared" si="2"/>
        <v>4.9480075861638495E-2</v>
      </c>
      <c r="R7" s="230">
        <f t="shared" si="3"/>
        <v>1856.2054859519155</v>
      </c>
      <c r="S7" s="180"/>
      <c r="T7" s="246">
        <f t="shared" si="4"/>
        <v>57761.746477400491</v>
      </c>
      <c r="U7" s="182">
        <f t="shared" si="5"/>
        <v>29.363075542258787</v>
      </c>
      <c r="V7" s="247">
        <f t="shared" ref="V7:V23" si="14">IF(OR(C7=212, C7=211),1,J7/U7)</f>
        <v>0.91952220608301427</v>
      </c>
      <c r="W7" s="6"/>
      <c r="X7" s="140">
        <v>150</v>
      </c>
      <c r="Y7" s="140">
        <v>0.3</v>
      </c>
      <c r="Z7" s="188">
        <f>Z6-0.02</f>
        <v>0.76</v>
      </c>
      <c r="AA7" s="129">
        <f t="shared" si="6"/>
        <v>7.8557491900025622E-6</v>
      </c>
      <c r="AB7" s="129">
        <f t="shared" si="7"/>
        <v>2.379663544635576E-3</v>
      </c>
      <c r="AC7" s="189">
        <f t="shared" si="8"/>
        <v>6.6666666666666671E-3</v>
      </c>
      <c r="AD7" s="190">
        <f t="shared" si="11"/>
        <v>2.379663544635576E-3</v>
      </c>
      <c r="AE7" s="191">
        <f t="shared" si="12"/>
        <v>7.8557491900025622E-6</v>
      </c>
    </row>
    <row r="8" spans="1:39" x14ac:dyDescent="0.25">
      <c r="B8" s="243">
        <f>Epoch_Times!B7</f>
        <v>44086.738888888889</v>
      </c>
      <c r="C8" s="31">
        <v>215</v>
      </c>
      <c r="D8" s="30">
        <f>rho!E10 * (1-tr_tax)</f>
        <v>31449235.688386537</v>
      </c>
      <c r="E8" s="30">
        <f t="shared" si="9"/>
        <v>31863256429.564308</v>
      </c>
      <c r="F8" s="30"/>
      <c r="G8" s="223">
        <v>19400000</v>
      </c>
      <c r="H8" s="224">
        <v>13860000000</v>
      </c>
      <c r="I8" s="224">
        <f t="shared" si="13"/>
        <v>250000</v>
      </c>
      <c r="J8" s="236">
        <v>12</v>
      </c>
      <c r="K8" s="236">
        <v>340</v>
      </c>
      <c r="L8" s="237">
        <v>0.05</v>
      </c>
      <c r="N8" s="229">
        <f t="shared" si="0"/>
        <v>1464.6450619674586</v>
      </c>
      <c r="O8" s="201">
        <f t="shared" si="1"/>
        <v>21028.256177381711</v>
      </c>
      <c r="P8" s="201">
        <f t="shared" si="10"/>
        <v>108.39307307928716</v>
      </c>
      <c r="Q8" s="212">
        <f t="shared" si="2"/>
        <v>8.2295328727387762E-2</v>
      </c>
      <c r="R8" s="230">
        <f t="shared" si="3"/>
        <v>1752.354681448476</v>
      </c>
      <c r="S8" s="180"/>
      <c r="T8" s="246">
        <f t="shared" si="4"/>
        <v>14734.31088977626</v>
      </c>
      <c r="U8" s="182">
        <f t="shared" si="5"/>
        <v>7.8607792207792206</v>
      </c>
      <c r="V8" s="247">
        <f t="shared" si="14"/>
        <v>1.5265662172878669</v>
      </c>
      <c r="W8" s="6"/>
      <c r="X8" s="140">
        <v>150</v>
      </c>
      <c r="Y8" s="140">
        <v>0.3</v>
      </c>
      <c r="Z8" s="188">
        <f t="shared" ref="Z8:Z20" si="15">Z7-0.02</f>
        <v>0.74</v>
      </c>
      <c r="AA8" s="129">
        <f t="shared" si="6"/>
        <v>7.8460279335428375E-6</v>
      </c>
      <c r="AB8" s="129">
        <f t="shared" si="7"/>
        <v>6.0885176764292426E-4</v>
      </c>
      <c r="AC8" s="189">
        <f t="shared" si="8"/>
        <v>6.6666666666666671E-3</v>
      </c>
      <c r="AD8" s="190">
        <f t="shared" si="11"/>
        <v>6.0885176764292426E-4</v>
      </c>
      <c r="AE8" s="191">
        <f t="shared" si="12"/>
        <v>7.8460279335428375E-6</v>
      </c>
    </row>
    <row r="9" spans="1:39" x14ac:dyDescent="0.25">
      <c r="B9" s="243">
        <f>Epoch_Times!B8</f>
        <v>44091.738888888889</v>
      </c>
      <c r="C9" s="31">
        <v>216</v>
      </c>
      <c r="D9" s="30">
        <f>rho!E11 * (1-tr_tax)</f>
        <v>31354887.98132138</v>
      </c>
      <c r="E9" s="30">
        <f t="shared" si="9"/>
        <v>31902567974.174789</v>
      </c>
      <c r="F9" s="30"/>
      <c r="G9" s="223">
        <v>25120000</v>
      </c>
      <c r="H9" s="224">
        <v>14380000000</v>
      </c>
      <c r="I9" s="224">
        <f t="shared" si="13"/>
        <v>250000</v>
      </c>
      <c r="J9" s="236">
        <v>9</v>
      </c>
      <c r="K9" s="236">
        <v>340</v>
      </c>
      <c r="L9" s="237">
        <v>0.05</v>
      </c>
      <c r="N9" s="231">
        <f t="shared" si="0"/>
        <v>1149.1846824830441</v>
      </c>
      <c r="O9" s="201">
        <f t="shared" si="1"/>
        <v>15034.508967177839</v>
      </c>
      <c r="P9" s="201">
        <f t="shared" si="10"/>
        <v>59.850752257873559</v>
      </c>
      <c r="Q9" s="212">
        <f t="shared" si="2"/>
        <v>4.4645903481868032E-2</v>
      </c>
      <c r="R9" s="230">
        <f t="shared" si="3"/>
        <v>1670.5009963530931</v>
      </c>
      <c r="S9" s="180"/>
      <c r="T9" s="246">
        <f t="shared" si="4"/>
        <v>18997.99070724698</v>
      </c>
      <c r="U9" s="182">
        <f t="shared" si="5"/>
        <v>10.565073713490962</v>
      </c>
      <c r="V9" s="247">
        <f t="shared" si="14"/>
        <v>0.85186343645738527</v>
      </c>
      <c r="W9" s="6"/>
      <c r="X9" s="140">
        <v>150</v>
      </c>
      <c r="Y9" s="140">
        <v>0.3</v>
      </c>
      <c r="Z9" s="188">
        <f t="shared" si="15"/>
        <v>0.72</v>
      </c>
      <c r="AA9" s="129">
        <f t="shared" si="6"/>
        <v>7.8363597627117554E-6</v>
      </c>
      <c r="AB9" s="129">
        <f t="shared" si="7"/>
        <v>7.8739742895727715E-4</v>
      </c>
      <c r="AC9" s="189">
        <f t="shared" si="8"/>
        <v>6.6666666666666671E-3</v>
      </c>
      <c r="AD9" s="190">
        <f t="shared" si="11"/>
        <v>7.8739742895727715E-4</v>
      </c>
      <c r="AE9" s="191">
        <f t="shared" si="12"/>
        <v>7.8363597627117554E-6</v>
      </c>
    </row>
    <row r="10" spans="1:39" x14ac:dyDescent="0.25">
      <c r="B10" s="243">
        <f>Epoch_Times!B9</f>
        <v>44096.738888888889</v>
      </c>
      <c r="C10" s="31">
        <v>217</v>
      </c>
      <c r="D10" s="30">
        <f>rho!E12 * (1-tr_tax)</f>
        <v>31260823.317377415</v>
      </c>
      <c r="E10" s="30">
        <f t="shared" si="9"/>
        <v>31941761584.15144</v>
      </c>
      <c r="F10" s="30"/>
      <c r="G10" s="238">
        <v>23990000</v>
      </c>
      <c r="H10" s="224">
        <v>14770000000</v>
      </c>
      <c r="I10" s="224">
        <f t="shared" si="13"/>
        <v>250000</v>
      </c>
      <c r="J10" s="236">
        <v>7</v>
      </c>
      <c r="K10" s="236">
        <v>340</v>
      </c>
      <c r="L10" s="237">
        <v>0.05</v>
      </c>
      <c r="N10" s="231">
        <f t="shared" si="0"/>
        <v>940.7907656173843</v>
      </c>
      <c r="O10" s="201">
        <f t="shared" si="1"/>
        <v>11075.024546730301</v>
      </c>
      <c r="P10" s="201">
        <f t="shared" si="10"/>
        <v>46.165171099334316</v>
      </c>
      <c r="Q10" s="212">
        <f t="shared" si="2"/>
        <v>3.4266829424365985E-2</v>
      </c>
      <c r="R10" s="230">
        <f t="shared" si="3"/>
        <v>1582.1463638186144</v>
      </c>
      <c r="S10" s="180"/>
      <c r="T10" s="246">
        <f t="shared" si="4"/>
        <v>18066.74700207053</v>
      </c>
      <c r="U10" s="182">
        <f t="shared" si="5"/>
        <v>10.52506431956669</v>
      </c>
      <c r="V10" s="247">
        <f t="shared" si="14"/>
        <v>0.66507907101209862</v>
      </c>
      <c r="W10" s="6"/>
      <c r="X10" s="140">
        <v>150</v>
      </c>
      <c r="Y10" s="140">
        <v>0.3</v>
      </c>
      <c r="Z10" s="188">
        <f t="shared" si="15"/>
        <v>0.7</v>
      </c>
      <c r="AA10" s="129">
        <f t="shared" si="6"/>
        <v>7.8267442871417156E-6</v>
      </c>
      <c r="AB10" s="129">
        <f t="shared" si="7"/>
        <v>7.5105438179411902E-4</v>
      </c>
      <c r="AC10" s="189">
        <f t="shared" si="8"/>
        <v>6.6666666666666671E-3</v>
      </c>
      <c r="AD10" s="190">
        <f t="shared" si="11"/>
        <v>7.5105438179411902E-4</v>
      </c>
      <c r="AE10" s="191">
        <f t="shared" si="12"/>
        <v>7.8267442871417156E-6</v>
      </c>
    </row>
    <row r="11" spans="1:39" x14ac:dyDescent="0.25">
      <c r="B11" s="243">
        <f>Epoch_Times!B10</f>
        <v>44101.738888888889</v>
      </c>
      <c r="C11" s="31">
        <v>218</v>
      </c>
      <c r="D11" s="30">
        <f>rho!E13 * (1-tr_tax)</f>
        <v>31167040.847425282</v>
      </c>
      <c r="E11" s="30">
        <f t="shared" si="9"/>
        <v>31980837613.298161</v>
      </c>
      <c r="F11" s="30"/>
      <c r="G11" s="238"/>
      <c r="H11" s="224"/>
      <c r="I11" s="224">
        <f t="shared" si="13"/>
        <v>250000</v>
      </c>
      <c r="J11" s="236"/>
      <c r="K11" s="236">
        <v>340</v>
      </c>
      <c r="L11" s="237">
        <v>0.05</v>
      </c>
      <c r="N11" s="231" t="e">
        <f t="shared" si="0"/>
        <v>#DIV/0!</v>
      </c>
      <c r="O11" s="201" t="e">
        <f t="shared" si="1"/>
        <v>#DIV/0!</v>
      </c>
      <c r="P11" s="201" t="e">
        <f t="shared" si="10"/>
        <v>#DIV/0!</v>
      </c>
      <c r="Q11" s="212" t="e">
        <f t="shared" si="2"/>
        <v>#DIV/0!</v>
      </c>
      <c r="R11" s="230" t="e">
        <f t="shared" si="3"/>
        <v>#DIV/0!</v>
      </c>
      <c r="S11" s="180"/>
      <c r="T11" s="246">
        <f t="shared" si="4"/>
        <v>-6.5927268219204069E-2</v>
      </c>
      <c r="U11" s="182" t="e">
        <f t="shared" si="5"/>
        <v>#DIV/0!</v>
      </c>
      <c r="V11" s="247" t="e">
        <f t="shared" si="14"/>
        <v>#DIV/0!</v>
      </c>
      <c r="W11" s="6"/>
      <c r="X11" s="140">
        <v>150</v>
      </c>
      <c r="Y11" s="140">
        <v>0.3</v>
      </c>
      <c r="Z11" s="188">
        <f t="shared" si="15"/>
        <v>0.67999999999999994</v>
      </c>
      <c r="AA11" s="129">
        <f t="shared" si="6"/>
        <v>7.8171811202357593E-6</v>
      </c>
      <c r="AB11" s="129">
        <f t="shared" si="7"/>
        <v>0</v>
      </c>
      <c r="AC11" s="189">
        <f t="shared" si="8"/>
        <v>6.6666666666666671E-3</v>
      </c>
      <c r="AD11" s="190">
        <f t="shared" si="11"/>
        <v>0</v>
      </c>
      <c r="AE11" s="191">
        <f t="shared" si="12"/>
        <v>7.8171811202357593E-6</v>
      </c>
    </row>
    <row r="12" spans="1:39" x14ac:dyDescent="0.25">
      <c r="B12" s="243">
        <f>Epoch_Times!B11</f>
        <v>44106.738888888889</v>
      </c>
      <c r="C12" s="31">
        <v>219</v>
      </c>
      <c r="D12" s="30">
        <f>rho!E14 * (1-tr_tax)</f>
        <v>31073539.724883009</v>
      </c>
      <c r="E12" s="30">
        <f t="shared" si="9"/>
        <v>32019796414.357441</v>
      </c>
      <c r="F12" s="30"/>
      <c r="G12" s="238"/>
      <c r="H12" s="224"/>
      <c r="I12" s="224">
        <f t="shared" si="13"/>
        <v>250000</v>
      </c>
      <c r="J12" s="236"/>
      <c r="K12" s="236">
        <v>340</v>
      </c>
      <c r="L12" s="237">
        <v>0.05</v>
      </c>
      <c r="N12" s="231" t="e">
        <f t="shared" si="0"/>
        <v>#DIV/0!</v>
      </c>
      <c r="O12" s="201" t="e">
        <f t="shared" si="1"/>
        <v>#DIV/0!</v>
      </c>
      <c r="P12" s="201" t="e">
        <f t="shared" si="10"/>
        <v>#DIV/0!</v>
      </c>
      <c r="Q12" s="212" t="e">
        <f t="shared" si="2"/>
        <v>#DIV/0!</v>
      </c>
      <c r="R12" s="230" t="e">
        <f t="shared" si="3"/>
        <v>#DIV/0!</v>
      </c>
      <c r="S12" s="180"/>
      <c r="T12" s="246">
        <f t="shared" si="4"/>
        <v>-6.5569636294835351E-2</v>
      </c>
      <c r="U12" s="182" t="e">
        <f t="shared" si="5"/>
        <v>#DIV/0!</v>
      </c>
      <c r="V12" s="247" t="e">
        <f t="shared" si="14"/>
        <v>#DIV/0!</v>
      </c>
      <c r="W12" s="6"/>
      <c r="X12" s="140">
        <v>150</v>
      </c>
      <c r="Y12" s="140">
        <v>0.3</v>
      </c>
      <c r="Z12" s="188">
        <f t="shared" si="15"/>
        <v>0.65999999999999992</v>
      </c>
      <c r="AA12" s="129">
        <f t="shared" si="6"/>
        <v>7.8076698791220874E-6</v>
      </c>
      <c r="AB12" s="129">
        <f t="shared" si="7"/>
        <v>0</v>
      </c>
      <c r="AC12" s="189">
        <f t="shared" si="8"/>
        <v>6.6666666666666671E-3</v>
      </c>
      <c r="AD12" s="190">
        <f t="shared" si="11"/>
        <v>0</v>
      </c>
      <c r="AE12" s="191">
        <f t="shared" si="12"/>
        <v>7.8076698791220874E-6</v>
      </c>
    </row>
    <row r="13" spans="1:39" x14ac:dyDescent="0.25">
      <c r="B13" s="243">
        <f>Epoch_Times!B12</f>
        <v>44111.738888888889</v>
      </c>
      <c r="C13" s="31">
        <v>220</v>
      </c>
      <c r="D13" s="30">
        <f>rho!E15 * (1-tr_tax)</f>
        <v>30980319.105708361</v>
      </c>
      <c r="E13" s="30">
        <f t="shared" si="9"/>
        <v>32058638339.013546</v>
      </c>
      <c r="F13" s="30"/>
      <c r="G13" s="238"/>
      <c r="H13" s="224"/>
      <c r="I13" s="224">
        <f t="shared" si="13"/>
        <v>250000</v>
      </c>
      <c r="J13" s="236"/>
      <c r="K13" s="236">
        <v>340</v>
      </c>
      <c r="L13" s="237">
        <v>0.05</v>
      </c>
      <c r="N13" s="231" t="e">
        <f t="shared" si="0"/>
        <v>#DIV/0!</v>
      </c>
      <c r="O13" s="201" t="e">
        <f t="shared" si="1"/>
        <v>#DIV/0!</v>
      </c>
      <c r="P13" s="201" t="e">
        <f t="shared" si="10"/>
        <v>#DIV/0!</v>
      </c>
      <c r="Q13" s="212" t="e">
        <f t="shared" si="2"/>
        <v>#DIV/0!</v>
      </c>
      <c r="R13" s="230" t="e">
        <f t="shared" si="3"/>
        <v>#DIV/0!</v>
      </c>
      <c r="S13" s="180"/>
      <c r="T13" s="246">
        <f t="shared" si="4"/>
        <v>-6.5214612983925335E-2</v>
      </c>
      <c r="U13" s="182" t="e">
        <f t="shared" si="5"/>
        <v>#DIV/0!</v>
      </c>
      <c r="V13" s="247" t="e">
        <f t="shared" si="14"/>
        <v>#DIV/0!</v>
      </c>
      <c r="W13" s="6"/>
      <c r="X13" s="140">
        <v>150</v>
      </c>
      <c r="Y13" s="140">
        <v>0.3</v>
      </c>
      <c r="Z13" s="188">
        <f t="shared" si="15"/>
        <v>0.6399999999999999</v>
      </c>
      <c r="AA13" s="129">
        <f t="shared" si="6"/>
        <v>7.7982101846092503E-6</v>
      </c>
      <c r="AB13" s="129">
        <f t="shared" si="7"/>
        <v>0</v>
      </c>
      <c r="AC13" s="189">
        <f t="shared" si="8"/>
        <v>6.6666666666666671E-3</v>
      </c>
      <c r="AD13" s="190">
        <f t="shared" si="11"/>
        <v>0</v>
      </c>
      <c r="AE13" s="191">
        <f t="shared" si="12"/>
        <v>7.7982101846092503E-6</v>
      </c>
    </row>
    <row r="14" spans="1:39" x14ac:dyDescent="0.25">
      <c r="B14" s="243">
        <f>Epoch_Times!B13</f>
        <v>44116.738888888889</v>
      </c>
      <c r="C14" s="31">
        <v>221</v>
      </c>
      <c r="D14" s="30">
        <f>rho!E16 * (1-tr_tax)</f>
        <v>30887378.148391236</v>
      </c>
      <c r="E14" s="30">
        <f t="shared" si="9"/>
        <v>32097363737.895683</v>
      </c>
      <c r="F14" s="30"/>
      <c r="G14" s="238"/>
      <c r="H14" s="224"/>
      <c r="I14" s="224">
        <f t="shared" si="13"/>
        <v>250000</v>
      </c>
      <c r="J14" s="236"/>
      <c r="K14" s="236">
        <v>340</v>
      </c>
      <c r="L14" s="237">
        <v>0.05</v>
      </c>
      <c r="N14" s="231" t="e">
        <f t="shared" si="0"/>
        <v>#DIV/0!</v>
      </c>
      <c r="O14" s="201" t="e">
        <f t="shared" si="1"/>
        <v>#DIV/0!</v>
      </c>
      <c r="P14" s="201" t="e">
        <f t="shared" si="10"/>
        <v>#DIV/0!</v>
      </c>
      <c r="Q14" s="212" t="e">
        <f t="shared" si="2"/>
        <v>#DIV/0!</v>
      </c>
      <c r="R14" s="230" t="e">
        <f t="shared" si="3"/>
        <v>#DIV/0!</v>
      </c>
      <c r="S14" s="180"/>
      <c r="T14" s="246">
        <f t="shared" si="4"/>
        <v>-6.4862173301930476E-2</v>
      </c>
      <c r="U14" s="182" t="e">
        <f t="shared" si="5"/>
        <v>#DIV/0!</v>
      </c>
      <c r="V14" s="247" t="e">
        <f t="shared" si="14"/>
        <v>#DIV/0!</v>
      </c>
      <c r="W14" s="6"/>
      <c r="X14" s="140">
        <v>150</v>
      </c>
      <c r="Y14" s="140">
        <v>0.3</v>
      </c>
      <c r="Z14" s="188">
        <f t="shared" si="15"/>
        <v>0.61999999999999988</v>
      </c>
      <c r="AA14" s="129">
        <f t="shared" si="6"/>
        <v>7.7888016611419719E-6</v>
      </c>
      <c r="AB14" s="129">
        <f t="shared" si="7"/>
        <v>0</v>
      </c>
      <c r="AC14" s="189">
        <f t="shared" si="8"/>
        <v>6.6666666666666671E-3</v>
      </c>
      <c r="AD14" s="190">
        <f t="shared" si="11"/>
        <v>0</v>
      </c>
      <c r="AE14" s="191">
        <f t="shared" si="12"/>
        <v>7.7888016611419719E-6</v>
      </c>
    </row>
    <row r="15" spans="1:39" x14ac:dyDescent="0.25">
      <c r="B15" s="243">
        <f>Epoch_Times!B14</f>
        <v>44121.738888888889</v>
      </c>
      <c r="C15" s="31">
        <v>222</v>
      </c>
      <c r="D15" s="30">
        <f>rho!E17 * (1-tr_tax)</f>
        <v>30794716.013946056</v>
      </c>
      <c r="E15" s="30">
        <f t="shared" si="9"/>
        <v>32135972960.581173</v>
      </c>
      <c r="F15" s="30"/>
      <c r="G15" s="238"/>
      <c r="H15" s="224"/>
      <c r="I15" s="224">
        <f t="shared" si="13"/>
        <v>250000</v>
      </c>
      <c r="J15" s="236"/>
      <c r="K15" s="236">
        <v>340</v>
      </c>
      <c r="L15" s="237">
        <v>0.05</v>
      </c>
      <c r="N15" s="231" t="e">
        <f t="shared" si="0"/>
        <v>#DIV/0!</v>
      </c>
      <c r="O15" s="201" t="e">
        <f t="shared" si="1"/>
        <v>#DIV/0!</v>
      </c>
      <c r="P15" s="201" t="e">
        <f t="shared" si="10"/>
        <v>#DIV/0!</v>
      </c>
      <c r="Q15" s="212" t="e">
        <f t="shared" si="2"/>
        <v>#DIV/0!</v>
      </c>
      <c r="R15" s="230" t="e">
        <f t="shared" si="3"/>
        <v>#DIV/0!</v>
      </c>
      <c r="S15" s="180"/>
      <c r="T15" s="246">
        <f t="shared" si="4"/>
        <v>-6.4512292563087728E-2</v>
      </c>
      <c r="U15" s="182" t="e">
        <f t="shared" si="5"/>
        <v>#DIV/0!</v>
      </c>
      <c r="V15" s="247" t="e">
        <f t="shared" si="14"/>
        <v>#DIV/0!</v>
      </c>
      <c r="W15" s="6"/>
      <c r="X15" s="140">
        <v>150</v>
      </c>
      <c r="Y15" s="140">
        <v>0.3</v>
      </c>
      <c r="Z15" s="188">
        <f t="shared" si="15"/>
        <v>0.59999999999999987</v>
      </c>
      <c r="AA15" s="129">
        <f t="shared" si="6"/>
        <v>7.779443936757619E-6</v>
      </c>
      <c r="AB15" s="129">
        <f t="shared" si="7"/>
        <v>0</v>
      </c>
      <c r="AC15" s="189">
        <f t="shared" si="8"/>
        <v>6.6666666666666671E-3</v>
      </c>
      <c r="AD15" s="190">
        <f t="shared" si="11"/>
        <v>0</v>
      </c>
      <c r="AE15" s="191">
        <f t="shared" si="12"/>
        <v>7.779443936757619E-6</v>
      </c>
    </row>
    <row r="16" spans="1:39" x14ac:dyDescent="0.25">
      <c r="B16" s="243">
        <f>Epoch_Times!B15</f>
        <v>44126.738888888889</v>
      </c>
      <c r="C16" s="31">
        <v>223</v>
      </c>
      <c r="D16" s="30">
        <f>rho!E18 * (1-tr_tax)</f>
        <v>30702331.865904219</v>
      </c>
      <c r="E16" s="30">
        <f t="shared" si="9"/>
        <v>32174466355.598606</v>
      </c>
      <c r="F16" s="30"/>
      <c r="G16" s="238"/>
      <c r="H16" s="224"/>
      <c r="I16" s="224">
        <f t="shared" si="13"/>
        <v>250000</v>
      </c>
      <c r="J16" s="236"/>
      <c r="K16" s="236">
        <v>340</v>
      </c>
      <c r="L16" s="237">
        <v>0.05</v>
      </c>
      <c r="N16" s="231" t="e">
        <f t="shared" si="0"/>
        <v>#DIV/0!</v>
      </c>
      <c r="O16" s="201" t="e">
        <f t="shared" si="1"/>
        <v>#DIV/0!</v>
      </c>
      <c r="P16" s="201" t="e">
        <f t="shared" si="10"/>
        <v>#DIV/0!</v>
      </c>
      <c r="Q16" s="212" t="e">
        <f t="shared" si="2"/>
        <v>#DIV/0!</v>
      </c>
      <c r="R16" s="230" t="e">
        <f t="shared" si="3"/>
        <v>#DIV/0!</v>
      </c>
      <c r="S16" s="180"/>
      <c r="T16" s="246">
        <f t="shared" si="4"/>
        <v>-6.4164946376134568E-2</v>
      </c>
      <c r="U16" s="182" t="e">
        <f t="shared" si="5"/>
        <v>#DIV/0!</v>
      </c>
      <c r="V16" s="247" t="e">
        <f t="shared" si="14"/>
        <v>#DIV/0!</v>
      </c>
      <c r="W16" s="6"/>
      <c r="X16" s="140">
        <v>150</v>
      </c>
      <c r="Y16" s="140">
        <v>0.3</v>
      </c>
      <c r="Z16" s="188">
        <f t="shared" si="15"/>
        <v>0.57999999999999985</v>
      </c>
      <c r="AA16" s="129">
        <f t="shared" si="6"/>
        <v>7.7701366430432821E-6</v>
      </c>
      <c r="AB16" s="129">
        <f t="shared" si="7"/>
        <v>0</v>
      </c>
      <c r="AC16" s="189">
        <f t="shared" si="8"/>
        <v>6.6666666666666671E-3</v>
      </c>
      <c r="AD16" s="190">
        <f t="shared" si="11"/>
        <v>0</v>
      </c>
      <c r="AE16" s="191">
        <f t="shared" si="12"/>
        <v>7.7701366430432821E-6</v>
      </c>
    </row>
    <row r="17" spans="2:31" x14ac:dyDescent="0.25">
      <c r="B17" s="243">
        <f>Epoch_Times!B16</f>
        <v>44131.738888888889</v>
      </c>
      <c r="C17" s="31">
        <v>224</v>
      </c>
      <c r="D17" s="30">
        <f>rho!E19 * (1-tr_tax)</f>
        <v>30610224.870306507</v>
      </c>
      <c r="E17" s="30">
        <f t="shared" si="9"/>
        <v>32212844270.430984</v>
      </c>
      <c r="F17" s="30"/>
      <c r="G17" s="238"/>
      <c r="H17" s="224"/>
      <c r="I17" s="224">
        <f t="shared" si="13"/>
        <v>250000</v>
      </c>
      <c r="J17" s="236"/>
      <c r="K17" s="236">
        <v>340</v>
      </c>
      <c r="L17" s="237">
        <v>0.05</v>
      </c>
      <c r="N17" s="231" t="e">
        <f t="shared" si="0"/>
        <v>#DIV/0!</v>
      </c>
      <c r="O17" s="201" t="e">
        <f t="shared" si="1"/>
        <v>#DIV/0!</v>
      </c>
      <c r="P17" s="201" t="e">
        <f t="shared" si="10"/>
        <v>#DIV/0!</v>
      </c>
      <c r="Q17" s="212" t="e">
        <f t="shared" si="2"/>
        <v>#DIV/0!</v>
      </c>
      <c r="R17" s="230" t="e">
        <f t="shared" si="3"/>
        <v>#DIV/0!</v>
      </c>
      <c r="S17" s="180"/>
      <c r="T17" s="246">
        <f t="shared" si="4"/>
        <v>-6.3820110640101013E-2</v>
      </c>
      <c r="U17" s="182" t="e">
        <f t="shared" si="5"/>
        <v>#DIV/0!</v>
      </c>
      <c r="V17" s="247" t="e">
        <f t="shared" si="14"/>
        <v>#DIV/0!</v>
      </c>
      <c r="W17" s="6"/>
      <c r="X17" s="140">
        <v>150</v>
      </c>
      <c r="Y17" s="140">
        <v>0.3</v>
      </c>
      <c r="Z17" s="188">
        <f t="shared" si="15"/>
        <v>0.55999999999999983</v>
      </c>
      <c r="AA17" s="129">
        <f t="shared" si="6"/>
        <v>7.7608794150934862E-6</v>
      </c>
      <c r="AB17" s="129">
        <f t="shared" si="7"/>
        <v>0</v>
      </c>
      <c r="AC17" s="189">
        <f t="shared" si="8"/>
        <v>6.6666666666666671E-3</v>
      </c>
      <c r="AD17" s="190">
        <f t="shared" si="11"/>
        <v>0</v>
      </c>
      <c r="AE17" s="191">
        <f t="shared" si="12"/>
        <v>7.7608794150934862E-6</v>
      </c>
    </row>
    <row r="18" spans="2:31" x14ac:dyDescent="0.25">
      <c r="B18" s="243">
        <f>Epoch_Times!B17</f>
        <v>44136.738888888889</v>
      </c>
      <c r="C18" s="31">
        <v>225</v>
      </c>
      <c r="D18" s="30">
        <f>rho!E20 * (1-tr_tax)</f>
        <v>30518394.195695587</v>
      </c>
      <c r="E18" s="30">
        <f t="shared" si="9"/>
        <v>32251107051.518867</v>
      </c>
      <c r="F18" s="30"/>
      <c r="G18" s="238"/>
      <c r="H18" s="224"/>
      <c r="I18" s="224">
        <f t="shared" si="13"/>
        <v>250000</v>
      </c>
      <c r="J18" s="236"/>
      <c r="K18" s="236">
        <v>340</v>
      </c>
      <c r="L18" s="237">
        <v>0.05</v>
      </c>
      <c r="N18" s="231" t="e">
        <f t="shared" si="0"/>
        <v>#DIV/0!</v>
      </c>
      <c r="O18" s="201" t="e">
        <f t="shared" si="1"/>
        <v>#DIV/0!</v>
      </c>
      <c r="P18" s="201" t="e">
        <f t="shared" si="10"/>
        <v>#DIV/0!</v>
      </c>
      <c r="Q18" s="212" t="e">
        <f t="shared" si="2"/>
        <v>#DIV/0!</v>
      </c>
      <c r="R18" s="230" t="e">
        <f t="shared" si="3"/>
        <v>#DIV/0!</v>
      </c>
      <c r="S18" s="180"/>
      <c r="T18" s="246">
        <f t="shared" si="4"/>
        <v>-6.3477761540171054E-2</v>
      </c>
      <c r="U18" s="182" t="e">
        <f t="shared" si="5"/>
        <v>#DIV/0!</v>
      </c>
      <c r="V18" s="247" t="e">
        <f t="shared" si="14"/>
        <v>#DIV/0!</v>
      </c>
      <c r="W18" s="6"/>
      <c r="X18" s="140">
        <v>150</v>
      </c>
      <c r="Y18" s="140">
        <v>0.3</v>
      </c>
      <c r="Z18" s="188">
        <f t="shared" si="15"/>
        <v>0.53999999999999981</v>
      </c>
      <c r="AA18" s="129">
        <f t="shared" si="6"/>
        <v>7.7516718914684901E-6</v>
      </c>
      <c r="AB18" s="129">
        <f t="shared" si="7"/>
        <v>0</v>
      </c>
      <c r="AC18" s="189">
        <f t="shared" si="8"/>
        <v>6.6666666666666671E-3</v>
      </c>
      <c r="AD18" s="190">
        <f t="shared" si="11"/>
        <v>0</v>
      </c>
      <c r="AE18" s="191">
        <f t="shared" si="12"/>
        <v>7.7516718914684901E-6</v>
      </c>
    </row>
    <row r="19" spans="2:31" x14ac:dyDescent="0.25">
      <c r="B19" s="243">
        <f>Epoch_Times!B18</f>
        <v>44141.738888888889</v>
      </c>
      <c r="C19" s="31">
        <v>226</v>
      </c>
      <c r="D19" s="30">
        <f>rho!E21 * (1-tr_tax)</f>
        <v>30426839.013108499</v>
      </c>
      <c r="E19" s="30">
        <f t="shared" si="9"/>
        <v>32289255044.263489</v>
      </c>
      <c r="F19" s="30"/>
      <c r="G19" s="238"/>
      <c r="H19" s="224"/>
      <c r="I19" s="224">
        <f t="shared" si="13"/>
        <v>250000</v>
      </c>
      <c r="J19" s="236"/>
      <c r="K19" s="236">
        <v>340</v>
      </c>
      <c r="L19" s="237">
        <v>0.05</v>
      </c>
      <c r="N19" s="231" t="e">
        <f t="shared" si="0"/>
        <v>#DIV/0!</v>
      </c>
      <c r="O19" s="201" t="e">
        <f t="shared" si="1"/>
        <v>#DIV/0!</v>
      </c>
      <c r="P19" s="201" t="e">
        <f t="shared" si="10"/>
        <v>#DIV/0!</v>
      </c>
      <c r="Q19" s="212" t="e">
        <f t="shared" si="2"/>
        <v>#DIV/0!</v>
      </c>
      <c r="R19" s="230" t="e">
        <f t="shared" si="3"/>
        <v>#DIV/0!</v>
      </c>
      <c r="S19" s="180"/>
      <c r="T19" s="246">
        <f t="shared" si="4"/>
        <v>-6.3137875543612998E-2</v>
      </c>
      <c r="U19" s="182" t="e">
        <f t="shared" si="5"/>
        <v>#DIV/0!</v>
      </c>
      <c r="V19" s="247" t="e">
        <f t="shared" si="14"/>
        <v>#DIV/0!</v>
      </c>
      <c r="W19" s="6"/>
      <c r="X19" s="140">
        <v>150</v>
      </c>
      <c r="Y19" s="140">
        <v>0.3</v>
      </c>
      <c r="Z19" s="188">
        <f t="shared" si="15"/>
        <v>0.5199999999999998</v>
      </c>
      <c r="AA19" s="129">
        <f t="shared" si="6"/>
        <v>7.7425137141531863E-6</v>
      </c>
      <c r="AB19" s="129">
        <f t="shared" si="7"/>
        <v>0</v>
      </c>
      <c r="AC19" s="189">
        <f t="shared" si="8"/>
        <v>6.6666666666666671E-3</v>
      </c>
      <c r="AD19" s="190">
        <f t="shared" ref="AD19:AD22" si="16">MIN(AB19,AC19)</f>
        <v>0</v>
      </c>
      <c r="AE19" s="191">
        <f t="shared" ref="AE19:AE22" si="17">MIN(AA19,AC19)</f>
        <v>7.7425137141531863E-6</v>
      </c>
    </row>
    <row r="20" spans="2:31" x14ac:dyDescent="0.25">
      <c r="B20" s="243">
        <f>Epoch_Times!B19</f>
        <v>44146.738888888889</v>
      </c>
      <c r="C20" s="31">
        <v>227</v>
      </c>
      <c r="D20" s="30">
        <f>rho!E22 * (1-tr_tax)</f>
        <v>30335558.496069178</v>
      </c>
      <c r="E20" s="30">
        <f t="shared" si="9"/>
        <v>32327288593.029873</v>
      </c>
      <c r="F20" s="30"/>
      <c r="G20" s="238"/>
      <c r="H20" s="224"/>
      <c r="I20" s="224">
        <f t="shared" si="13"/>
        <v>250000</v>
      </c>
      <c r="J20" s="236"/>
      <c r="K20" s="236">
        <v>340</v>
      </c>
      <c r="L20" s="237">
        <v>0.05</v>
      </c>
      <c r="N20" s="231" t="e">
        <f t="shared" si="0"/>
        <v>#DIV/0!</v>
      </c>
      <c r="O20" s="201" t="e">
        <f t="shared" si="1"/>
        <v>#DIV/0!</v>
      </c>
      <c r="P20" s="201" t="e">
        <f t="shared" si="10"/>
        <v>#DIV/0!</v>
      </c>
      <c r="Q20" s="212" t="e">
        <f t="shared" si="2"/>
        <v>#DIV/0!</v>
      </c>
      <c r="R20" s="230" t="e">
        <f t="shared" si="3"/>
        <v>#DIV/0!</v>
      </c>
      <c r="S20" s="180"/>
      <c r="T20" s="246">
        <f t="shared" si="4"/>
        <v>-6.2800429395777402E-2</v>
      </c>
      <c r="U20" s="182" t="e">
        <f t="shared" si="5"/>
        <v>#DIV/0!</v>
      </c>
      <c r="V20" s="247" t="e">
        <f t="shared" si="14"/>
        <v>#DIV/0!</v>
      </c>
      <c r="W20" s="6"/>
      <c r="X20" s="140">
        <v>150</v>
      </c>
      <c r="Y20" s="140">
        <v>0.3</v>
      </c>
      <c r="Z20" s="188">
        <f t="shared" si="15"/>
        <v>0.49999999999999978</v>
      </c>
      <c r="AA20" s="129">
        <f t="shared" si="6"/>
        <v>7.7334045285165925E-6</v>
      </c>
      <c r="AB20" s="129">
        <f t="shared" si="7"/>
        <v>0</v>
      </c>
      <c r="AC20" s="189">
        <f t="shared" si="8"/>
        <v>6.6666666666666671E-3</v>
      </c>
      <c r="AD20" s="190">
        <f t="shared" si="16"/>
        <v>0</v>
      </c>
      <c r="AE20" s="191">
        <f t="shared" si="17"/>
        <v>7.7334045285165925E-6</v>
      </c>
    </row>
    <row r="21" spans="2:31" x14ac:dyDescent="0.25">
      <c r="B21" s="243">
        <f>Epoch_Times!B20</f>
        <v>44151.738888888889</v>
      </c>
      <c r="C21" s="31">
        <v>228</v>
      </c>
      <c r="D21" s="30">
        <f>rho!E23 * (1-tr_tax)</f>
        <v>30244551.820580967</v>
      </c>
      <c r="E21" s="30">
        <f t="shared" si="9"/>
        <v>32365208041.14996</v>
      </c>
      <c r="F21" s="30"/>
      <c r="G21" s="238"/>
      <c r="H21" s="224"/>
      <c r="I21" s="224">
        <f t="shared" si="13"/>
        <v>250000</v>
      </c>
      <c r="J21" s="236"/>
      <c r="K21" s="236">
        <v>340</v>
      </c>
      <c r="L21" s="237">
        <v>0.05</v>
      </c>
      <c r="N21" s="231" t="e">
        <f t="shared" si="0"/>
        <v>#DIV/0!</v>
      </c>
      <c r="O21" s="201" t="e">
        <f t="shared" si="1"/>
        <v>#DIV/0!</v>
      </c>
      <c r="P21" s="201" t="e">
        <f t="shared" si="10"/>
        <v>#DIV/0!</v>
      </c>
      <c r="Q21" s="212" t="e">
        <f t="shared" si="2"/>
        <v>#DIV/0!</v>
      </c>
      <c r="R21" s="230" t="e">
        <f t="shared" si="3"/>
        <v>#DIV/0!</v>
      </c>
      <c r="S21" s="180"/>
      <c r="T21" s="246">
        <f t="shared" si="4"/>
        <v>-6.2465400116160551E-2</v>
      </c>
      <c r="U21" s="182" t="e">
        <f t="shared" si="5"/>
        <v>#DIV/0!</v>
      </c>
      <c r="V21" s="247" t="e">
        <f t="shared" si="14"/>
        <v>#DIV/0!</v>
      </c>
      <c r="W21" s="6"/>
      <c r="X21" s="140">
        <v>150</v>
      </c>
      <c r="Y21" s="140">
        <v>0.3</v>
      </c>
      <c r="Z21" s="188">
        <v>0.5</v>
      </c>
      <c r="AA21" s="129">
        <f t="shared" si="6"/>
        <v>7.7243439832718991E-6</v>
      </c>
      <c r="AB21" s="129">
        <f t="shared" si="7"/>
        <v>0</v>
      </c>
      <c r="AC21" s="189">
        <f t="shared" si="8"/>
        <v>6.6666666666666671E-3</v>
      </c>
      <c r="AD21" s="190">
        <f t="shared" si="16"/>
        <v>0</v>
      </c>
      <c r="AE21" s="191">
        <f t="shared" si="17"/>
        <v>7.7243439832718991E-6</v>
      </c>
    </row>
    <row r="22" spans="2:31" x14ac:dyDescent="0.25">
      <c r="B22" s="243">
        <f>Epoch_Times!B21</f>
        <v>44156.738888888889</v>
      </c>
      <c r="C22" s="31">
        <v>229</v>
      </c>
      <c r="D22" s="30">
        <f>rho!E24 * (1-tr_tax)</f>
        <v>30153818.165119227</v>
      </c>
      <c r="E22" s="30">
        <f t="shared" si="9"/>
        <v>32403013730.925686</v>
      </c>
      <c r="F22" s="30"/>
      <c r="G22" s="238"/>
      <c r="H22" s="224"/>
      <c r="I22" s="224">
        <f t="shared" si="13"/>
        <v>250000</v>
      </c>
      <c r="J22" s="236"/>
      <c r="K22" s="236">
        <v>340</v>
      </c>
      <c r="L22" s="237">
        <v>0.05</v>
      </c>
      <c r="N22" s="231" t="e">
        <f t="shared" si="0"/>
        <v>#DIV/0!</v>
      </c>
      <c r="O22" s="201" t="e">
        <f t="shared" si="1"/>
        <v>#DIV/0!</v>
      </c>
      <c r="P22" s="201" t="e">
        <f t="shared" si="10"/>
        <v>#DIV/0!</v>
      </c>
      <c r="Q22" s="212" t="e">
        <f t="shared" si="2"/>
        <v>#DIV/0!</v>
      </c>
      <c r="R22" s="230" t="e">
        <f t="shared" si="3"/>
        <v>#DIV/0!</v>
      </c>
      <c r="S22" s="180"/>
      <c r="T22" s="246">
        <f t="shared" si="4"/>
        <v>-6.2132764994533414E-2</v>
      </c>
      <c r="U22" s="182" t="e">
        <f t="shared" si="5"/>
        <v>#DIV/0!</v>
      </c>
      <c r="V22" s="247" t="e">
        <f t="shared" si="14"/>
        <v>#DIV/0!</v>
      </c>
      <c r="W22" s="6"/>
      <c r="X22" s="140">
        <v>150</v>
      </c>
      <c r="Y22" s="140">
        <v>0.3</v>
      </c>
      <c r="Z22" s="188">
        <v>0.5</v>
      </c>
      <c r="AA22" s="129">
        <f t="shared" si="6"/>
        <v>7.7153317304371005E-6</v>
      </c>
      <c r="AB22" s="129">
        <f t="shared" si="7"/>
        <v>0</v>
      </c>
      <c r="AC22" s="189">
        <f t="shared" si="8"/>
        <v>6.6666666666666671E-3</v>
      </c>
      <c r="AD22" s="190">
        <f t="shared" si="16"/>
        <v>0</v>
      </c>
      <c r="AE22" s="191">
        <f t="shared" si="17"/>
        <v>7.7153317304371005E-6</v>
      </c>
    </row>
    <row r="23" spans="2:31" ht="15.75" thickBot="1" x14ac:dyDescent="0.3">
      <c r="B23" s="243">
        <f>Epoch_Times!B22</f>
        <v>44161.738888888889</v>
      </c>
      <c r="C23" s="31">
        <v>230</v>
      </c>
      <c r="D23" s="30">
        <f>rho!E25 * (1-tr_tax)</f>
        <v>30063356.71062386</v>
      </c>
      <c r="E23" s="30">
        <f t="shared" si="9"/>
        <v>32440706003.632084</v>
      </c>
      <c r="F23" s="30"/>
      <c r="G23" s="239"/>
      <c r="H23" s="240"/>
      <c r="I23" s="240">
        <f t="shared" si="13"/>
        <v>250000</v>
      </c>
      <c r="J23" s="241"/>
      <c r="K23" s="241">
        <v>340</v>
      </c>
      <c r="L23" s="242">
        <v>0.05</v>
      </c>
      <c r="N23" s="232" t="e">
        <f t="shared" si="0"/>
        <v>#DIV/0!</v>
      </c>
      <c r="O23" s="233" t="e">
        <f t="shared" si="1"/>
        <v>#DIV/0!</v>
      </c>
      <c r="P23" s="233" t="e">
        <f t="shared" si="10"/>
        <v>#DIV/0!</v>
      </c>
      <c r="Q23" s="234" t="e">
        <f t="shared" si="2"/>
        <v>#DIV/0!</v>
      </c>
      <c r="R23" s="235" t="e">
        <f t="shared" si="3"/>
        <v>#DIV/0!</v>
      </c>
      <c r="S23" s="180"/>
      <c r="T23" s="248">
        <f t="shared" si="4"/>
        <v>-6.1802501587133608E-2</v>
      </c>
      <c r="U23" s="249" t="e">
        <f>G23/H23 * 21600 * (1-#REF!)</f>
        <v>#DIV/0!</v>
      </c>
      <c r="V23" s="250" t="e">
        <f t="shared" si="14"/>
        <v>#DIV/0!</v>
      </c>
      <c r="W23" s="6"/>
      <c r="X23" s="140">
        <v>150</v>
      </c>
      <c r="Y23" s="140">
        <v>0.3</v>
      </c>
      <c r="Z23" s="192">
        <v>0.5</v>
      </c>
      <c r="AA23" s="193">
        <f t="shared" si="6"/>
        <v>7.7063674252961637E-6</v>
      </c>
      <c r="AB23" s="193">
        <f t="shared" si="7"/>
        <v>0</v>
      </c>
      <c r="AC23" s="194">
        <f t="shared" si="8"/>
        <v>6.6666666666666671E-3</v>
      </c>
      <c r="AD23" s="195">
        <f t="shared" ref="AD23" si="18">MIN(AB23,AC23)</f>
        <v>0</v>
      </c>
      <c r="AE23" s="196">
        <f t="shared" ref="AE23" si="19">MIN(AA23,AC23)</f>
        <v>7.7063674252961637E-6</v>
      </c>
    </row>
    <row r="24" spans="2:31" x14ac:dyDescent="0.25">
      <c r="C24" s="6"/>
      <c r="D24" s="121"/>
      <c r="W24" s="6"/>
      <c r="X24" s="6"/>
    </row>
    <row r="25" spans="2:31" ht="15.75" thickBot="1" x14ac:dyDescent="0.3">
      <c r="C25" s="19" t="s">
        <v>109</v>
      </c>
      <c r="D25" s="144"/>
      <c r="W25" s="6"/>
      <c r="X25" s="6"/>
    </row>
    <row r="26" spans="2:31" x14ac:dyDescent="0.25">
      <c r="C26" s="6" t="s">
        <v>99</v>
      </c>
      <c r="D26" s="198">
        <f>H10</f>
        <v>14770000000</v>
      </c>
    </row>
    <row r="27" spans="2:31" x14ac:dyDescent="0.25">
      <c r="C27" s="6" t="s">
        <v>93</v>
      </c>
      <c r="D27" s="199">
        <f>G10</f>
        <v>23990000</v>
      </c>
    </row>
    <row r="28" spans="2:31" ht="15.75" thickBot="1" x14ac:dyDescent="0.3">
      <c r="C28" s="6" t="s">
        <v>108</v>
      </c>
      <c r="D28" s="200">
        <v>0.7</v>
      </c>
    </row>
    <row r="29" spans="2:31" x14ac:dyDescent="0.25">
      <c r="C29" s="6"/>
      <c r="D29" s="31"/>
    </row>
    <row r="30" spans="2:31" x14ac:dyDescent="0.25">
      <c r="C30" s="6"/>
      <c r="D30" s="73"/>
    </row>
    <row r="31" spans="2:31" x14ac:dyDescent="0.25">
      <c r="C31" s="6" t="s">
        <v>117</v>
      </c>
      <c r="D31" s="30">
        <v>432000</v>
      </c>
      <c r="E31" s="132"/>
      <c r="F31" s="132"/>
      <c r="G31" s="132"/>
      <c r="H31" s="132"/>
      <c r="I31" s="133"/>
      <c r="J31" s="133"/>
      <c r="K31" s="133"/>
      <c r="L31" s="133"/>
      <c r="N31" s="133"/>
      <c r="T31" s="133"/>
    </row>
    <row r="32" spans="2:31" x14ac:dyDescent="0.25">
      <c r="C32" s="6" t="s">
        <v>118</v>
      </c>
      <c r="D32" s="123">
        <f>(D27/D26) *0.05 * 0.985 *(1-D28)</f>
        <v>2.3998121191604613E-5</v>
      </c>
      <c r="E32" s="133"/>
      <c r="F32" s="133"/>
      <c r="G32" s="106"/>
      <c r="H32" s="133"/>
      <c r="I32" s="133"/>
      <c r="J32" s="133"/>
      <c r="K32" s="133"/>
      <c r="L32" s="133"/>
      <c r="N32" s="133"/>
      <c r="T32" s="133"/>
    </row>
    <row r="33" spans="3:20" x14ac:dyDescent="0.25">
      <c r="C33" s="6" t="s">
        <v>88</v>
      </c>
      <c r="D33" s="24">
        <f>D31*D32*(1-D32)</f>
        <v>10.366939561730639</v>
      </c>
      <c r="E33" s="133"/>
      <c r="F33" s="133"/>
      <c r="G33" s="107"/>
      <c r="H33" s="141"/>
      <c r="I33" s="133"/>
      <c r="J33" s="133"/>
      <c r="K33" s="133"/>
      <c r="L33" s="133"/>
      <c r="N33" s="133"/>
      <c r="T33" s="133"/>
    </row>
    <row r="34" spans="3:20" x14ac:dyDescent="0.25">
      <c r="C34" s="6" t="s">
        <v>91</v>
      </c>
      <c r="D34" s="24">
        <f>SQRT(D33)</f>
        <v>3.2197732158850316</v>
      </c>
      <c r="E34" s="133"/>
      <c r="F34" s="133"/>
      <c r="G34" s="139"/>
      <c r="H34" s="133"/>
      <c r="I34" s="133"/>
      <c r="J34" s="133"/>
      <c r="K34" s="133"/>
      <c r="L34" s="133"/>
      <c r="N34" s="133"/>
      <c r="T34" s="133"/>
    </row>
    <row r="35" spans="3:20" x14ac:dyDescent="0.25">
      <c r="C35" s="6" t="s">
        <v>92</v>
      </c>
      <c r="D35" s="24">
        <f>D34*3</f>
        <v>9.6593196476550958</v>
      </c>
      <c r="E35" s="134"/>
      <c r="F35" s="134"/>
      <c r="G35" s="133"/>
      <c r="H35" s="133"/>
      <c r="I35" s="133"/>
      <c r="J35" s="133"/>
      <c r="K35" s="133"/>
      <c r="L35" s="133"/>
      <c r="N35" s="133"/>
      <c r="T35" s="133"/>
    </row>
    <row r="36" spans="3:20" x14ac:dyDescent="0.25">
      <c r="C36" s="6"/>
      <c r="D36" s="31"/>
      <c r="E36" s="133"/>
      <c r="F36" s="133"/>
      <c r="G36" s="133"/>
      <c r="H36" s="133"/>
      <c r="I36" s="133"/>
      <c r="J36" s="133"/>
      <c r="K36" s="133"/>
      <c r="L36" s="133"/>
      <c r="N36" s="133"/>
      <c r="T36" s="133"/>
    </row>
    <row r="37" spans="3:20" x14ac:dyDescent="0.25">
      <c r="C37" s="3" t="s">
        <v>89</v>
      </c>
      <c r="D37" s="3" t="s">
        <v>90</v>
      </c>
      <c r="E37" s="134"/>
      <c r="F37" s="134"/>
      <c r="G37" s="133"/>
      <c r="H37" s="133"/>
      <c r="I37" s="133"/>
      <c r="J37" s="133"/>
      <c r="K37" s="133"/>
      <c r="L37" s="133"/>
      <c r="N37" s="133"/>
      <c r="T37" s="133"/>
    </row>
    <row r="38" spans="3:20" x14ac:dyDescent="0.25">
      <c r="C38" s="31">
        <v>0</v>
      </c>
      <c r="D38" s="4">
        <f>_xlfn.BINOM.DIST(C38,$D$31,$D$32,FALSE)</f>
        <v>3.1443673573608636E-5</v>
      </c>
      <c r="E38" s="133"/>
      <c r="F38" s="133"/>
      <c r="G38" s="133"/>
      <c r="H38" s="133"/>
      <c r="I38" s="133"/>
      <c r="J38" s="133"/>
      <c r="K38" s="133"/>
      <c r="L38" s="133"/>
      <c r="N38" s="133"/>
      <c r="T38" s="133"/>
    </row>
    <row r="39" spans="3:20" x14ac:dyDescent="0.25">
      <c r="C39" s="31">
        <v>1</v>
      </c>
      <c r="D39" s="4">
        <f t="shared" ref="D39:D98" si="20">_xlfn.BINOM.DIST(C39,$D$31,$D$32,FALSE)</f>
        <v>3.2599030965856448E-4</v>
      </c>
      <c r="E39" s="22"/>
      <c r="F39" s="22"/>
      <c r="G39" s="133"/>
      <c r="H39" s="133"/>
      <c r="I39" s="133"/>
      <c r="J39" s="133"/>
      <c r="K39" s="133"/>
      <c r="L39" s="133"/>
      <c r="N39" s="133"/>
      <c r="T39" s="133"/>
    </row>
    <row r="40" spans="3:20" x14ac:dyDescent="0.25">
      <c r="C40" s="31">
        <v>2</v>
      </c>
      <c r="D40" s="4">
        <f t="shared" si="20"/>
        <v>1.6898381123929248E-3</v>
      </c>
      <c r="E40" s="133"/>
      <c r="F40" s="133"/>
      <c r="G40" s="135"/>
      <c r="H40" s="133"/>
      <c r="I40" s="133"/>
      <c r="J40" s="133"/>
      <c r="K40" s="133"/>
      <c r="L40" s="133"/>
      <c r="N40" s="133"/>
      <c r="T40" s="133"/>
    </row>
    <row r="41" spans="3:20" x14ac:dyDescent="0.25">
      <c r="C41" s="31">
        <v>3</v>
      </c>
      <c r="D41" s="4">
        <f t="shared" si="20"/>
        <v>5.8397364408269E-3</v>
      </c>
      <c r="E41" s="133"/>
      <c r="F41" s="133"/>
      <c r="G41" s="136"/>
      <c r="H41" s="133"/>
      <c r="I41" s="133"/>
      <c r="J41" s="133"/>
      <c r="K41" s="133"/>
      <c r="L41" s="133"/>
      <c r="N41" s="133"/>
      <c r="T41" s="133"/>
    </row>
    <row r="42" spans="3:20" x14ac:dyDescent="0.25">
      <c r="C42" s="31">
        <v>4</v>
      </c>
      <c r="D42" s="4">
        <f t="shared" si="20"/>
        <v>1.5135670026687802E-2</v>
      </c>
      <c r="E42" s="133"/>
      <c r="F42" s="133"/>
      <c r="G42" s="136"/>
      <c r="H42" s="133"/>
      <c r="I42" s="133"/>
      <c r="J42" s="133"/>
      <c r="K42" s="133"/>
      <c r="L42" s="133"/>
      <c r="N42" s="133"/>
      <c r="T42" s="133"/>
    </row>
    <row r="43" spans="3:20" x14ac:dyDescent="0.25">
      <c r="C43" s="31">
        <v>5</v>
      </c>
      <c r="D43" s="4">
        <f t="shared" si="20"/>
        <v>3.1383330967338523E-2</v>
      </c>
      <c r="E43" s="133"/>
      <c r="F43" s="133"/>
      <c r="G43" s="136"/>
      <c r="H43" s="133"/>
      <c r="I43" s="133"/>
      <c r="J43" s="133"/>
      <c r="K43" s="133"/>
      <c r="L43" s="133"/>
      <c r="N43" s="133"/>
      <c r="T43" s="133"/>
    </row>
    <row r="44" spans="3:20" x14ac:dyDescent="0.25">
      <c r="C44" s="31">
        <v>6</v>
      </c>
      <c r="D44" s="4">
        <f t="shared" si="20"/>
        <v>5.4226824280848511E-2</v>
      </c>
      <c r="E44" s="133"/>
      <c r="F44" s="133"/>
      <c r="G44" s="136"/>
      <c r="H44" s="133"/>
      <c r="I44" s="133"/>
      <c r="J44" s="133"/>
      <c r="K44" s="133"/>
      <c r="L44" s="133"/>
      <c r="N44" s="133"/>
      <c r="T44" s="133"/>
    </row>
    <row r="45" spans="3:20" x14ac:dyDescent="0.25">
      <c r="C45" s="31">
        <v>7</v>
      </c>
      <c r="D45" s="4">
        <f t="shared" si="20"/>
        <v>8.0312197791761311E-2</v>
      </c>
      <c r="E45" s="133"/>
      <c r="F45" s="133"/>
      <c r="G45" s="137"/>
      <c r="H45" s="133"/>
      <c r="I45" s="133"/>
      <c r="J45" s="133"/>
      <c r="K45" s="133"/>
      <c r="L45" s="133"/>
      <c r="N45" s="133"/>
      <c r="T45" s="133"/>
    </row>
    <row r="46" spans="3:20" x14ac:dyDescent="0.25">
      <c r="C46" s="31">
        <v>8</v>
      </c>
      <c r="D46" s="4">
        <f t="shared" si="20"/>
        <v>0.1040772714464733</v>
      </c>
      <c r="E46" s="133"/>
      <c r="F46" s="133"/>
      <c r="G46" s="136"/>
      <c r="H46" s="133"/>
      <c r="I46" s="133"/>
      <c r="J46" s="133"/>
      <c r="K46" s="133"/>
      <c r="L46" s="133"/>
      <c r="N46" s="133"/>
      <c r="T46" s="133"/>
    </row>
    <row r="47" spans="3:20" x14ac:dyDescent="0.25">
      <c r="C47" s="31">
        <v>9</v>
      </c>
      <c r="D47" s="4">
        <f t="shared" si="20"/>
        <v>0.11988828767861924</v>
      </c>
      <c r="E47" s="132"/>
      <c r="F47" s="132"/>
      <c r="G47" s="138"/>
      <c r="H47" s="133"/>
      <c r="I47" s="133"/>
      <c r="J47" s="133"/>
      <c r="K47" s="133"/>
      <c r="L47" s="133"/>
      <c r="N47" s="133"/>
      <c r="T47" s="133"/>
    </row>
    <row r="48" spans="3:20" x14ac:dyDescent="0.25">
      <c r="C48" s="31">
        <v>10</v>
      </c>
      <c r="D48" s="4">
        <f t="shared" si="20"/>
        <v>0.12429083935188236</v>
      </c>
      <c r="E48" s="22"/>
      <c r="F48" s="22"/>
      <c r="G48" s="133"/>
      <c r="H48" s="133"/>
      <c r="I48" s="133"/>
      <c r="J48" s="133"/>
      <c r="K48" s="133"/>
      <c r="L48" s="133"/>
      <c r="N48" s="133"/>
      <c r="T48" s="133"/>
    </row>
    <row r="49" spans="3:4" x14ac:dyDescent="0.25">
      <c r="C49" s="31">
        <v>11</v>
      </c>
      <c r="D49" s="4">
        <f t="shared" si="20"/>
        <v>0.11714069432635733</v>
      </c>
    </row>
    <row r="50" spans="3:4" x14ac:dyDescent="0.25">
      <c r="C50" s="31">
        <v>12</v>
      </c>
      <c r="D50" s="4">
        <f t="shared" si="20"/>
        <v>0.1012014885929122</v>
      </c>
    </row>
    <row r="51" spans="3:4" x14ac:dyDescent="0.25">
      <c r="C51" s="31">
        <v>13</v>
      </c>
      <c r="D51" s="4">
        <f t="shared" si="20"/>
        <v>8.0705456031552728E-2</v>
      </c>
    </row>
    <row r="52" spans="3:4" x14ac:dyDescent="0.25">
      <c r="C52" s="31">
        <v>14</v>
      </c>
      <c r="D52" s="4">
        <f t="shared" si="20"/>
        <v>5.9763111759961844E-2</v>
      </c>
    </row>
    <row r="53" spans="3:4" x14ac:dyDescent="0.25">
      <c r="C53" s="31">
        <v>15</v>
      </c>
      <c r="D53" s="4">
        <f t="shared" si="20"/>
        <v>4.1304681731378121E-2</v>
      </c>
    </row>
    <row r="54" spans="3:4" x14ac:dyDescent="0.25">
      <c r="C54" s="31">
        <v>16</v>
      </c>
      <c r="D54" s="4">
        <f t="shared" si="20"/>
        <v>2.6763051445563731E-2</v>
      </c>
    </row>
    <row r="55" spans="3:4" x14ac:dyDescent="0.25">
      <c r="C55" s="31">
        <v>17</v>
      </c>
      <c r="D55" s="4">
        <f t="shared" si="20"/>
        <v>1.6320822203034546E-2</v>
      </c>
    </row>
    <row r="56" spans="3:4" x14ac:dyDescent="0.25">
      <c r="C56" s="31">
        <v>18</v>
      </c>
      <c r="D56" s="4">
        <f t="shared" si="20"/>
        <v>9.3999133307841494E-3</v>
      </c>
    </row>
    <row r="57" spans="3:4" x14ac:dyDescent="0.25">
      <c r="C57" s="31">
        <v>19</v>
      </c>
      <c r="D57" s="4">
        <f t="shared" si="20"/>
        <v>5.1288921139911311E-3</v>
      </c>
    </row>
    <row r="58" spans="3:4" x14ac:dyDescent="0.25">
      <c r="C58" s="31">
        <v>20</v>
      </c>
      <c r="D58" s="4">
        <f t="shared" si="20"/>
        <v>2.6585564006257334E-3</v>
      </c>
    </row>
    <row r="59" spans="3:4" x14ac:dyDescent="0.25">
      <c r="C59" s="31">
        <v>21</v>
      </c>
      <c r="D59" s="4">
        <f t="shared" si="20"/>
        <v>1.3124352554994081E-3</v>
      </c>
    </row>
    <row r="60" spans="3:4" x14ac:dyDescent="0.25">
      <c r="C60" s="31">
        <v>22</v>
      </c>
      <c r="D60" s="4">
        <f t="shared" si="20"/>
        <v>6.184512999247284E-4</v>
      </c>
    </row>
    <row r="61" spans="3:4" x14ac:dyDescent="0.25">
      <c r="C61" s="31">
        <v>23</v>
      </c>
      <c r="D61" s="4">
        <f t="shared" si="20"/>
        <v>2.7875775913424941E-4</v>
      </c>
    </row>
    <row r="62" spans="3:4" x14ac:dyDescent="0.25">
      <c r="C62" s="31">
        <v>24</v>
      </c>
      <c r="D62" s="4">
        <f t="shared" si="20"/>
        <v>1.2041040345937464E-4</v>
      </c>
    </row>
    <row r="63" spans="3:4" x14ac:dyDescent="0.25">
      <c r="C63" s="31">
        <v>25</v>
      </c>
      <c r="D63" s="4">
        <f t="shared" si="20"/>
        <v>4.9931117515995524E-5</v>
      </c>
    </row>
    <row r="64" spans="3:4" x14ac:dyDescent="0.25">
      <c r="C64" s="31">
        <v>26</v>
      </c>
      <c r="D64" s="4">
        <f t="shared" si="20"/>
        <v>1.9908760223894747E-5</v>
      </c>
    </row>
    <row r="65" spans="3:4" x14ac:dyDescent="0.25">
      <c r="C65" s="31">
        <v>27</v>
      </c>
      <c r="D65" s="4">
        <f t="shared" si="20"/>
        <v>7.6440888162615285E-6</v>
      </c>
    </row>
    <row r="66" spans="3:4" x14ac:dyDescent="0.25">
      <c r="C66" s="31">
        <v>28</v>
      </c>
      <c r="D66" s="4">
        <f t="shared" si="20"/>
        <v>2.8301663321394202E-6</v>
      </c>
    </row>
    <row r="67" spans="3:4" x14ac:dyDescent="0.25">
      <c r="C67" s="31">
        <v>29</v>
      </c>
      <c r="D67" s="4">
        <f t="shared" si="20"/>
        <v>1.0117127522306533E-6</v>
      </c>
    </row>
    <row r="68" spans="3:4" x14ac:dyDescent="0.25">
      <c r="C68" s="31">
        <v>30</v>
      </c>
      <c r="D68" s="4">
        <f t="shared" si="20"/>
        <v>3.4960547541954348E-7</v>
      </c>
    </row>
    <row r="69" spans="3:4" x14ac:dyDescent="0.25">
      <c r="C69" s="31">
        <v>31</v>
      </c>
      <c r="D69" s="4">
        <f t="shared" si="20"/>
        <v>1.1691164815336514E-7</v>
      </c>
    </row>
    <row r="70" spans="3:4" x14ac:dyDescent="0.25">
      <c r="C70" s="31">
        <v>32</v>
      </c>
      <c r="D70" s="4">
        <f t="shared" si="20"/>
        <v>3.787459960098067E-8</v>
      </c>
    </row>
    <row r="71" spans="3:4" x14ac:dyDescent="0.25">
      <c r="C71" s="31">
        <v>33</v>
      </c>
      <c r="D71" s="4">
        <f t="shared" si="20"/>
        <v>1.1897983181047843E-8</v>
      </c>
    </row>
    <row r="72" spans="3:4" x14ac:dyDescent="0.25">
      <c r="C72" s="31">
        <v>34</v>
      </c>
      <c r="D72" s="4">
        <f t="shared" si="20"/>
        <v>3.6277108880940842E-9</v>
      </c>
    </row>
    <row r="73" spans="3:4" x14ac:dyDescent="0.25">
      <c r="C73" s="31">
        <v>35</v>
      </c>
      <c r="D73" s="4">
        <f t="shared" si="20"/>
        <v>1.0744887026582339E-9</v>
      </c>
    </row>
    <row r="74" spans="3:4" x14ac:dyDescent="0.25">
      <c r="C74" s="31">
        <v>36</v>
      </c>
      <c r="D74" s="4">
        <f t="shared" si="20"/>
        <v>3.0941087710417159E-10</v>
      </c>
    </row>
    <row r="75" spans="3:4" x14ac:dyDescent="0.25">
      <c r="C75" s="31">
        <v>37</v>
      </c>
      <c r="D75" s="4">
        <f t="shared" si="20"/>
        <v>8.6690013691627541E-11</v>
      </c>
    </row>
    <row r="76" spans="3:4" x14ac:dyDescent="0.25">
      <c r="C76" s="31">
        <v>38</v>
      </c>
      <c r="D76" s="4">
        <f t="shared" si="20"/>
        <v>2.3649376111992389E-11</v>
      </c>
    </row>
    <row r="77" spans="3:4" x14ac:dyDescent="0.25">
      <c r="C77" s="31">
        <v>39</v>
      </c>
      <c r="D77" s="4">
        <f t="shared" si="20"/>
        <v>6.2862013719794438E-12</v>
      </c>
    </row>
    <row r="78" spans="3:4" x14ac:dyDescent="0.25">
      <c r="C78" s="31">
        <v>40</v>
      </c>
      <c r="D78" s="4">
        <f t="shared" si="20"/>
        <v>1.629147852374415E-12</v>
      </c>
    </row>
    <row r="79" spans="3:4" x14ac:dyDescent="0.25">
      <c r="C79" s="31">
        <v>41</v>
      </c>
      <c r="D79" s="4">
        <f t="shared" si="20"/>
        <v>4.1191522138252218E-13</v>
      </c>
    </row>
    <row r="80" spans="3:4" x14ac:dyDescent="0.25">
      <c r="C80" s="31">
        <v>42</v>
      </c>
      <c r="D80" s="4">
        <f t="shared" si="20"/>
        <v>1.0166904447136324E-13</v>
      </c>
    </row>
    <row r="81" spans="3:4" x14ac:dyDescent="0.25">
      <c r="C81" s="31">
        <v>43</v>
      </c>
      <c r="D81" s="4">
        <f t="shared" si="20"/>
        <v>2.4510347725790787E-14</v>
      </c>
    </row>
    <row r="82" spans="3:4" x14ac:dyDescent="0.25">
      <c r="C82" s="31">
        <v>44</v>
      </c>
      <c r="D82" s="4">
        <f t="shared" si="20"/>
        <v>5.7746408263388202E-15</v>
      </c>
    </row>
    <row r="83" spans="3:4" x14ac:dyDescent="0.25">
      <c r="C83" s="31">
        <v>45</v>
      </c>
      <c r="D83" s="4">
        <f t="shared" si="20"/>
        <v>1.3302695147352659E-15</v>
      </c>
    </row>
    <row r="84" spans="3:4" x14ac:dyDescent="0.25">
      <c r="C84" s="31">
        <v>46</v>
      </c>
      <c r="D84" s="4">
        <f t="shared" si="20"/>
        <v>2.9978367344637586E-16</v>
      </c>
    </row>
    <row r="85" spans="3:4" x14ac:dyDescent="0.25">
      <c r="C85" s="31">
        <v>47</v>
      </c>
      <c r="D85" s="4">
        <f t="shared" si="20"/>
        <v>6.6120371297402279E-17</v>
      </c>
    </row>
    <row r="86" spans="3:4" x14ac:dyDescent="0.25">
      <c r="C86" s="31">
        <v>48</v>
      </c>
      <c r="D86" s="4">
        <f t="shared" si="20"/>
        <v>1.4279671130852737E-17</v>
      </c>
    </row>
    <row r="87" spans="3:4" x14ac:dyDescent="0.25">
      <c r="C87" s="31">
        <v>49</v>
      </c>
      <c r="D87" s="4">
        <f t="shared" si="20"/>
        <v>3.020962117096813E-18</v>
      </c>
    </row>
    <row r="88" spans="3:4" x14ac:dyDescent="0.25">
      <c r="C88" s="31">
        <v>50</v>
      </c>
      <c r="D88" s="4">
        <f t="shared" si="20"/>
        <v>6.2632164868764922E-19</v>
      </c>
    </row>
    <row r="89" spans="3:4" x14ac:dyDescent="0.25">
      <c r="C89" s="31">
        <v>51</v>
      </c>
      <c r="D89" s="4">
        <f t="shared" si="20"/>
        <v>1.2730585854212025E-19</v>
      </c>
    </row>
    <row r="90" spans="3:4" x14ac:dyDescent="0.25">
      <c r="C90" s="31">
        <v>52</v>
      </c>
      <c r="D90" s="4">
        <f t="shared" si="20"/>
        <v>2.5378455266009639E-20</v>
      </c>
    </row>
    <row r="91" spans="3:4" x14ac:dyDescent="0.25">
      <c r="C91" s="31">
        <v>53</v>
      </c>
      <c r="D91" s="4">
        <f t="shared" si="20"/>
        <v>4.963733385618018E-21</v>
      </c>
    </row>
    <row r="92" spans="3:4" x14ac:dyDescent="0.25">
      <c r="C92" s="31">
        <v>54</v>
      </c>
      <c r="D92" s="4">
        <f t="shared" si="20"/>
        <v>9.5286815550814303E-22</v>
      </c>
    </row>
    <row r="93" spans="3:4" x14ac:dyDescent="0.25">
      <c r="C93" s="31">
        <v>55</v>
      </c>
      <c r="D93" s="4">
        <f t="shared" si="20"/>
        <v>1.7959210669064181E-22</v>
      </c>
    </row>
    <row r="94" spans="3:4" x14ac:dyDescent="0.25">
      <c r="C94" s="31">
        <v>56</v>
      </c>
      <c r="D94" s="4">
        <f t="shared" si="20"/>
        <v>3.3244157691425998E-23</v>
      </c>
    </row>
    <row r="95" spans="3:4" x14ac:dyDescent="0.25">
      <c r="C95" s="31">
        <v>57</v>
      </c>
      <c r="D95" s="4">
        <f t="shared" si="20"/>
        <v>6.0458252258603227E-24</v>
      </c>
    </row>
    <row r="96" spans="3:4" x14ac:dyDescent="0.25">
      <c r="C96" s="31">
        <v>58</v>
      </c>
      <c r="D96" s="4">
        <f t="shared" si="20"/>
        <v>1.080542117792466E-24</v>
      </c>
    </row>
    <row r="97" spans="2:20" x14ac:dyDescent="0.25">
      <c r="C97" s="31">
        <v>59</v>
      </c>
      <c r="D97" s="4">
        <f t="shared" si="20"/>
        <v>1.8984658415692296E-25</v>
      </c>
    </row>
    <row r="98" spans="2:20" x14ac:dyDescent="0.25">
      <c r="C98" s="31">
        <v>60</v>
      </c>
      <c r="D98" s="4">
        <f t="shared" si="20"/>
        <v>3.2799228698972069E-26</v>
      </c>
    </row>
    <row r="99" spans="2:20" x14ac:dyDescent="0.25">
      <c r="C99" s="6"/>
      <c r="D99" s="31"/>
    </row>
    <row r="100" spans="2:20" x14ac:dyDescent="0.25">
      <c r="C100" s="6"/>
      <c r="D100" s="31"/>
    </row>
    <row r="101" spans="2:20" x14ac:dyDescent="0.25">
      <c r="B101" s="304"/>
      <c r="C101" s="304"/>
      <c r="D101" s="305"/>
      <c r="E101" s="306"/>
      <c r="F101" s="306"/>
      <c r="G101" s="306"/>
      <c r="H101" s="306"/>
      <c r="I101" s="306"/>
      <c r="J101" s="306"/>
      <c r="K101" s="306"/>
      <c r="L101" s="306"/>
      <c r="M101" s="304"/>
      <c r="N101" s="306"/>
      <c r="O101" s="306"/>
      <c r="P101" s="306"/>
      <c r="Q101" s="306"/>
      <c r="R101" s="306"/>
      <c r="S101" s="306"/>
      <c r="T101" s="306"/>
    </row>
    <row r="102" spans="2:20" x14ac:dyDescent="0.25">
      <c r="B102" s="304"/>
      <c r="C102" s="304"/>
      <c r="D102" s="305"/>
      <c r="E102" s="306"/>
      <c r="F102" s="306"/>
      <c r="G102" s="306"/>
      <c r="H102" s="306"/>
      <c r="I102" s="306"/>
      <c r="J102" s="306"/>
      <c r="K102" s="306"/>
      <c r="L102" s="306"/>
      <c r="M102" s="304"/>
      <c r="N102" s="306"/>
      <c r="O102" s="306"/>
      <c r="P102" s="306"/>
      <c r="Q102" s="306"/>
      <c r="R102" s="306"/>
      <c r="S102" s="306"/>
      <c r="T102" s="306"/>
    </row>
    <row r="103" spans="2:20" x14ac:dyDescent="0.25">
      <c r="B103" s="304"/>
      <c r="C103" s="304"/>
      <c r="D103" s="307"/>
      <c r="E103" s="306"/>
      <c r="F103" s="306"/>
      <c r="G103" s="306"/>
      <c r="H103" s="306"/>
      <c r="I103" s="306"/>
      <c r="J103" s="306"/>
      <c r="K103" s="306"/>
      <c r="L103" s="306"/>
      <c r="M103" s="304"/>
      <c r="N103" s="306"/>
      <c r="O103" s="306"/>
      <c r="P103" s="306"/>
      <c r="Q103" s="306"/>
      <c r="R103" s="306"/>
      <c r="S103" s="306"/>
      <c r="T103" s="306"/>
    </row>
    <row r="104" spans="2:20" x14ac:dyDescent="0.25">
      <c r="B104" s="304"/>
      <c r="C104" s="304"/>
      <c r="D104" s="306"/>
      <c r="E104" s="306"/>
      <c r="F104" s="306"/>
      <c r="G104" s="306"/>
      <c r="H104" s="306"/>
      <c r="I104" s="306"/>
      <c r="J104" s="306"/>
      <c r="K104" s="306"/>
      <c r="L104" s="306"/>
      <c r="M104" s="304"/>
      <c r="N104" s="306"/>
      <c r="O104" s="306"/>
      <c r="P104" s="306"/>
      <c r="Q104" s="306"/>
      <c r="R104" s="306"/>
      <c r="S104" s="306"/>
      <c r="T104" s="306"/>
    </row>
    <row r="105" spans="2:20" x14ac:dyDescent="0.25">
      <c r="B105" s="304"/>
      <c r="C105" s="308"/>
      <c r="D105" s="306"/>
      <c r="E105" s="306"/>
      <c r="F105" s="306"/>
      <c r="G105" s="306"/>
      <c r="H105" s="306"/>
      <c r="I105" s="306"/>
      <c r="J105" s="306"/>
      <c r="K105" s="306"/>
      <c r="L105" s="306"/>
      <c r="M105" s="304"/>
      <c r="N105" s="306"/>
      <c r="O105" s="306"/>
      <c r="P105" s="306"/>
      <c r="Q105" s="306"/>
      <c r="R105" s="306"/>
      <c r="S105" s="306"/>
      <c r="T105" s="306"/>
    </row>
    <row r="106" spans="2:20" x14ac:dyDescent="0.25">
      <c r="B106" s="304"/>
      <c r="C106" s="304"/>
      <c r="D106" s="306"/>
      <c r="E106" s="306"/>
      <c r="F106" s="306"/>
      <c r="G106" s="306"/>
      <c r="H106" s="306"/>
      <c r="I106" s="306"/>
      <c r="J106" s="306"/>
      <c r="K106" s="306"/>
      <c r="L106" s="306"/>
      <c r="M106" s="304"/>
      <c r="N106" s="306"/>
      <c r="O106" s="306"/>
      <c r="P106" s="306"/>
      <c r="Q106" s="306"/>
      <c r="R106" s="306"/>
      <c r="S106" s="306"/>
      <c r="T106" s="306"/>
    </row>
    <row r="107" spans="2:20" x14ac:dyDescent="0.25">
      <c r="B107" s="304"/>
      <c r="C107" s="304"/>
      <c r="D107" s="306"/>
      <c r="E107" s="309"/>
      <c r="F107" s="309"/>
      <c r="G107" s="306"/>
      <c r="H107" s="306"/>
      <c r="I107" s="306"/>
      <c r="J107" s="306"/>
      <c r="K107" s="306"/>
      <c r="L107" s="306"/>
      <c r="M107" s="304"/>
      <c r="N107" s="306"/>
      <c r="O107" s="306"/>
      <c r="P107" s="306"/>
      <c r="Q107" s="306"/>
      <c r="R107" s="306"/>
      <c r="S107" s="306"/>
      <c r="T107" s="306"/>
    </row>
    <row r="108" spans="2:20" x14ac:dyDescent="0.25">
      <c r="B108" s="304"/>
      <c r="C108" s="308"/>
      <c r="D108" s="310"/>
      <c r="E108" s="306"/>
      <c r="F108" s="306"/>
      <c r="G108" s="306"/>
      <c r="H108" s="306"/>
      <c r="I108" s="306"/>
      <c r="J108" s="306"/>
      <c r="K108" s="306"/>
      <c r="L108" s="306"/>
      <c r="M108" s="304"/>
      <c r="N108" s="306"/>
      <c r="O108" s="306"/>
      <c r="P108" s="306"/>
      <c r="Q108" s="306"/>
      <c r="R108" s="306"/>
      <c r="S108" s="306"/>
      <c r="T108" s="306"/>
    </row>
    <row r="109" spans="2:20" x14ac:dyDescent="0.25">
      <c r="B109" s="304"/>
      <c r="C109" s="304"/>
      <c r="D109" s="306"/>
      <c r="E109" s="306"/>
      <c r="F109" s="306"/>
      <c r="G109" s="306"/>
      <c r="H109" s="306"/>
      <c r="I109" s="306"/>
      <c r="J109" s="306"/>
      <c r="K109" s="306"/>
      <c r="L109" s="306"/>
      <c r="M109" s="304"/>
      <c r="N109" s="306"/>
      <c r="O109" s="306"/>
      <c r="P109" s="306"/>
      <c r="Q109" s="306"/>
      <c r="R109" s="306"/>
      <c r="S109" s="306"/>
      <c r="T109" s="306"/>
    </row>
    <row r="110" spans="2:20" x14ac:dyDescent="0.25">
      <c r="B110" s="304"/>
      <c r="C110" s="304"/>
      <c r="D110" s="306"/>
      <c r="E110" s="306"/>
      <c r="F110" s="306"/>
      <c r="G110" s="306"/>
      <c r="H110" s="306"/>
      <c r="I110" s="306"/>
      <c r="J110" s="306"/>
      <c r="K110" s="306"/>
      <c r="L110" s="306"/>
      <c r="M110" s="304"/>
      <c r="N110" s="306"/>
      <c r="O110" s="306"/>
      <c r="P110" s="306"/>
      <c r="Q110" s="306"/>
      <c r="R110" s="306"/>
      <c r="S110" s="306"/>
      <c r="T110" s="306"/>
    </row>
    <row r="111" spans="2:20" x14ac:dyDescent="0.25">
      <c r="B111" s="304"/>
      <c r="C111" s="308"/>
      <c r="D111" s="306"/>
      <c r="E111" s="306"/>
      <c r="F111" s="306"/>
      <c r="G111" s="306"/>
      <c r="H111" s="306"/>
      <c r="I111" s="306"/>
      <c r="J111" s="306"/>
      <c r="K111" s="306"/>
      <c r="L111" s="306"/>
      <c r="M111" s="304"/>
      <c r="N111" s="306"/>
      <c r="O111" s="306"/>
      <c r="P111" s="306"/>
      <c r="Q111" s="306"/>
      <c r="R111" s="306"/>
      <c r="S111" s="306"/>
      <c r="T111" s="306"/>
    </row>
    <row r="112" spans="2:20" x14ac:dyDescent="0.25">
      <c r="B112" s="304"/>
      <c r="C112" s="304"/>
      <c r="D112" s="306"/>
      <c r="E112" s="306"/>
      <c r="F112" s="306"/>
      <c r="G112" s="306"/>
      <c r="H112" s="306"/>
      <c r="I112" s="306"/>
      <c r="J112" s="306"/>
      <c r="K112" s="306"/>
      <c r="L112" s="306"/>
      <c r="M112" s="304"/>
      <c r="N112" s="306"/>
      <c r="O112" s="306"/>
      <c r="P112" s="306"/>
      <c r="Q112" s="306"/>
      <c r="R112" s="306"/>
      <c r="S112" s="306"/>
      <c r="T112" s="306"/>
    </row>
    <row r="113" spans="1:20" x14ac:dyDescent="0.25">
      <c r="B113" s="304"/>
      <c r="C113" s="304"/>
      <c r="D113" s="311"/>
      <c r="E113" s="309"/>
      <c r="F113" s="309"/>
      <c r="G113" s="306"/>
      <c r="H113" s="306"/>
      <c r="I113" s="306"/>
      <c r="J113" s="306"/>
      <c r="K113" s="306"/>
      <c r="L113" s="306"/>
      <c r="M113" s="304"/>
      <c r="N113" s="306"/>
      <c r="O113" s="306"/>
      <c r="P113" s="306"/>
      <c r="Q113" s="306"/>
      <c r="R113" s="306"/>
      <c r="S113" s="306"/>
      <c r="T113" s="306"/>
    </row>
    <row r="114" spans="1:20" x14ac:dyDescent="0.25">
      <c r="B114" s="304"/>
      <c r="C114" s="304"/>
      <c r="D114" s="312"/>
      <c r="E114" s="306"/>
      <c r="F114" s="306"/>
      <c r="G114" s="306"/>
      <c r="H114" s="306"/>
      <c r="I114" s="306"/>
      <c r="J114" s="306"/>
      <c r="K114" s="306"/>
      <c r="L114" s="306"/>
      <c r="M114" s="304"/>
      <c r="N114" s="306"/>
      <c r="O114" s="306"/>
      <c r="P114" s="306"/>
      <c r="Q114" s="306"/>
      <c r="R114" s="306"/>
      <c r="S114" s="306"/>
      <c r="T114" s="306"/>
    </row>
    <row r="115" spans="1:20" x14ac:dyDescent="0.25">
      <c r="B115" s="304"/>
      <c r="C115" s="304"/>
      <c r="D115" s="306"/>
      <c r="E115" s="306"/>
      <c r="F115" s="306"/>
      <c r="G115" s="306"/>
      <c r="H115" s="306"/>
      <c r="I115" s="306"/>
      <c r="J115" s="306"/>
      <c r="K115" s="306"/>
      <c r="L115" s="306"/>
      <c r="M115" s="304"/>
      <c r="N115" s="306"/>
      <c r="O115" s="306"/>
      <c r="P115" s="306"/>
      <c r="Q115" s="306"/>
      <c r="R115" s="306"/>
      <c r="S115" s="306"/>
      <c r="T115" s="306"/>
    </row>
    <row r="116" spans="1:20" x14ac:dyDescent="0.25">
      <c r="B116" s="304"/>
      <c r="C116" s="304"/>
      <c r="D116" s="306"/>
      <c r="E116" s="304"/>
      <c r="F116" s="304"/>
      <c r="G116" s="306"/>
      <c r="H116" s="306"/>
      <c r="I116" s="306"/>
      <c r="J116" s="306"/>
      <c r="K116" s="306"/>
      <c r="L116" s="306"/>
      <c r="M116" s="304"/>
      <c r="N116" s="306"/>
      <c r="O116" s="306"/>
      <c r="P116" s="306"/>
      <c r="Q116" s="306"/>
      <c r="R116" s="306"/>
      <c r="S116" s="306"/>
      <c r="T116" s="306"/>
    </row>
    <row r="117" spans="1:20" x14ac:dyDescent="0.25">
      <c r="B117" s="304"/>
      <c r="C117" s="304"/>
      <c r="D117" s="306"/>
      <c r="E117" s="304"/>
      <c r="F117" s="304"/>
      <c r="G117" s="306"/>
      <c r="H117" s="306"/>
      <c r="I117" s="306"/>
      <c r="J117" s="306"/>
      <c r="K117" s="306"/>
      <c r="L117" s="306"/>
      <c r="M117" s="304"/>
      <c r="N117" s="306"/>
      <c r="O117" s="306"/>
      <c r="P117" s="306"/>
      <c r="Q117" s="306"/>
      <c r="R117" s="306"/>
      <c r="S117" s="306"/>
      <c r="T117" s="306"/>
    </row>
    <row r="118" spans="1:20" x14ac:dyDescent="0.25">
      <c r="B118" s="304"/>
      <c r="C118" s="313"/>
      <c r="D118" s="313"/>
      <c r="E118" s="304"/>
      <c r="F118" s="304"/>
      <c r="G118" s="306"/>
      <c r="H118" s="306"/>
      <c r="I118" s="306"/>
      <c r="J118" s="306"/>
      <c r="K118" s="306"/>
      <c r="L118" s="306"/>
      <c r="M118" s="304"/>
      <c r="N118" s="306"/>
      <c r="O118" s="306"/>
      <c r="P118" s="306"/>
      <c r="Q118" s="306"/>
      <c r="R118" s="306"/>
      <c r="S118" s="306"/>
      <c r="T118" s="306"/>
    </row>
    <row r="119" spans="1:20" x14ac:dyDescent="0.25">
      <c r="B119" s="304"/>
      <c r="C119" s="306"/>
      <c r="D119" s="314"/>
      <c r="E119" s="304"/>
      <c r="F119" s="304"/>
      <c r="G119" s="306"/>
      <c r="H119" s="306"/>
      <c r="I119" s="306"/>
      <c r="J119" s="306"/>
      <c r="K119" s="306"/>
      <c r="L119" s="306"/>
      <c r="M119" s="304"/>
      <c r="N119" s="306"/>
      <c r="O119" s="306"/>
      <c r="P119" s="306"/>
      <c r="Q119" s="306"/>
      <c r="R119" s="306"/>
      <c r="S119" s="306"/>
      <c r="T119" s="306"/>
    </row>
    <row r="120" spans="1:20" x14ac:dyDescent="0.25">
      <c r="A120" s="208" t="s">
        <v>119</v>
      </c>
      <c r="B120" s="307"/>
      <c r="C120" s="306"/>
      <c r="D120" s="306"/>
      <c r="E120" s="304"/>
      <c r="F120" s="304"/>
      <c r="G120" s="306"/>
      <c r="H120" s="306"/>
      <c r="I120" s="306"/>
      <c r="J120" s="306"/>
      <c r="K120" s="306"/>
      <c r="L120" s="306"/>
      <c r="M120" s="304"/>
      <c r="N120" s="306"/>
      <c r="O120" s="306"/>
      <c r="P120" s="306"/>
      <c r="Q120" s="306"/>
      <c r="R120" s="306"/>
      <c r="S120" s="306"/>
      <c r="T120" s="306"/>
    </row>
    <row r="121" spans="1:20" x14ac:dyDescent="0.25">
      <c r="A121" s="209">
        <f t="shared" ref="A121:A140" si="21">$D$101+(C121/86400)</f>
        <v>0</v>
      </c>
      <c r="B121" s="305"/>
      <c r="C121" s="306"/>
      <c r="D121" s="306"/>
      <c r="E121" s="304"/>
      <c r="F121" s="304"/>
      <c r="G121" s="306"/>
      <c r="H121" s="306"/>
      <c r="I121" s="306"/>
      <c r="J121" s="306"/>
      <c r="K121" s="306"/>
      <c r="L121" s="306"/>
      <c r="M121" s="304"/>
      <c r="N121" s="306"/>
      <c r="O121" s="306"/>
      <c r="P121" s="306"/>
      <c r="Q121" s="306"/>
      <c r="R121" s="306"/>
      <c r="S121" s="306"/>
      <c r="T121" s="306"/>
    </row>
    <row r="122" spans="1:20" x14ac:dyDescent="0.25">
      <c r="A122" s="209">
        <f t="shared" si="21"/>
        <v>0</v>
      </c>
      <c r="B122" s="305"/>
      <c r="C122" s="306"/>
      <c r="D122" s="306"/>
      <c r="E122" s="304"/>
      <c r="F122" s="304"/>
      <c r="G122" s="306"/>
      <c r="H122" s="306"/>
      <c r="I122" s="306"/>
      <c r="J122" s="306"/>
      <c r="K122" s="306"/>
      <c r="L122" s="306"/>
      <c r="M122" s="304"/>
      <c r="N122" s="306"/>
      <c r="O122" s="306"/>
      <c r="P122" s="306"/>
      <c r="Q122" s="306"/>
      <c r="R122" s="306"/>
      <c r="S122" s="306"/>
      <c r="T122" s="306"/>
    </row>
    <row r="123" spans="1:20" x14ac:dyDescent="0.25">
      <c r="A123" s="209">
        <f t="shared" si="21"/>
        <v>0</v>
      </c>
      <c r="B123" s="305"/>
      <c r="C123" s="306"/>
      <c r="D123" s="306"/>
      <c r="E123" s="304"/>
      <c r="F123" s="304"/>
      <c r="G123" s="306"/>
      <c r="H123" s="306"/>
      <c r="I123" s="306"/>
      <c r="J123" s="306"/>
      <c r="K123" s="306"/>
      <c r="L123" s="306"/>
      <c r="M123" s="304"/>
      <c r="N123" s="306"/>
      <c r="O123" s="306"/>
      <c r="P123" s="306"/>
      <c r="Q123" s="306"/>
      <c r="R123" s="306"/>
      <c r="S123" s="306"/>
      <c r="T123" s="306"/>
    </row>
    <row r="124" spans="1:20" x14ac:dyDescent="0.25">
      <c r="A124" s="209">
        <f t="shared" si="21"/>
        <v>0</v>
      </c>
      <c r="B124" s="305"/>
      <c r="C124" s="306"/>
      <c r="D124" s="306"/>
      <c r="E124" s="304"/>
      <c r="F124" s="304"/>
      <c r="G124" s="306"/>
      <c r="H124" s="306"/>
      <c r="I124" s="306"/>
      <c r="J124" s="306"/>
      <c r="K124" s="306"/>
      <c r="L124" s="306"/>
      <c r="M124" s="304"/>
      <c r="N124" s="306"/>
      <c r="O124" s="306"/>
      <c r="P124" s="306"/>
      <c r="Q124" s="306"/>
      <c r="R124" s="306"/>
      <c r="S124" s="306"/>
      <c r="T124" s="306"/>
    </row>
    <row r="125" spans="1:20" x14ac:dyDescent="0.25">
      <c r="A125" s="209">
        <f t="shared" si="21"/>
        <v>0</v>
      </c>
      <c r="B125" s="305"/>
      <c r="C125" s="306"/>
      <c r="D125" s="306"/>
      <c r="E125" s="304"/>
      <c r="F125" s="304"/>
      <c r="G125" s="306"/>
      <c r="H125" s="306"/>
      <c r="I125" s="306"/>
      <c r="J125" s="306"/>
      <c r="K125" s="306"/>
      <c r="L125" s="306"/>
      <c r="M125" s="304"/>
      <c r="N125" s="306"/>
      <c r="O125" s="306"/>
      <c r="P125" s="306"/>
      <c r="Q125" s="306"/>
      <c r="R125" s="306"/>
      <c r="S125" s="306"/>
      <c r="T125" s="306"/>
    </row>
    <row r="126" spans="1:20" x14ac:dyDescent="0.25">
      <c r="A126" s="209">
        <f t="shared" si="21"/>
        <v>0</v>
      </c>
      <c r="B126" s="305"/>
      <c r="C126" s="306"/>
      <c r="D126" s="306"/>
      <c r="E126" s="304"/>
      <c r="F126" s="304"/>
      <c r="G126" s="306"/>
      <c r="H126" s="306"/>
      <c r="I126" s="306"/>
      <c r="J126" s="306"/>
      <c r="K126" s="306"/>
      <c r="L126" s="306"/>
      <c r="M126" s="304"/>
      <c r="N126" s="306"/>
      <c r="O126" s="306"/>
      <c r="P126" s="306"/>
      <c r="Q126" s="306"/>
      <c r="R126" s="306"/>
      <c r="S126" s="306"/>
      <c r="T126" s="306"/>
    </row>
    <row r="127" spans="1:20" x14ac:dyDescent="0.25">
      <c r="A127" s="209">
        <f t="shared" si="21"/>
        <v>0</v>
      </c>
      <c r="B127" s="305"/>
      <c r="C127" s="306"/>
      <c r="D127" s="306"/>
      <c r="E127" s="304"/>
      <c r="F127" s="304"/>
      <c r="G127" s="306"/>
      <c r="H127" s="306"/>
      <c r="I127" s="306"/>
      <c r="J127" s="306"/>
      <c r="K127" s="306"/>
      <c r="L127" s="306"/>
      <c r="M127" s="304"/>
      <c r="N127" s="306"/>
      <c r="O127" s="306"/>
      <c r="P127" s="306"/>
      <c r="Q127" s="306"/>
      <c r="R127" s="306"/>
      <c r="S127" s="306"/>
      <c r="T127" s="306"/>
    </row>
    <row r="128" spans="1:20" x14ac:dyDescent="0.25">
      <c r="A128" s="209">
        <f t="shared" si="21"/>
        <v>0</v>
      </c>
      <c r="B128" s="305"/>
      <c r="C128" s="306"/>
      <c r="D128" s="306"/>
      <c r="E128" s="304"/>
      <c r="F128" s="304"/>
      <c r="G128" s="306"/>
      <c r="H128" s="306"/>
      <c r="I128" s="306"/>
      <c r="J128" s="306"/>
      <c r="K128" s="306"/>
      <c r="L128" s="306"/>
      <c r="M128" s="304"/>
      <c r="N128" s="306"/>
      <c r="O128" s="306"/>
      <c r="P128" s="306"/>
      <c r="Q128" s="306"/>
      <c r="R128" s="306"/>
      <c r="S128" s="306"/>
      <c r="T128" s="306"/>
    </row>
    <row r="129" spans="1:20" x14ac:dyDescent="0.25">
      <c r="A129" s="209">
        <f t="shared" si="21"/>
        <v>0</v>
      </c>
      <c r="B129" s="305"/>
      <c r="C129" s="306"/>
      <c r="D129" s="306"/>
      <c r="E129" s="304"/>
      <c r="F129" s="304"/>
      <c r="G129" s="306"/>
      <c r="H129" s="306"/>
      <c r="I129" s="306"/>
      <c r="J129" s="306"/>
      <c r="K129" s="306"/>
      <c r="L129" s="306"/>
      <c r="M129" s="304"/>
      <c r="N129" s="306"/>
      <c r="O129" s="306"/>
      <c r="P129" s="306"/>
      <c r="Q129" s="306"/>
      <c r="R129" s="306"/>
      <c r="S129" s="306"/>
      <c r="T129" s="306"/>
    </row>
    <row r="130" spans="1:20" x14ac:dyDescent="0.25">
      <c r="A130" s="209">
        <f t="shared" si="21"/>
        <v>0</v>
      </c>
      <c r="B130" s="305"/>
      <c r="C130" s="306"/>
      <c r="D130" s="306"/>
      <c r="E130" s="304"/>
      <c r="F130" s="304"/>
      <c r="G130" s="306"/>
      <c r="H130" s="306"/>
      <c r="I130" s="306"/>
      <c r="J130" s="306"/>
      <c r="K130" s="306"/>
      <c r="L130" s="306"/>
      <c r="M130" s="304"/>
      <c r="N130" s="306"/>
      <c r="O130" s="306"/>
      <c r="P130" s="306"/>
      <c r="Q130" s="306"/>
      <c r="R130" s="306"/>
      <c r="S130" s="306"/>
      <c r="T130" s="306"/>
    </row>
    <row r="131" spans="1:20" x14ac:dyDescent="0.25">
      <c r="A131" s="209">
        <f t="shared" si="21"/>
        <v>0</v>
      </c>
      <c r="B131" s="305"/>
      <c r="C131" s="306"/>
      <c r="D131" s="306"/>
      <c r="E131" s="304"/>
      <c r="F131" s="304"/>
      <c r="G131" s="306"/>
      <c r="H131" s="306"/>
      <c r="I131" s="306"/>
      <c r="J131" s="306"/>
      <c r="K131" s="306"/>
      <c r="L131" s="306"/>
      <c r="M131" s="304"/>
      <c r="N131" s="306"/>
      <c r="O131" s="306"/>
      <c r="P131" s="306"/>
      <c r="Q131" s="306"/>
      <c r="R131" s="306"/>
      <c r="S131" s="306"/>
      <c r="T131" s="306"/>
    </row>
    <row r="132" spans="1:20" x14ac:dyDescent="0.25">
      <c r="A132" s="209">
        <f t="shared" si="21"/>
        <v>0</v>
      </c>
      <c r="B132" s="305"/>
      <c r="C132" s="306"/>
      <c r="D132" s="306"/>
      <c r="E132" s="304"/>
      <c r="F132" s="304"/>
      <c r="G132" s="306"/>
      <c r="H132" s="306"/>
      <c r="I132" s="306"/>
      <c r="J132" s="306"/>
      <c r="K132" s="306"/>
      <c r="L132" s="306"/>
      <c r="M132" s="304"/>
      <c r="N132" s="306"/>
      <c r="O132" s="306"/>
      <c r="P132" s="306"/>
      <c r="Q132" s="306"/>
      <c r="R132" s="306"/>
      <c r="S132" s="306"/>
      <c r="T132" s="306"/>
    </row>
    <row r="133" spans="1:20" x14ac:dyDescent="0.25">
      <c r="A133" s="209">
        <f t="shared" si="21"/>
        <v>0</v>
      </c>
      <c r="B133" s="305"/>
      <c r="C133" s="306"/>
      <c r="D133" s="306"/>
      <c r="E133" s="304"/>
      <c r="F133" s="304"/>
      <c r="G133" s="306"/>
      <c r="H133" s="306"/>
      <c r="I133" s="306"/>
      <c r="J133" s="306"/>
      <c r="K133" s="306"/>
      <c r="L133" s="306"/>
      <c r="M133" s="304"/>
      <c r="N133" s="306"/>
      <c r="O133" s="306"/>
      <c r="P133" s="306"/>
      <c r="Q133" s="306"/>
      <c r="R133" s="306"/>
      <c r="S133" s="306"/>
      <c r="T133" s="306"/>
    </row>
    <row r="134" spans="1:20" x14ac:dyDescent="0.25">
      <c r="A134" s="209">
        <f t="shared" si="21"/>
        <v>0</v>
      </c>
      <c r="B134" s="305"/>
      <c r="C134" s="306"/>
      <c r="D134" s="306"/>
      <c r="E134" s="304"/>
      <c r="F134" s="304"/>
      <c r="G134" s="306"/>
      <c r="H134" s="306"/>
      <c r="I134" s="306"/>
      <c r="J134" s="306"/>
      <c r="K134" s="306"/>
      <c r="L134" s="306"/>
      <c r="M134" s="304"/>
      <c r="N134" s="306"/>
      <c r="O134" s="306"/>
      <c r="P134" s="306"/>
      <c r="Q134" s="306"/>
      <c r="R134" s="306"/>
      <c r="S134" s="306"/>
      <c r="T134" s="306"/>
    </row>
    <row r="135" spans="1:20" x14ac:dyDescent="0.25">
      <c r="A135" s="209">
        <f t="shared" si="21"/>
        <v>0</v>
      </c>
      <c r="B135" s="305"/>
      <c r="C135" s="306"/>
      <c r="D135" s="306"/>
      <c r="E135" s="304"/>
      <c r="F135" s="304"/>
      <c r="G135" s="306"/>
      <c r="H135" s="306"/>
      <c r="I135" s="306"/>
      <c r="J135" s="306"/>
      <c r="K135" s="306"/>
      <c r="L135" s="306"/>
      <c r="M135" s="304"/>
      <c r="N135" s="306"/>
      <c r="O135" s="306"/>
      <c r="P135" s="306"/>
      <c r="Q135" s="306"/>
      <c r="R135" s="306"/>
      <c r="S135" s="306"/>
      <c r="T135" s="306"/>
    </row>
    <row r="136" spans="1:20" x14ac:dyDescent="0.25">
      <c r="A136" s="209">
        <f t="shared" si="21"/>
        <v>0</v>
      </c>
      <c r="B136" s="305"/>
      <c r="C136" s="306"/>
      <c r="D136" s="306"/>
      <c r="E136" s="304"/>
      <c r="F136" s="304"/>
      <c r="G136" s="306"/>
      <c r="H136" s="306"/>
      <c r="I136" s="306"/>
      <c r="J136" s="306"/>
      <c r="K136" s="306"/>
      <c r="L136" s="306"/>
      <c r="M136" s="304"/>
      <c r="N136" s="306"/>
      <c r="O136" s="306"/>
      <c r="P136" s="306"/>
      <c r="Q136" s="306"/>
      <c r="R136" s="306"/>
      <c r="S136" s="306"/>
      <c r="T136" s="306"/>
    </row>
    <row r="137" spans="1:20" x14ac:dyDescent="0.25">
      <c r="A137" s="209">
        <f t="shared" si="21"/>
        <v>0</v>
      </c>
      <c r="B137" s="305"/>
      <c r="C137" s="306"/>
      <c r="D137" s="306"/>
      <c r="E137" s="304"/>
      <c r="F137" s="304"/>
      <c r="G137" s="306"/>
      <c r="H137" s="306"/>
      <c r="I137" s="306"/>
      <c r="J137" s="306"/>
      <c r="K137" s="306"/>
      <c r="L137" s="306"/>
      <c r="M137" s="304"/>
      <c r="N137" s="306"/>
      <c r="O137" s="306"/>
      <c r="P137" s="306"/>
      <c r="Q137" s="306"/>
      <c r="R137" s="306"/>
      <c r="S137" s="306"/>
      <c r="T137" s="306"/>
    </row>
    <row r="138" spans="1:20" x14ac:dyDescent="0.25">
      <c r="A138" s="209">
        <f t="shared" si="21"/>
        <v>0</v>
      </c>
      <c r="B138" s="305"/>
      <c r="C138" s="306"/>
      <c r="D138" s="306"/>
      <c r="E138" s="304"/>
      <c r="F138" s="304"/>
      <c r="G138" s="306"/>
      <c r="H138" s="306"/>
      <c r="I138" s="306"/>
      <c r="J138" s="306"/>
      <c r="K138" s="306"/>
      <c r="L138" s="306"/>
      <c r="M138" s="304"/>
      <c r="N138" s="306"/>
      <c r="O138" s="306"/>
      <c r="P138" s="306"/>
      <c r="Q138" s="306"/>
      <c r="R138" s="306"/>
      <c r="S138" s="306"/>
      <c r="T138" s="306"/>
    </row>
    <row r="139" spans="1:20" x14ac:dyDescent="0.25">
      <c r="A139" s="209">
        <f t="shared" si="21"/>
        <v>0</v>
      </c>
      <c r="B139" s="305"/>
      <c r="C139" s="306"/>
      <c r="D139" s="306"/>
      <c r="E139" s="304"/>
      <c r="F139" s="304"/>
      <c r="G139" s="306"/>
      <c r="H139" s="306"/>
      <c r="I139" s="306"/>
      <c r="J139" s="306"/>
      <c r="K139" s="306"/>
      <c r="L139" s="306"/>
      <c r="M139" s="304"/>
      <c r="N139" s="306"/>
      <c r="O139" s="306"/>
      <c r="P139" s="306"/>
      <c r="Q139" s="306"/>
      <c r="R139" s="306"/>
      <c r="S139" s="306"/>
      <c r="T139" s="306"/>
    </row>
    <row r="140" spans="1:20" x14ac:dyDescent="0.25">
      <c r="A140" s="209">
        <f t="shared" si="21"/>
        <v>0</v>
      </c>
      <c r="B140" s="305"/>
      <c r="C140" s="306"/>
      <c r="D140" s="306"/>
      <c r="E140" s="304"/>
      <c r="F140" s="304"/>
      <c r="G140" s="306"/>
      <c r="H140" s="306"/>
      <c r="I140" s="306"/>
      <c r="J140" s="306"/>
      <c r="K140" s="306"/>
      <c r="L140" s="306"/>
      <c r="M140" s="304"/>
      <c r="N140" s="306"/>
      <c r="O140" s="306"/>
      <c r="P140" s="306"/>
      <c r="Q140" s="306"/>
      <c r="R140" s="306"/>
      <c r="S140" s="306"/>
      <c r="T140" s="306"/>
    </row>
    <row r="141" spans="1:20" x14ac:dyDescent="0.25">
      <c r="B141" s="304"/>
      <c r="C141" s="304"/>
      <c r="D141" s="306"/>
      <c r="E141" s="304"/>
      <c r="F141" s="304"/>
      <c r="G141" s="306"/>
      <c r="H141" s="306"/>
      <c r="I141" s="306"/>
      <c r="J141" s="306"/>
      <c r="K141" s="306"/>
      <c r="L141" s="306"/>
      <c r="M141" s="304"/>
      <c r="N141" s="306"/>
      <c r="O141" s="306"/>
      <c r="P141" s="306"/>
      <c r="Q141" s="306"/>
      <c r="R141" s="306"/>
      <c r="S141" s="306"/>
      <c r="T141" s="306"/>
    </row>
    <row r="142" spans="1:20" x14ac:dyDescent="0.25">
      <c r="B142" s="304"/>
      <c r="C142" s="304"/>
      <c r="D142" s="306"/>
      <c r="E142" s="304"/>
      <c r="F142" s="304"/>
      <c r="G142" s="306"/>
      <c r="H142" s="306"/>
      <c r="I142" s="306"/>
      <c r="J142" s="306"/>
      <c r="K142" s="306"/>
      <c r="L142" s="306"/>
      <c r="M142" s="304"/>
      <c r="N142" s="306"/>
      <c r="O142" s="306"/>
      <c r="P142" s="306"/>
      <c r="Q142" s="306"/>
      <c r="R142" s="306"/>
      <c r="S142" s="306"/>
      <c r="T142" s="306"/>
    </row>
    <row r="143" spans="1:20" x14ac:dyDescent="0.25">
      <c r="B143" s="304"/>
      <c r="C143" s="304"/>
      <c r="D143" s="306"/>
      <c r="E143" s="304"/>
      <c r="F143" s="304"/>
      <c r="G143" s="306"/>
      <c r="H143" s="306"/>
      <c r="I143" s="306"/>
      <c r="J143" s="306"/>
      <c r="K143" s="306"/>
      <c r="L143" s="306"/>
      <c r="M143" s="304"/>
      <c r="N143" s="306"/>
      <c r="O143" s="306"/>
      <c r="P143" s="306"/>
      <c r="Q143" s="306"/>
      <c r="R143" s="306"/>
      <c r="S143" s="306"/>
      <c r="T143" s="306"/>
    </row>
    <row r="144" spans="1:20" x14ac:dyDescent="0.25">
      <c r="C144" s="6"/>
      <c r="D144" s="31"/>
    </row>
    <row r="145" spans="3:4" x14ac:dyDescent="0.25">
      <c r="C145" s="6"/>
      <c r="D145" s="31"/>
    </row>
    <row r="146" spans="3:4" x14ac:dyDescent="0.25">
      <c r="C146" s="6"/>
      <c r="D146" s="31"/>
    </row>
    <row r="147" spans="3:4" x14ac:dyDescent="0.25">
      <c r="C147" s="6"/>
      <c r="D147" s="31"/>
    </row>
    <row r="148" spans="3:4" x14ac:dyDescent="0.25">
      <c r="C148" s="6"/>
      <c r="D148" s="31"/>
    </row>
    <row r="149" spans="3:4" x14ac:dyDescent="0.25">
      <c r="C149" s="6"/>
      <c r="D149" s="31"/>
    </row>
    <row r="150" spans="3:4" x14ac:dyDescent="0.25">
      <c r="C150" s="6"/>
      <c r="D150" s="31"/>
    </row>
    <row r="151" spans="3:4" x14ac:dyDescent="0.25">
      <c r="C151" s="6"/>
      <c r="D151" s="31"/>
    </row>
    <row r="152" spans="3:4" x14ac:dyDescent="0.25">
      <c r="C152" s="6"/>
      <c r="D152" s="31"/>
    </row>
    <row r="153" spans="3:4" x14ac:dyDescent="0.25">
      <c r="C153" s="6"/>
      <c r="D153" s="31"/>
    </row>
    <row r="154" spans="3:4" x14ac:dyDescent="0.25">
      <c r="C154" s="6"/>
      <c r="D154" s="31"/>
    </row>
    <row r="155" spans="3:4" x14ac:dyDescent="0.25">
      <c r="C155" s="6"/>
      <c r="D155" s="31"/>
    </row>
    <row r="156" spans="3:4" x14ac:dyDescent="0.25">
      <c r="C156" s="6"/>
      <c r="D156" s="31"/>
    </row>
    <row r="157" spans="3:4" x14ac:dyDescent="0.25">
      <c r="C157" s="6"/>
      <c r="D157" s="31"/>
    </row>
    <row r="158" spans="3:4" x14ac:dyDescent="0.25">
      <c r="C158" s="6"/>
      <c r="D158" s="31"/>
    </row>
    <row r="159" spans="3:4" x14ac:dyDescent="0.25">
      <c r="C159" s="6"/>
      <c r="D159" s="31"/>
    </row>
    <row r="160" spans="3:4" x14ac:dyDescent="0.25">
      <c r="C160" s="6"/>
      <c r="D160" s="31"/>
    </row>
    <row r="161" spans="3:4" x14ac:dyDescent="0.25">
      <c r="C161" s="6"/>
      <c r="D161" s="31"/>
    </row>
    <row r="162" spans="3:4" x14ac:dyDescent="0.25">
      <c r="C162" s="6"/>
      <c r="D162" s="31"/>
    </row>
    <row r="163" spans="3:4" x14ac:dyDescent="0.25">
      <c r="C163" s="6"/>
      <c r="D163" s="31"/>
    </row>
    <row r="164" spans="3:4" x14ac:dyDescent="0.25">
      <c r="C164" s="6"/>
      <c r="D164" s="31"/>
    </row>
    <row r="165" spans="3:4" x14ac:dyDescent="0.25">
      <c r="C165" s="6"/>
      <c r="D165" s="31"/>
    </row>
    <row r="166" spans="3:4" x14ac:dyDescent="0.25">
      <c r="C166" s="6"/>
      <c r="D166" s="31"/>
    </row>
    <row r="167" spans="3:4" x14ac:dyDescent="0.25">
      <c r="C167" s="6"/>
      <c r="D167" s="31"/>
    </row>
    <row r="168" spans="3:4" x14ac:dyDescent="0.25">
      <c r="C168" s="6"/>
      <c r="D168" s="31"/>
    </row>
    <row r="169" spans="3:4" x14ac:dyDescent="0.25">
      <c r="C169" s="6"/>
      <c r="D169" s="31"/>
    </row>
    <row r="170" spans="3:4" x14ac:dyDescent="0.25">
      <c r="C170" s="6"/>
      <c r="D170" s="31"/>
    </row>
    <row r="171" spans="3:4" x14ac:dyDescent="0.25">
      <c r="C171" s="6"/>
      <c r="D171" s="31"/>
    </row>
    <row r="172" spans="3:4" x14ac:dyDescent="0.25">
      <c r="C172" s="6"/>
      <c r="D172" s="31"/>
    </row>
    <row r="173" spans="3:4" x14ac:dyDescent="0.25">
      <c r="C173" s="6"/>
      <c r="D173" s="31"/>
    </row>
    <row r="174" spans="3:4" x14ac:dyDescent="0.25">
      <c r="C174" s="6"/>
      <c r="D174" s="31"/>
    </row>
    <row r="175" spans="3:4" x14ac:dyDescent="0.25">
      <c r="C175" s="6"/>
      <c r="D175" s="31"/>
    </row>
    <row r="176" spans="3:4" x14ac:dyDescent="0.25">
      <c r="C176" s="6"/>
      <c r="D176" s="31"/>
    </row>
    <row r="177" spans="3:4" x14ac:dyDescent="0.25">
      <c r="C177" s="6"/>
      <c r="D177" s="31"/>
    </row>
    <row r="178" spans="3:4" x14ac:dyDescent="0.25">
      <c r="C178" s="6"/>
      <c r="D178" s="31"/>
    </row>
    <row r="179" spans="3:4" x14ac:dyDescent="0.25">
      <c r="C179" s="6"/>
      <c r="D179" s="31"/>
    </row>
  </sheetData>
  <mergeCells count="3">
    <mergeCell ref="G2:L2"/>
    <mergeCell ref="N2:R2"/>
    <mergeCell ref="T2:V2"/>
  </mergeCells>
  <phoneticPr fontId="9" type="noConversion"/>
  <pageMargins left="0.7" right="0.7" top="0.75" bottom="0.75" header="0.3" footer="0.3"/>
  <pageSetup orientation="portrait" r:id="rId1"/>
  <ignoredErrors>
    <ignoredError sqref="R6:R23 O6:O23" evalError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EE2EF-1690-475B-9243-7EF3739045FD}">
  <dimension ref="A1:AM150"/>
  <sheetViews>
    <sheetView zoomScale="81" zoomScaleNormal="81" workbookViewId="0">
      <selection activeCell="F119" sqref="F119"/>
    </sheetView>
  </sheetViews>
  <sheetFormatPr defaultRowHeight="15" x14ac:dyDescent="0.25"/>
  <cols>
    <col min="1" max="1" width="1.85546875" style="6" customWidth="1"/>
    <col min="2" max="2" width="10.85546875" style="6" customWidth="1"/>
    <col min="3" max="3" width="27.140625" bestFit="1" customWidth="1"/>
    <col min="4" max="4" width="20.28515625" style="1" bestFit="1" customWidth="1"/>
    <col min="5" max="5" width="20.7109375" style="6" bestFit="1" customWidth="1"/>
    <col min="6" max="6" width="10" style="6" bestFit="1" customWidth="1"/>
    <col min="7" max="7" width="14.7109375" style="31" bestFit="1" customWidth="1"/>
    <col min="8" max="8" width="16.140625" style="31" customWidth="1"/>
    <col min="9" max="9" width="8.140625" style="31" bestFit="1" customWidth="1"/>
    <col min="10" max="10" width="12.140625" style="31" bestFit="1" customWidth="1"/>
    <col min="11" max="12" width="12.140625" style="31" customWidth="1"/>
    <col min="13" max="13" width="4" style="22" customWidth="1"/>
    <col min="14" max="14" width="12.140625" style="31" customWidth="1"/>
    <col min="15" max="15" width="19.28515625" style="31" bestFit="1" customWidth="1"/>
    <col min="16" max="17" width="19.28515625" style="31" customWidth="1"/>
    <col min="18" max="18" width="10.5703125" style="31" bestFit="1" customWidth="1"/>
    <col min="19" max="19" width="2.28515625" style="31" customWidth="1"/>
    <col min="20" max="20" width="12.85546875" style="31" bestFit="1" customWidth="1"/>
    <col min="21" max="21" width="14.7109375" style="31" bestFit="1" customWidth="1"/>
    <col min="22" max="22" width="11.85546875" style="31" bestFit="1" customWidth="1"/>
    <col min="23" max="23" width="2.5703125" style="6" customWidth="1"/>
    <col min="24" max="24" width="9.140625" style="6"/>
    <col min="25" max="25" width="8.85546875" style="6"/>
    <col min="26" max="33" width="8.85546875" style="31"/>
    <col min="34" max="39" width="8.85546875" style="6"/>
  </cols>
  <sheetData>
    <row r="1" spans="1:39" s="6" customFormat="1" ht="15.75" thickBot="1" x14ac:dyDescent="0.3">
      <c r="D1" s="31"/>
      <c r="G1" s="31"/>
      <c r="H1" s="31"/>
      <c r="I1" s="31"/>
      <c r="J1" s="31"/>
      <c r="K1" s="31"/>
      <c r="L1" s="31"/>
      <c r="N1" s="31"/>
      <c r="O1" s="31"/>
      <c r="P1" s="31"/>
      <c r="Q1" s="31"/>
      <c r="R1" s="31"/>
      <c r="S1" s="31"/>
      <c r="T1" s="31"/>
      <c r="U1" s="31"/>
      <c r="V1" s="31"/>
      <c r="Z1" s="31"/>
      <c r="AA1" s="31"/>
      <c r="AB1" s="31"/>
      <c r="AC1" s="31"/>
      <c r="AD1" s="31"/>
      <c r="AE1" s="31"/>
      <c r="AF1" s="31"/>
      <c r="AG1" s="31"/>
    </row>
    <row r="2" spans="1:39" s="6" customFormat="1" x14ac:dyDescent="0.25">
      <c r="D2" s="31"/>
      <c r="G2" s="288" t="s">
        <v>128</v>
      </c>
      <c r="H2" s="289"/>
      <c r="I2" s="289"/>
      <c r="J2" s="289"/>
      <c r="K2" s="289"/>
      <c r="L2" s="290"/>
      <c r="N2" s="288" t="s">
        <v>129</v>
      </c>
      <c r="O2" s="289"/>
      <c r="P2" s="289"/>
      <c r="Q2" s="289"/>
      <c r="R2" s="290"/>
      <c r="S2" s="31"/>
      <c r="T2" s="288" t="s">
        <v>130</v>
      </c>
      <c r="U2" s="289"/>
      <c r="V2" s="290"/>
      <c r="Z2" s="31"/>
      <c r="AA2" s="31"/>
      <c r="AB2" s="31"/>
      <c r="AC2" s="31"/>
      <c r="AD2" s="31"/>
      <c r="AE2" s="31"/>
      <c r="AF2" s="31"/>
      <c r="AG2" s="31"/>
    </row>
    <row r="3" spans="1:39" s="104" customFormat="1" ht="15.75" thickBot="1" x14ac:dyDescent="0.3">
      <c r="A3" s="17"/>
      <c r="B3" s="17" t="s">
        <v>133</v>
      </c>
      <c r="C3" s="3" t="s">
        <v>55</v>
      </c>
      <c r="D3" s="142" t="s">
        <v>110</v>
      </c>
      <c r="E3" s="3" t="s">
        <v>104</v>
      </c>
      <c r="F3" s="3" t="s">
        <v>131</v>
      </c>
      <c r="G3" s="251" t="s">
        <v>102</v>
      </c>
      <c r="H3" s="252" t="s">
        <v>103</v>
      </c>
      <c r="I3" s="252" t="s">
        <v>46</v>
      </c>
      <c r="J3" s="252" t="s">
        <v>106</v>
      </c>
      <c r="K3" s="252" t="s">
        <v>113</v>
      </c>
      <c r="L3" s="253" t="s">
        <v>114</v>
      </c>
      <c r="M3" s="22"/>
      <c r="N3" s="225" t="s">
        <v>115</v>
      </c>
      <c r="O3" s="132" t="s">
        <v>116</v>
      </c>
      <c r="P3" s="132" t="s">
        <v>132</v>
      </c>
      <c r="Q3" s="132" t="s">
        <v>121</v>
      </c>
      <c r="R3" s="226" t="s">
        <v>95</v>
      </c>
      <c r="S3" s="3"/>
      <c r="T3" s="225" t="s">
        <v>111</v>
      </c>
      <c r="U3" s="132" t="s">
        <v>112</v>
      </c>
      <c r="V3" s="226" t="s">
        <v>107</v>
      </c>
      <c r="W3" s="17"/>
      <c r="X3" s="197" t="s">
        <v>0</v>
      </c>
      <c r="Y3" s="197" t="s">
        <v>105</v>
      </c>
      <c r="Z3" s="3" t="s">
        <v>108</v>
      </c>
      <c r="AA3" s="143" t="s">
        <v>3</v>
      </c>
      <c r="AB3" s="143" t="s">
        <v>5</v>
      </c>
      <c r="AC3" s="3" t="s">
        <v>38</v>
      </c>
      <c r="AD3" s="143" t="s">
        <v>6</v>
      </c>
      <c r="AE3" s="3" t="s">
        <v>9</v>
      </c>
      <c r="AI3" s="17"/>
      <c r="AJ3" s="17"/>
      <c r="AK3" s="17"/>
      <c r="AL3" s="17"/>
      <c r="AM3" s="17"/>
    </row>
    <row r="4" spans="1:39" ht="15.75" thickBot="1" x14ac:dyDescent="0.3">
      <c r="B4" s="243">
        <f>Epoch_Times!B3</f>
        <v>44066.738888888889</v>
      </c>
      <c r="C4" s="31">
        <v>211</v>
      </c>
      <c r="D4" s="30">
        <f>rho!E6 * (1-tr_tax)</f>
        <v>31829474.020034879</v>
      </c>
      <c r="E4" s="205">
        <v>31704823791.377499</v>
      </c>
      <c r="F4" s="224">
        <v>100000</v>
      </c>
      <c r="G4" s="223">
        <v>14182000</v>
      </c>
      <c r="H4" s="224">
        <f>SKY!H4</f>
        <v>10177000000</v>
      </c>
      <c r="I4" s="224">
        <v>150000</v>
      </c>
      <c r="J4" s="236">
        <v>1</v>
      </c>
      <c r="K4" s="236">
        <v>340</v>
      </c>
      <c r="L4" s="237">
        <v>0.03</v>
      </c>
      <c r="N4" s="227">
        <f t="shared" ref="N4:N23" si="0">V4*T4 *L4 +K4</f>
        <v>668.63290173856831</v>
      </c>
      <c r="O4" s="202">
        <f t="shared" ref="O4:O23" si="1">V4*T4-N4</f>
        <v>10285.797156213706</v>
      </c>
      <c r="P4" s="202">
        <f>F4/G4 *O4</f>
        <v>72.527127035775678</v>
      </c>
      <c r="Q4" s="211">
        <f t="shared" ref="Q4:Q23" si="2">(1+O4/G4)^(365/5) -1</f>
        <v>5.4351211485045958E-2</v>
      </c>
      <c r="R4" s="228">
        <f t="shared" ref="R4:R23" si="3">O4/J4</f>
        <v>10285.797156213706</v>
      </c>
      <c r="S4" s="180"/>
      <c r="T4" s="244">
        <f t="shared" ref="T4:T23" si="4">(((AD4-((1-AD4/AC4)*AE4))/AC4*AE4*Y4)+AD4) * D4/(1+Y4)</f>
        <v>10954.430057952275</v>
      </c>
      <c r="U4" s="181">
        <f t="shared" ref="U4:U22" si="5">G4/H4 * 21600 * (1-Z4)</f>
        <v>3.0100343912744418</v>
      </c>
      <c r="V4" s="245">
        <f>IF(Z4&gt;=0.8,1,J4/U4)</f>
        <v>1</v>
      </c>
      <c r="X4" s="266">
        <v>150</v>
      </c>
      <c r="Y4" s="140">
        <v>0.3</v>
      </c>
      <c r="Z4" s="183">
        <v>0.9</v>
      </c>
      <c r="AA4" s="184">
        <f t="shared" ref="AA4:AA23" si="6">I4/E4</f>
        <v>4.7311412606177069E-6</v>
      </c>
      <c r="AB4" s="184">
        <f t="shared" ref="AB4:AB23" si="7">G4/E4</f>
        <v>4.4731363572053542E-4</v>
      </c>
      <c r="AC4" s="185">
        <f t="shared" ref="AC4:AC23" si="8">1/X4</f>
        <v>6.6666666666666671E-3</v>
      </c>
      <c r="AD4" s="186">
        <f>MIN(AB4,AC4)</f>
        <v>4.4731363572053542E-4</v>
      </c>
      <c r="AE4" s="187">
        <f>MIN(AA4,AC4)</f>
        <v>4.7311412606177069E-6</v>
      </c>
    </row>
    <row r="5" spans="1:39" x14ac:dyDescent="0.25">
      <c r="B5" s="243">
        <f>Epoch_Times!B4</f>
        <v>44071.738888888889</v>
      </c>
      <c r="C5" s="31">
        <v>212</v>
      </c>
      <c r="D5" s="30">
        <f>rho!E7 * (1-tr_tax)</f>
        <v>31733985.597974777</v>
      </c>
      <c r="E5" s="30">
        <f t="shared" ref="E5:E23" si="9">E4+(D4/(1-tr_tax))</f>
        <v>31744610633.902542</v>
      </c>
      <c r="F5" s="224">
        <v>100000</v>
      </c>
      <c r="G5" s="223">
        <v>15531000</v>
      </c>
      <c r="H5" s="224">
        <f>SKY!H5</f>
        <v>12100000000</v>
      </c>
      <c r="I5" s="224">
        <f>I4</f>
        <v>150000</v>
      </c>
      <c r="J5" s="236">
        <v>5</v>
      </c>
      <c r="K5" s="236">
        <v>340</v>
      </c>
      <c r="L5" s="237">
        <f>L4</f>
        <v>0.03</v>
      </c>
      <c r="N5" s="229">
        <f t="shared" si="0"/>
        <v>698.36323449878671</v>
      </c>
      <c r="O5" s="201">
        <f t="shared" si="1"/>
        <v>11247.07791546077</v>
      </c>
      <c r="P5" s="201">
        <f t="shared" ref="P5:P23" si="10">F5/G5 *O5</f>
        <v>72.416959084803111</v>
      </c>
      <c r="Q5" s="212">
        <f t="shared" si="2"/>
        <v>5.4266482626694756E-2</v>
      </c>
      <c r="R5" s="230">
        <f t="shared" si="3"/>
        <v>2249.4155830921541</v>
      </c>
      <c r="S5" s="180"/>
      <c r="T5" s="246">
        <f t="shared" si="4"/>
        <v>11945.441149959557</v>
      </c>
      <c r="U5" s="182">
        <f t="shared" si="5"/>
        <v>5.5449520661157008</v>
      </c>
      <c r="V5" s="247">
        <f>IF(Z5&gt;=0.8,1,J5/U5)</f>
        <v>1</v>
      </c>
      <c r="X5" s="266">
        <v>150</v>
      </c>
      <c r="Y5" s="140">
        <v>0.3</v>
      </c>
      <c r="Z5" s="188">
        <v>0.8</v>
      </c>
      <c r="AA5" s="129">
        <f t="shared" si="6"/>
        <v>4.7252115242454201E-6</v>
      </c>
      <c r="AB5" s="129">
        <f t="shared" si="7"/>
        <v>4.892484012203708E-4</v>
      </c>
      <c r="AC5" s="189">
        <f t="shared" si="8"/>
        <v>6.6666666666666671E-3</v>
      </c>
      <c r="AD5" s="190">
        <f t="shared" ref="AD5:AD23" si="11">MIN(AB5,AC5)</f>
        <v>4.892484012203708E-4</v>
      </c>
      <c r="AE5" s="191">
        <f t="shared" ref="AE5:AE23" si="12">MIN(AA5,AC5)</f>
        <v>4.7252115242454201E-6</v>
      </c>
    </row>
    <row r="6" spans="1:39" x14ac:dyDescent="0.25">
      <c r="B6" s="243">
        <f>Epoch_Times!B5</f>
        <v>44076.738888888889</v>
      </c>
      <c r="C6" s="31">
        <v>213</v>
      </c>
      <c r="D6" s="30">
        <f>rho!E8 * (1-tr_tax)</f>
        <v>31638783.641180851</v>
      </c>
      <c r="E6" s="30">
        <f t="shared" si="9"/>
        <v>31784278115.900009</v>
      </c>
      <c r="F6" s="224">
        <v>100000</v>
      </c>
      <c r="G6" s="223">
        <v>15260000</v>
      </c>
      <c r="H6" s="224">
        <f>SKY!H6</f>
        <v>12760000000</v>
      </c>
      <c r="I6" s="224">
        <f>I5</f>
        <v>150000</v>
      </c>
      <c r="J6" s="236">
        <v>2</v>
      </c>
      <c r="K6" s="236">
        <v>340</v>
      </c>
      <c r="L6" s="237">
        <f t="shared" ref="L6:L23" si="13">L5</f>
        <v>0.03</v>
      </c>
      <c r="N6" s="229">
        <f t="shared" si="0"/>
        <v>463.39027914950498</v>
      </c>
      <c r="O6" s="201">
        <f t="shared" si="1"/>
        <v>3649.6190258339957</v>
      </c>
      <c r="P6" s="201">
        <f t="shared" si="10"/>
        <v>23.916245254482277</v>
      </c>
      <c r="Q6" s="212">
        <f t="shared" si="2"/>
        <v>1.7610031563569217E-2</v>
      </c>
      <c r="R6" s="230">
        <f t="shared" si="3"/>
        <v>1824.8095129169978</v>
      </c>
      <c r="S6" s="180"/>
      <c r="T6" s="246">
        <f t="shared" si="4"/>
        <v>11687.18685406415</v>
      </c>
      <c r="U6" s="182">
        <f t="shared" si="5"/>
        <v>5.6830344827586199</v>
      </c>
      <c r="V6" s="247">
        <f>IF(Z6&gt;=0.8,1,J6/U6)</f>
        <v>0.35192466385126941</v>
      </c>
      <c r="X6" s="266">
        <v>150</v>
      </c>
      <c r="Y6" s="140">
        <v>0.3</v>
      </c>
      <c r="Z6" s="188">
        <v>0.78</v>
      </c>
      <c r="AA6" s="129">
        <f t="shared" si="6"/>
        <v>4.7193143557651811E-6</v>
      </c>
      <c r="AB6" s="129">
        <f t="shared" si="7"/>
        <v>4.8011158045984444E-4</v>
      </c>
      <c r="AC6" s="189">
        <f t="shared" si="8"/>
        <v>6.6666666666666671E-3</v>
      </c>
      <c r="AD6" s="190">
        <f t="shared" si="11"/>
        <v>4.8011158045984444E-4</v>
      </c>
      <c r="AE6" s="191">
        <f t="shared" si="12"/>
        <v>4.7193143557651811E-6</v>
      </c>
    </row>
    <row r="7" spans="1:39" x14ac:dyDescent="0.25">
      <c r="B7" s="243">
        <f>Epoch_Times!B6</f>
        <v>44081.738888888889</v>
      </c>
      <c r="C7" s="31">
        <v>214</v>
      </c>
      <c r="D7" s="30">
        <f>rho!E9 * (1-tr_tax)</f>
        <v>31543867.290257312</v>
      </c>
      <c r="E7" s="30">
        <f t="shared" si="9"/>
        <v>31823826595.451485</v>
      </c>
      <c r="F7" s="224">
        <v>100000</v>
      </c>
      <c r="G7" s="223">
        <v>11460000</v>
      </c>
      <c r="H7" s="224">
        <f>SKY!H7</f>
        <v>13370000000</v>
      </c>
      <c r="I7" s="224">
        <f t="shared" ref="I7:I23" si="14">I6</f>
        <v>150000</v>
      </c>
      <c r="J7" s="236">
        <v>4</v>
      </c>
      <c r="K7" s="236">
        <v>340</v>
      </c>
      <c r="L7" s="237">
        <f t="shared" si="13"/>
        <v>0.03</v>
      </c>
      <c r="N7" s="229">
        <f t="shared" si="0"/>
        <v>576.02489425267788</v>
      </c>
      <c r="O7" s="201">
        <f t="shared" si="1"/>
        <v>7291.4715808365863</v>
      </c>
      <c r="P7" s="201">
        <f t="shared" si="10"/>
        <v>63.625406464542635</v>
      </c>
      <c r="Q7" s="212">
        <f t="shared" si="2"/>
        <v>4.7526611308106315E-2</v>
      </c>
      <c r="R7" s="230">
        <f t="shared" si="3"/>
        <v>1822.8678952091466</v>
      </c>
      <c r="S7" s="180"/>
      <c r="T7" s="246">
        <f t="shared" si="4"/>
        <v>8739.6646557563017</v>
      </c>
      <c r="U7" s="182">
        <f t="shared" si="5"/>
        <v>4.4434285714285711</v>
      </c>
      <c r="V7" s="247">
        <f t="shared" ref="V7:V23" si="15">IF(OR(C7=212, C7=211),1,J7/U7)</f>
        <v>0.90020576131687247</v>
      </c>
      <c r="X7" s="266">
        <v>150</v>
      </c>
      <c r="Y7" s="140">
        <v>0.3</v>
      </c>
      <c r="Z7" s="188">
        <f>Z6-0.02</f>
        <v>0.76</v>
      </c>
      <c r="AA7" s="129">
        <f t="shared" si="6"/>
        <v>4.7134495140015377E-6</v>
      </c>
      <c r="AB7" s="129">
        <f t="shared" si="7"/>
        <v>3.6010754286971747E-4</v>
      </c>
      <c r="AC7" s="189">
        <f t="shared" si="8"/>
        <v>6.6666666666666671E-3</v>
      </c>
      <c r="AD7" s="190">
        <f t="shared" si="11"/>
        <v>3.6010754286971747E-4</v>
      </c>
      <c r="AE7" s="191">
        <f t="shared" si="12"/>
        <v>4.7134495140015377E-6</v>
      </c>
    </row>
    <row r="8" spans="1:39" x14ac:dyDescent="0.25">
      <c r="B8" s="243">
        <f>Epoch_Times!B7</f>
        <v>44086.738888888889</v>
      </c>
      <c r="C8" s="31">
        <v>215</v>
      </c>
      <c r="D8" s="30">
        <f>rho!E10 * (1-tr_tax)</f>
        <v>31449235.688386537</v>
      </c>
      <c r="E8" s="30">
        <f t="shared" si="9"/>
        <v>31863256429.564308</v>
      </c>
      <c r="F8" s="224">
        <v>100000</v>
      </c>
      <c r="G8" s="223">
        <f>G7</f>
        <v>11460000</v>
      </c>
      <c r="H8" s="224">
        <f>SKY!H8</f>
        <v>13860000000</v>
      </c>
      <c r="I8" s="224">
        <f t="shared" si="14"/>
        <v>150000</v>
      </c>
      <c r="J8" s="236">
        <v>4</v>
      </c>
      <c r="K8" s="236">
        <v>340</v>
      </c>
      <c r="L8" s="237">
        <f t="shared" si="13"/>
        <v>0.03</v>
      </c>
      <c r="N8" s="229">
        <f t="shared" si="0"/>
        <v>564.89759686632192</v>
      </c>
      <c r="O8" s="201">
        <f t="shared" si="1"/>
        <v>6931.6889653444105</v>
      </c>
      <c r="P8" s="201">
        <f t="shared" si="10"/>
        <v>60.485942105972171</v>
      </c>
      <c r="Q8" s="212">
        <f t="shared" si="2"/>
        <v>4.5130114777993446E-2</v>
      </c>
      <c r="R8" s="230">
        <f t="shared" si="3"/>
        <v>1732.9222413361026</v>
      </c>
      <c r="S8" s="180"/>
      <c r="T8" s="246">
        <f t="shared" si="4"/>
        <v>8702.6607743232853</v>
      </c>
      <c r="U8" s="182">
        <f t="shared" si="5"/>
        <v>4.6435324675324674</v>
      </c>
      <c r="V8" s="247">
        <f t="shared" si="15"/>
        <v>0.86141316507808652</v>
      </c>
      <c r="X8" s="266">
        <v>150</v>
      </c>
      <c r="Y8" s="140">
        <v>0.3</v>
      </c>
      <c r="Z8" s="188">
        <f t="shared" ref="Z8:Z20" si="16">Z7-0.02</f>
        <v>0.74</v>
      </c>
      <c r="AA8" s="129">
        <f t="shared" si="6"/>
        <v>4.7076167601257025E-6</v>
      </c>
      <c r="AB8" s="129">
        <f t="shared" si="7"/>
        <v>3.5966192047360369E-4</v>
      </c>
      <c r="AC8" s="189">
        <f t="shared" si="8"/>
        <v>6.6666666666666671E-3</v>
      </c>
      <c r="AD8" s="190">
        <f t="shared" si="11"/>
        <v>3.5966192047360369E-4</v>
      </c>
      <c r="AE8" s="191">
        <f t="shared" si="12"/>
        <v>4.7076167601257025E-6</v>
      </c>
    </row>
    <row r="9" spans="1:39" x14ac:dyDescent="0.25">
      <c r="B9" s="243">
        <f>Epoch_Times!B8</f>
        <v>44091.738888888889</v>
      </c>
      <c r="C9" s="31">
        <v>216</v>
      </c>
      <c r="D9" s="30">
        <f>rho!E11 * (1-tr_tax)</f>
        <v>31354887.98132138</v>
      </c>
      <c r="E9" s="30">
        <f t="shared" si="9"/>
        <v>31902567974.174789</v>
      </c>
      <c r="F9" s="224">
        <v>100000</v>
      </c>
      <c r="G9" s="223">
        <v>12290000</v>
      </c>
      <c r="H9" s="224">
        <f>SKY!H9</f>
        <v>14380000000</v>
      </c>
      <c r="I9" s="224">
        <f t="shared" si="14"/>
        <v>150000</v>
      </c>
      <c r="J9" s="236">
        <v>9</v>
      </c>
      <c r="K9" s="236">
        <v>340</v>
      </c>
      <c r="L9" s="237">
        <f t="shared" si="13"/>
        <v>0.03</v>
      </c>
      <c r="N9" s="231">
        <f t="shared" si="0"/>
        <v>825.44267117789343</v>
      </c>
      <c r="O9" s="201">
        <f t="shared" si="1"/>
        <v>15355.979701418553</v>
      </c>
      <c r="P9" s="201">
        <f t="shared" si="10"/>
        <v>124.94694630934544</v>
      </c>
      <c r="Q9" s="212">
        <f t="shared" si="2"/>
        <v>9.543805705956987E-2</v>
      </c>
      <c r="R9" s="230">
        <f t="shared" si="3"/>
        <v>1706.2199668242838</v>
      </c>
      <c r="S9" s="180"/>
      <c r="T9" s="246">
        <f t="shared" si="4"/>
        <v>9293.4927402356989</v>
      </c>
      <c r="U9" s="182">
        <f t="shared" si="5"/>
        <v>5.1689791376912382</v>
      </c>
      <c r="V9" s="247">
        <f t="shared" si="15"/>
        <v>1.7411561858266495</v>
      </c>
      <c r="X9" s="266">
        <v>150</v>
      </c>
      <c r="Y9" s="140">
        <v>0.3</v>
      </c>
      <c r="Z9" s="188">
        <f t="shared" si="16"/>
        <v>0.72</v>
      </c>
      <c r="AA9" s="129">
        <f t="shared" si="6"/>
        <v>4.7018158576270533E-6</v>
      </c>
      <c r="AB9" s="129">
        <f t="shared" si="7"/>
        <v>3.8523544593490987E-4</v>
      </c>
      <c r="AC9" s="189">
        <f t="shared" si="8"/>
        <v>6.6666666666666671E-3</v>
      </c>
      <c r="AD9" s="190">
        <f t="shared" si="11"/>
        <v>3.8523544593490987E-4</v>
      </c>
      <c r="AE9" s="191">
        <f t="shared" si="12"/>
        <v>4.7018158576270533E-6</v>
      </c>
    </row>
    <row r="10" spans="1:39" x14ac:dyDescent="0.25">
      <c r="B10" s="243">
        <f>Epoch_Times!B9</f>
        <v>44096.738888888889</v>
      </c>
      <c r="C10" s="31">
        <v>217</v>
      </c>
      <c r="D10" s="30">
        <f>rho!E12 * (1-tr_tax)</f>
        <v>31260823.317377415</v>
      </c>
      <c r="E10" s="30">
        <f t="shared" si="9"/>
        <v>31941761584.15144</v>
      </c>
      <c r="F10" s="224">
        <v>100000</v>
      </c>
      <c r="G10" s="238">
        <v>11630000</v>
      </c>
      <c r="H10" s="224">
        <f>SKY!H10</f>
        <v>14770000000</v>
      </c>
      <c r="I10" s="224">
        <f t="shared" si="14"/>
        <v>150000</v>
      </c>
      <c r="J10" s="236">
        <v>1</v>
      </c>
      <c r="K10" s="236">
        <v>340</v>
      </c>
      <c r="L10" s="237">
        <f t="shared" si="13"/>
        <v>0.03</v>
      </c>
      <c r="N10" s="231">
        <f t="shared" si="0"/>
        <v>391.48913400271698</v>
      </c>
      <c r="O10" s="201">
        <f t="shared" si="1"/>
        <v>1324.8153327545165</v>
      </c>
      <c r="P10" s="201">
        <f t="shared" si="10"/>
        <v>11.391361416633847</v>
      </c>
      <c r="Q10" s="212">
        <f t="shared" si="2"/>
        <v>8.3498877011063399E-3</v>
      </c>
      <c r="R10" s="230">
        <f t="shared" si="3"/>
        <v>1324.8153327545165</v>
      </c>
      <c r="S10" s="180"/>
      <c r="T10" s="246">
        <f t="shared" si="4"/>
        <v>8757.2663334830977</v>
      </c>
      <c r="U10" s="182">
        <f t="shared" si="5"/>
        <v>5.1023967501692633</v>
      </c>
      <c r="V10" s="247">
        <f t="shared" si="15"/>
        <v>0.19598632739933969</v>
      </c>
      <c r="X10" s="266">
        <v>150</v>
      </c>
      <c r="Y10" s="140">
        <v>0.3</v>
      </c>
      <c r="Z10" s="188">
        <f t="shared" si="16"/>
        <v>0.7</v>
      </c>
      <c r="AA10" s="129">
        <f t="shared" si="6"/>
        <v>4.6960465722850295E-6</v>
      </c>
      <c r="AB10" s="129">
        <f t="shared" si="7"/>
        <v>3.6410014423783263E-4</v>
      </c>
      <c r="AC10" s="189">
        <f t="shared" si="8"/>
        <v>6.6666666666666671E-3</v>
      </c>
      <c r="AD10" s="190">
        <f t="shared" si="11"/>
        <v>3.6410014423783263E-4</v>
      </c>
      <c r="AE10" s="191">
        <f t="shared" si="12"/>
        <v>4.6960465722850295E-6</v>
      </c>
    </row>
    <row r="11" spans="1:39" x14ac:dyDescent="0.25">
      <c r="B11" s="243">
        <f>Epoch_Times!B10</f>
        <v>44101.738888888889</v>
      </c>
      <c r="C11" s="31">
        <v>218</v>
      </c>
      <c r="D11" s="30">
        <f>rho!E13 * (1-tr_tax)</f>
        <v>31167040.847425282</v>
      </c>
      <c r="E11" s="30">
        <f t="shared" si="9"/>
        <v>31980837613.298161</v>
      </c>
      <c r="F11" s="224">
        <v>100000</v>
      </c>
      <c r="G11" s="238"/>
      <c r="H11" s="224">
        <f>SKY!H11</f>
        <v>0</v>
      </c>
      <c r="I11" s="224">
        <f t="shared" si="14"/>
        <v>150000</v>
      </c>
      <c r="J11" s="236"/>
      <c r="K11" s="236">
        <v>340</v>
      </c>
      <c r="L11" s="237">
        <f t="shared" si="13"/>
        <v>0.03</v>
      </c>
      <c r="N11" s="231" t="e">
        <f t="shared" si="0"/>
        <v>#DIV/0!</v>
      </c>
      <c r="O11" s="201" t="e">
        <f t="shared" si="1"/>
        <v>#DIV/0!</v>
      </c>
      <c r="P11" s="201" t="e">
        <f t="shared" si="10"/>
        <v>#DIV/0!</v>
      </c>
      <c r="Q11" s="212" t="e">
        <f t="shared" si="2"/>
        <v>#DIV/0!</v>
      </c>
      <c r="R11" s="230" t="e">
        <f t="shared" si="3"/>
        <v>#DIV/0!</v>
      </c>
      <c r="S11" s="180"/>
      <c r="T11" s="246">
        <f t="shared" si="4"/>
        <v>-2.3733816558913462E-2</v>
      </c>
      <c r="U11" s="182" t="e">
        <f t="shared" si="5"/>
        <v>#DIV/0!</v>
      </c>
      <c r="V11" s="247" t="e">
        <f t="shared" si="15"/>
        <v>#DIV/0!</v>
      </c>
      <c r="X11" s="266">
        <v>150</v>
      </c>
      <c r="Y11" s="140">
        <v>0.3</v>
      </c>
      <c r="Z11" s="188">
        <f t="shared" si="16"/>
        <v>0.67999999999999994</v>
      </c>
      <c r="AA11" s="129">
        <f t="shared" si="6"/>
        <v>4.6903086721414553E-6</v>
      </c>
      <c r="AB11" s="129">
        <f t="shared" si="7"/>
        <v>0</v>
      </c>
      <c r="AC11" s="189">
        <f t="shared" si="8"/>
        <v>6.6666666666666671E-3</v>
      </c>
      <c r="AD11" s="190">
        <f t="shared" si="11"/>
        <v>0</v>
      </c>
      <c r="AE11" s="191">
        <f t="shared" si="12"/>
        <v>4.6903086721414553E-6</v>
      </c>
    </row>
    <row r="12" spans="1:39" x14ac:dyDescent="0.25">
      <c r="B12" s="243">
        <f>Epoch_Times!B11</f>
        <v>44106.738888888889</v>
      </c>
      <c r="C12" s="31">
        <v>219</v>
      </c>
      <c r="D12" s="30">
        <f>rho!E14 * (1-tr_tax)</f>
        <v>31073539.724883009</v>
      </c>
      <c r="E12" s="30">
        <f t="shared" si="9"/>
        <v>32019796414.357441</v>
      </c>
      <c r="F12" s="224">
        <v>100000</v>
      </c>
      <c r="G12" s="238"/>
      <c r="H12" s="224">
        <f>SKY!H12</f>
        <v>0</v>
      </c>
      <c r="I12" s="224">
        <f t="shared" si="14"/>
        <v>150000</v>
      </c>
      <c r="J12" s="236"/>
      <c r="K12" s="236">
        <v>340</v>
      </c>
      <c r="L12" s="237">
        <f t="shared" si="13"/>
        <v>0.03</v>
      </c>
      <c r="N12" s="231" t="e">
        <f t="shared" si="0"/>
        <v>#DIV/0!</v>
      </c>
      <c r="O12" s="201" t="e">
        <f t="shared" si="1"/>
        <v>#DIV/0!</v>
      </c>
      <c r="P12" s="201" t="e">
        <f t="shared" si="10"/>
        <v>#DIV/0!</v>
      </c>
      <c r="Q12" s="212" t="e">
        <f t="shared" si="2"/>
        <v>#DIV/0!</v>
      </c>
      <c r="R12" s="230" t="e">
        <f t="shared" si="3"/>
        <v>#DIV/0!</v>
      </c>
      <c r="S12" s="180"/>
      <c r="T12" s="246">
        <f t="shared" si="4"/>
        <v>-2.3605069066140728E-2</v>
      </c>
      <c r="U12" s="182" t="e">
        <f t="shared" si="5"/>
        <v>#DIV/0!</v>
      </c>
      <c r="V12" s="247" t="e">
        <f t="shared" si="15"/>
        <v>#DIV/0!</v>
      </c>
      <c r="X12" s="266">
        <v>150</v>
      </c>
      <c r="Y12" s="140">
        <v>0.3</v>
      </c>
      <c r="Z12" s="188">
        <f t="shared" si="16"/>
        <v>0.65999999999999992</v>
      </c>
      <c r="AA12" s="129">
        <f t="shared" si="6"/>
        <v>4.6846019274732525E-6</v>
      </c>
      <c r="AB12" s="129">
        <f t="shared" si="7"/>
        <v>0</v>
      </c>
      <c r="AC12" s="189">
        <f t="shared" si="8"/>
        <v>6.6666666666666671E-3</v>
      </c>
      <c r="AD12" s="190">
        <f t="shared" si="11"/>
        <v>0</v>
      </c>
      <c r="AE12" s="191">
        <f t="shared" si="12"/>
        <v>4.6846019274732525E-6</v>
      </c>
    </row>
    <row r="13" spans="1:39" x14ac:dyDescent="0.25">
      <c r="B13" s="243">
        <f>Epoch_Times!B12</f>
        <v>44111.738888888889</v>
      </c>
      <c r="C13" s="31">
        <v>220</v>
      </c>
      <c r="D13" s="30">
        <f>rho!E15 * (1-tr_tax)</f>
        <v>30980319.105708361</v>
      </c>
      <c r="E13" s="30">
        <f t="shared" si="9"/>
        <v>32058638339.013546</v>
      </c>
      <c r="F13" s="224">
        <v>100000</v>
      </c>
      <c r="G13" s="238"/>
      <c r="H13" s="224">
        <f>SKY!H13</f>
        <v>0</v>
      </c>
      <c r="I13" s="224">
        <f t="shared" si="14"/>
        <v>150000</v>
      </c>
      <c r="J13" s="236"/>
      <c r="K13" s="236">
        <v>340</v>
      </c>
      <c r="L13" s="237">
        <f t="shared" si="13"/>
        <v>0.03</v>
      </c>
      <c r="N13" s="231" t="e">
        <f t="shared" si="0"/>
        <v>#DIV/0!</v>
      </c>
      <c r="O13" s="201" t="e">
        <f t="shared" si="1"/>
        <v>#DIV/0!</v>
      </c>
      <c r="P13" s="201" t="e">
        <f t="shared" si="10"/>
        <v>#DIV/0!</v>
      </c>
      <c r="Q13" s="212" t="e">
        <f t="shared" si="2"/>
        <v>#DIV/0!</v>
      </c>
      <c r="R13" s="230" t="e">
        <f t="shared" si="3"/>
        <v>#DIV/0!</v>
      </c>
      <c r="S13" s="180"/>
      <c r="T13" s="246">
        <f t="shared" si="4"/>
        <v>-2.3477260674213119E-2</v>
      </c>
      <c r="U13" s="182" t="e">
        <f t="shared" si="5"/>
        <v>#DIV/0!</v>
      </c>
      <c r="V13" s="247" t="e">
        <f t="shared" si="15"/>
        <v>#DIV/0!</v>
      </c>
      <c r="X13" s="266">
        <v>150</v>
      </c>
      <c r="Y13" s="140">
        <v>0.3</v>
      </c>
      <c r="Z13" s="188">
        <f t="shared" si="16"/>
        <v>0.6399999999999999</v>
      </c>
      <c r="AA13" s="129">
        <f t="shared" si="6"/>
        <v>4.6789261107655503E-6</v>
      </c>
      <c r="AB13" s="129">
        <f t="shared" si="7"/>
        <v>0</v>
      </c>
      <c r="AC13" s="189">
        <f t="shared" si="8"/>
        <v>6.6666666666666671E-3</v>
      </c>
      <c r="AD13" s="190">
        <f t="shared" si="11"/>
        <v>0</v>
      </c>
      <c r="AE13" s="191">
        <f t="shared" si="12"/>
        <v>4.6789261107655503E-6</v>
      </c>
    </row>
    <row r="14" spans="1:39" x14ac:dyDescent="0.25">
      <c r="B14" s="243">
        <f>Epoch_Times!B13</f>
        <v>44116.738888888889</v>
      </c>
      <c r="C14" s="31">
        <v>221</v>
      </c>
      <c r="D14" s="30">
        <f>rho!E16 * (1-tr_tax)</f>
        <v>30887378.148391236</v>
      </c>
      <c r="E14" s="30">
        <f t="shared" si="9"/>
        <v>32097363737.895683</v>
      </c>
      <c r="F14" s="224">
        <v>100000</v>
      </c>
      <c r="G14" s="238"/>
      <c r="H14" s="224">
        <f>SKY!H14</f>
        <v>0</v>
      </c>
      <c r="I14" s="224">
        <f t="shared" si="14"/>
        <v>150000</v>
      </c>
      <c r="J14" s="236"/>
      <c r="K14" s="236">
        <v>340</v>
      </c>
      <c r="L14" s="237">
        <f t="shared" si="13"/>
        <v>0.03</v>
      </c>
      <c r="N14" s="231" t="e">
        <f t="shared" si="0"/>
        <v>#DIV/0!</v>
      </c>
      <c r="O14" s="201" t="e">
        <f t="shared" si="1"/>
        <v>#DIV/0!</v>
      </c>
      <c r="P14" s="201" t="e">
        <f t="shared" si="10"/>
        <v>#DIV/0!</v>
      </c>
      <c r="Q14" s="212" t="e">
        <f t="shared" si="2"/>
        <v>#DIV/0!</v>
      </c>
      <c r="R14" s="230" t="e">
        <f t="shared" si="3"/>
        <v>#DIV/0!</v>
      </c>
      <c r="S14" s="180"/>
      <c r="T14" s="246">
        <f t="shared" si="4"/>
        <v>-2.3350382388694978E-2</v>
      </c>
      <c r="U14" s="182" t="e">
        <f t="shared" si="5"/>
        <v>#DIV/0!</v>
      </c>
      <c r="V14" s="247" t="e">
        <f t="shared" si="15"/>
        <v>#DIV/0!</v>
      </c>
      <c r="X14" s="266">
        <v>150</v>
      </c>
      <c r="Y14" s="140">
        <v>0.3</v>
      </c>
      <c r="Z14" s="188">
        <f t="shared" si="16"/>
        <v>0.61999999999999988</v>
      </c>
      <c r="AA14" s="129">
        <f t="shared" si="6"/>
        <v>4.6732809966851835E-6</v>
      </c>
      <c r="AB14" s="129">
        <f t="shared" si="7"/>
        <v>0</v>
      </c>
      <c r="AC14" s="189">
        <f t="shared" si="8"/>
        <v>6.6666666666666671E-3</v>
      </c>
      <c r="AD14" s="190">
        <f t="shared" si="11"/>
        <v>0</v>
      </c>
      <c r="AE14" s="191">
        <f t="shared" si="12"/>
        <v>4.6732809966851835E-6</v>
      </c>
    </row>
    <row r="15" spans="1:39" x14ac:dyDescent="0.25">
      <c r="B15" s="243">
        <f>Epoch_Times!B14</f>
        <v>44121.738888888889</v>
      </c>
      <c r="C15" s="31">
        <v>222</v>
      </c>
      <c r="D15" s="30">
        <f>rho!E17 * (1-tr_tax)</f>
        <v>30794716.013946056</v>
      </c>
      <c r="E15" s="30">
        <f t="shared" si="9"/>
        <v>32135972960.581173</v>
      </c>
      <c r="F15" s="224">
        <v>100000</v>
      </c>
      <c r="G15" s="238"/>
      <c r="H15" s="224">
        <f>SKY!H15</f>
        <v>0</v>
      </c>
      <c r="I15" s="224">
        <f t="shared" si="14"/>
        <v>150000</v>
      </c>
      <c r="J15" s="236"/>
      <c r="K15" s="236">
        <v>340</v>
      </c>
      <c r="L15" s="237">
        <f t="shared" si="13"/>
        <v>0.03</v>
      </c>
      <c r="N15" s="231" t="e">
        <f t="shared" si="0"/>
        <v>#DIV/0!</v>
      </c>
      <c r="O15" s="201" t="e">
        <f t="shared" si="1"/>
        <v>#DIV/0!</v>
      </c>
      <c r="P15" s="201" t="e">
        <f t="shared" si="10"/>
        <v>#DIV/0!</v>
      </c>
      <c r="Q15" s="212" t="e">
        <f t="shared" si="2"/>
        <v>#DIV/0!</v>
      </c>
      <c r="R15" s="230" t="e">
        <f t="shared" si="3"/>
        <v>#DIV/0!</v>
      </c>
      <c r="S15" s="180"/>
      <c r="T15" s="246">
        <f t="shared" si="4"/>
        <v>-2.322442532271158E-2</v>
      </c>
      <c r="U15" s="182" t="e">
        <f t="shared" si="5"/>
        <v>#DIV/0!</v>
      </c>
      <c r="V15" s="247" t="e">
        <f t="shared" si="15"/>
        <v>#DIV/0!</v>
      </c>
      <c r="X15" s="266">
        <v>150</v>
      </c>
      <c r="Y15" s="140">
        <v>0.3</v>
      </c>
      <c r="Z15" s="188">
        <f t="shared" si="16"/>
        <v>0.59999999999999987</v>
      </c>
      <c r="AA15" s="129">
        <f t="shared" si="6"/>
        <v>4.6676663620545718E-6</v>
      </c>
      <c r="AB15" s="129">
        <f t="shared" si="7"/>
        <v>0</v>
      </c>
      <c r="AC15" s="189">
        <f t="shared" si="8"/>
        <v>6.6666666666666671E-3</v>
      </c>
      <c r="AD15" s="190">
        <f t="shared" si="11"/>
        <v>0</v>
      </c>
      <c r="AE15" s="191">
        <f t="shared" si="12"/>
        <v>4.6676663620545718E-6</v>
      </c>
    </row>
    <row r="16" spans="1:39" x14ac:dyDescent="0.25">
      <c r="B16" s="243">
        <f>Epoch_Times!B15</f>
        <v>44126.738888888889</v>
      </c>
      <c r="C16" s="31">
        <v>223</v>
      </c>
      <c r="D16" s="30">
        <f>rho!E18 * (1-tr_tax)</f>
        <v>30702331.865904219</v>
      </c>
      <c r="E16" s="30">
        <f t="shared" si="9"/>
        <v>32174466355.598606</v>
      </c>
      <c r="F16" s="224">
        <v>100000</v>
      </c>
      <c r="G16" s="238"/>
      <c r="H16" s="224">
        <f>SKY!H16</f>
        <v>0</v>
      </c>
      <c r="I16" s="224">
        <f t="shared" si="14"/>
        <v>150000</v>
      </c>
      <c r="J16" s="236"/>
      <c r="K16" s="236">
        <v>340</v>
      </c>
      <c r="L16" s="237">
        <f t="shared" si="13"/>
        <v>0.03</v>
      </c>
      <c r="N16" s="231" t="e">
        <f t="shared" si="0"/>
        <v>#DIV/0!</v>
      </c>
      <c r="O16" s="201" t="e">
        <f t="shared" si="1"/>
        <v>#DIV/0!</v>
      </c>
      <c r="P16" s="201" t="e">
        <f t="shared" si="10"/>
        <v>#DIV/0!</v>
      </c>
      <c r="Q16" s="212" t="e">
        <f t="shared" si="2"/>
        <v>#DIV/0!</v>
      </c>
      <c r="R16" s="230" t="e">
        <f t="shared" si="3"/>
        <v>#DIV/0!</v>
      </c>
      <c r="S16" s="180"/>
      <c r="T16" s="246">
        <f t="shared" si="4"/>
        <v>-2.3099380695408452E-2</v>
      </c>
      <c r="U16" s="182" t="e">
        <f t="shared" si="5"/>
        <v>#DIV/0!</v>
      </c>
      <c r="V16" s="247" t="e">
        <f t="shared" si="15"/>
        <v>#DIV/0!</v>
      </c>
      <c r="X16" s="266">
        <v>150</v>
      </c>
      <c r="Y16" s="140">
        <v>0.3</v>
      </c>
      <c r="Z16" s="188">
        <f t="shared" si="16"/>
        <v>0.57999999999999985</v>
      </c>
      <c r="AA16" s="129">
        <f t="shared" si="6"/>
        <v>4.6620819858259698E-6</v>
      </c>
      <c r="AB16" s="129">
        <f t="shared" si="7"/>
        <v>0</v>
      </c>
      <c r="AC16" s="189">
        <f t="shared" si="8"/>
        <v>6.6666666666666671E-3</v>
      </c>
      <c r="AD16" s="190">
        <f t="shared" si="11"/>
        <v>0</v>
      </c>
      <c r="AE16" s="191">
        <f t="shared" si="12"/>
        <v>4.6620819858259698E-6</v>
      </c>
    </row>
    <row r="17" spans="2:31" x14ac:dyDescent="0.25">
      <c r="B17" s="243">
        <f>Epoch_Times!B16</f>
        <v>44131.738888888889</v>
      </c>
      <c r="C17" s="31">
        <v>224</v>
      </c>
      <c r="D17" s="30">
        <f>rho!E19 * (1-tr_tax)</f>
        <v>30610224.870306507</v>
      </c>
      <c r="E17" s="30">
        <f t="shared" si="9"/>
        <v>32212844270.430984</v>
      </c>
      <c r="F17" s="224">
        <v>100000</v>
      </c>
      <c r="G17" s="238"/>
      <c r="H17" s="224">
        <f>SKY!H17</f>
        <v>0</v>
      </c>
      <c r="I17" s="224">
        <f t="shared" si="14"/>
        <v>150000</v>
      </c>
      <c r="J17" s="236"/>
      <c r="K17" s="236">
        <v>340</v>
      </c>
      <c r="L17" s="237">
        <f t="shared" si="13"/>
        <v>0.03</v>
      </c>
      <c r="N17" s="231" t="e">
        <f t="shared" si="0"/>
        <v>#DIV/0!</v>
      </c>
      <c r="O17" s="201" t="e">
        <f t="shared" si="1"/>
        <v>#DIV/0!</v>
      </c>
      <c r="P17" s="201" t="e">
        <f t="shared" si="10"/>
        <v>#DIV/0!</v>
      </c>
      <c r="Q17" s="212" t="e">
        <f t="shared" si="2"/>
        <v>#DIV/0!</v>
      </c>
      <c r="R17" s="230" t="e">
        <f t="shared" si="3"/>
        <v>#DIV/0!</v>
      </c>
      <c r="S17" s="180"/>
      <c r="T17" s="246">
        <f t="shared" si="4"/>
        <v>-2.2975239830436374E-2</v>
      </c>
      <c r="U17" s="182" t="e">
        <f t="shared" si="5"/>
        <v>#DIV/0!</v>
      </c>
      <c r="V17" s="247" t="e">
        <f t="shared" si="15"/>
        <v>#DIV/0!</v>
      </c>
      <c r="X17" s="266">
        <v>150</v>
      </c>
      <c r="Y17" s="140">
        <v>0.3</v>
      </c>
      <c r="Z17" s="188">
        <f t="shared" si="16"/>
        <v>0.55999999999999983</v>
      </c>
      <c r="AA17" s="129">
        <f t="shared" si="6"/>
        <v>4.6565276490560923E-6</v>
      </c>
      <c r="AB17" s="129">
        <f t="shared" si="7"/>
        <v>0</v>
      </c>
      <c r="AC17" s="189">
        <f t="shared" si="8"/>
        <v>6.6666666666666671E-3</v>
      </c>
      <c r="AD17" s="190">
        <f t="shared" si="11"/>
        <v>0</v>
      </c>
      <c r="AE17" s="191">
        <f t="shared" si="12"/>
        <v>4.6565276490560923E-6</v>
      </c>
    </row>
    <row r="18" spans="2:31" x14ac:dyDescent="0.25">
      <c r="B18" s="243">
        <f>Epoch_Times!B17</f>
        <v>44136.738888888889</v>
      </c>
      <c r="C18" s="31">
        <v>225</v>
      </c>
      <c r="D18" s="30">
        <f>rho!E20 * (1-tr_tax)</f>
        <v>30518394.195695587</v>
      </c>
      <c r="E18" s="30">
        <f t="shared" si="9"/>
        <v>32251107051.518867</v>
      </c>
      <c r="F18" s="224">
        <v>100000</v>
      </c>
      <c r="G18" s="238"/>
      <c r="H18" s="224">
        <f>SKY!H18</f>
        <v>0</v>
      </c>
      <c r="I18" s="224">
        <f t="shared" si="14"/>
        <v>150000</v>
      </c>
      <c r="J18" s="236"/>
      <c r="K18" s="236">
        <v>340</v>
      </c>
      <c r="L18" s="237">
        <f t="shared" si="13"/>
        <v>0.03</v>
      </c>
      <c r="N18" s="231" t="e">
        <f t="shared" si="0"/>
        <v>#DIV/0!</v>
      </c>
      <c r="O18" s="201" t="e">
        <f t="shared" si="1"/>
        <v>#DIV/0!</v>
      </c>
      <c r="P18" s="201" t="e">
        <f t="shared" si="10"/>
        <v>#DIV/0!</v>
      </c>
      <c r="Q18" s="212" t="e">
        <f t="shared" si="2"/>
        <v>#DIV/0!</v>
      </c>
      <c r="R18" s="230" t="e">
        <f t="shared" si="3"/>
        <v>#DIV/0!</v>
      </c>
      <c r="S18" s="180"/>
      <c r="T18" s="246">
        <f t="shared" si="4"/>
        <v>-2.2851994154461572E-2</v>
      </c>
      <c r="U18" s="182" t="e">
        <f t="shared" si="5"/>
        <v>#DIV/0!</v>
      </c>
      <c r="V18" s="247" t="e">
        <f t="shared" si="15"/>
        <v>#DIV/0!</v>
      </c>
      <c r="X18" s="266">
        <v>150</v>
      </c>
      <c r="Y18" s="140">
        <v>0.3</v>
      </c>
      <c r="Z18" s="188">
        <f t="shared" si="16"/>
        <v>0.53999999999999981</v>
      </c>
      <c r="AA18" s="129">
        <f t="shared" si="6"/>
        <v>4.6510031348810936E-6</v>
      </c>
      <c r="AB18" s="129">
        <f t="shared" si="7"/>
        <v>0</v>
      </c>
      <c r="AC18" s="189">
        <f t="shared" si="8"/>
        <v>6.6666666666666671E-3</v>
      </c>
      <c r="AD18" s="190">
        <f t="shared" si="11"/>
        <v>0</v>
      </c>
      <c r="AE18" s="191">
        <f t="shared" si="12"/>
        <v>4.6510031348810936E-6</v>
      </c>
    </row>
    <row r="19" spans="2:31" x14ac:dyDescent="0.25">
      <c r="B19" s="243">
        <f>Epoch_Times!B18</f>
        <v>44141.738888888889</v>
      </c>
      <c r="C19" s="31">
        <v>226</v>
      </c>
      <c r="D19" s="30">
        <f>rho!E21 * (1-tr_tax)</f>
        <v>30426839.013108499</v>
      </c>
      <c r="E19" s="30">
        <f t="shared" si="9"/>
        <v>32289255044.263489</v>
      </c>
      <c r="F19" s="224">
        <v>100000</v>
      </c>
      <c r="G19" s="238"/>
      <c r="H19" s="224">
        <f>SKY!H19</f>
        <v>0</v>
      </c>
      <c r="I19" s="224">
        <f t="shared" si="14"/>
        <v>150000</v>
      </c>
      <c r="J19" s="236"/>
      <c r="K19" s="236">
        <v>340</v>
      </c>
      <c r="L19" s="237">
        <f t="shared" si="13"/>
        <v>0.03</v>
      </c>
      <c r="N19" s="231" t="e">
        <f t="shared" si="0"/>
        <v>#DIV/0!</v>
      </c>
      <c r="O19" s="201" t="e">
        <f t="shared" si="1"/>
        <v>#DIV/0!</v>
      </c>
      <c r="P19" s="201" t="e">
        <f t="shared" si="10"/>
        <v>#DIV/0!</v>
      </c>
      <c r="Q19" s="212" t="e">
        <f t="shared" si="2"/>
        <v>#DIV/0!</v>
      </c>
      <c r="R19" s="230" t="e">
        <f t="shared" si="3"/>
        <v>#DIV/0!</v>
      </c>
      <c r="S19" s="180"/>
      <c r="T19" s="246">
        <f t="shared" si="4"/>
        <v>-2.2729635195700672E-2</v>
      </c>
      <c r="U19" s="182" t="e">
        <f t="shared" si="5"/>
        <v>#DIV/0!</v>
      </c>
      <c r="V19" s="247" t="e">
        <f t="shared" si="15"/>
        <v>#DIV/0!</v>
      </c>
      <c r="X19" s="266">
        <v>150</v>
      </c>
      <c r="Y19" s="140">
        <v>0.3</v>
      </c>
      <c r="Z19" s="188">
        <f t="shared" si="16"/>
        <v>0.5199999999999998</v>
      </c>
      <c r="AA19" s="129">
        <f t="shared" si="6"/>
        <v>4.6455082284919114E-6</v>
      </c>
      <c r="AB19" s="129">
        <f t="shared" si="7"/>
        <v>0</v>
      </c>
      <c r="AC19" s="189">
        <f t="shared" si="8"/>
        <v>6.6666666666666671E-3</v>
      </c>
      <c r="AD19" s="190">
        <f t="shared" si="11"/>
        <v>0</v>
      </c>
      <c r="AE19" s="191">
        <f t="shared" si="12"/>
        <v>4.6455082284919114E-6</v>
      </c>
    </row>
    <row r="20" spans="2:31" x14ac:dyDescent="0.25">
      <c r="B20" s="243">
        <f>Epoch_Times!B19</f>
        <v>44146.738888888889</v>
      </c>
      <c r="C20" s="31">
        <v>227</v>
      </c>
      <c r="D20" s="30">
        <f>rho!E22 * (1-tr_tax)</f>
        <v>30335558.496069178</v>
      </c>
      <c r="E20" s="30">
        <f t="shared" si="9"/>
        <v>32327288593.029873</v>
      </c>
      <c r="F20" s="224">
        <v>100000</v>
      </c>
      <c r="G20" s="238"/>
      <c r="H20" s="224">
        <f>SKY!H20</f>
        <v>0</v>
      </c>
      <c r="I20" s="224">
        <f t="shared" si="14"/>
        <v>150000</v>
      </c>
      <c r="J20" s="236"/>
      <c r="K20" s="236">
        <v>340</v>
      </c>
      <c r="L20" s="237">
        <f t="shared" si="13"/>
        <v>0.03</v>
      </c>
      <c r="N20" s="231" t="e">
        <f t="shared" si="0"/>
        <v>#DIV/0!</v>
      </c>
      <c r="O20" s="201" t="e">
        <f t="shared" si="1"/>
        <v>#DIV/0!</v>
      </c>
      <c r="P20" s="201" t="e">
        <f t="shared" si="10"/>
        <v>#DIV/0!</v>
      </c>
      <c r="Q20" s="212" t="e">
        <f t="shared" si="2"/>
        <v>#DIV/0!</v>
      </c>
      <c r="R20" s="230" t="e">
        <f t="shared" si="3"/>
        <v>#DIV/0!</v>
      </c>
      <c r="S20" s="180"/>
      <c r="T20" s="246">
        <f t="shared" si="4"/>
        <v>-2.2608154582479861E-2</v>
      </c>
      <c r="U20" s="182" t="e">
        <f t="shared" si="5"/>
        <v>#DIV/0!</v>
      </c>
      <c r="V20" s="247" t="e">
        <f t="shared" si="15"/>
        <v>#DIV/0!</v>
      </c>
      <c r="X20" s="266">
        <v>150</v>
      </c>
      <c r="Y20" s="140">
        <v>0.3</v>
      </c>
      <c r="Z20" s="188">
        <f t="shared" si="16"/>
        <v>0.49999999999999978</v>
      </c>
      <c r="AA20" s="129">
        <f t="shared" si="6"/>
        <v>4.6400427171099554E-6</v>
      </c>
      <c r="AB20" s="129">
        <f t="shared" si="7"/>
        <v>0</v>
      </c>
      <c r="AC20" s="189">
        <f t="shared" si="8"/>
        <v>6.6666666666666671E-3</v>
      </c>
      <c r="AD20" s="190">
        <f t="shared" si="11"/>
        <v>0</v>
      </c>
      <c r="AE20" s="191">
        <f t="shared" si="12"/>
        <v>4.6400427171099554E-6</v>
      </c>
    </row>
    <row r="21" spans="2:31" x14ac:dyDescent="0.25">
      <c r="B21" s="243">
        <f>Epoch_Times!B20</f>
        <v>44151.738888888889</v>
      </c>
      <c r="C21" s="31">
        <v>228</v>
      </c>
      <c r="D21" s="30">
        <f>rho!E23 * (1-tr_tax)</f>
        <v>30244551.820580967</v>
      </c>
      <c r="E21" s="30">
        <f t="shared" si="9"/>
        <v>32365208041.14996</v>
      </c>
      <c r="F21" s="224">
        <v>100000</v>
      </c>
      <c r="G21" s="238"/>
      <c r="H21" s="224">
        <f>SKY!H21</f>
        <v>0</v>
      </c>
      <c r="I21" s="224">
        <f t="shared" si="14"/>
        <v>150000</v>
      </c>
      <c r="J21" s="236"/>
      <c r="K21" s="236">
        <v>340</v>
      </c>
      <c r="L21" s="237">
        <f t="shared" si="13"/>
        <v>0.03</v>
      </c>
      <c r="N21" s="231" t="e">
        <f t="shared" si="0"/>
        <v>#DIV/0!</v>
      </c>
      <c r="O21" s="201" t="e">
        <f t="shared" si="1"/>
        <v>#DIV/0!</v>
      </c>
      <c r="P21" s="201" t="e">
        <f t="shared" si="10"/>
        <v>#DIV/0!</v>
      </c>
      <c r="Q21" s="212" t="e">
        <f t="shared" si="2"/>
        <v>#DIV/0!</v>
      </c>
      <c r="R21" s="230" t="e">
        <f t="shared" si="3"/>
        <v>#DIV/0!</v>
      </c>
      <c r="S21" s="180"/>
      <c r="T21" s="246">
        <f t="shared" si="4"/>
        <v>-2.2487544041817797E-2</v>
      </c>
      <c r="U21" s="182" t="e">
        <f t="shared" si="5"/>
        <v>#DIV/0!</v>
      </c>
      <c r="V21" s="247" t="e">
        <f t="shared" si="15"/>
        <v>#DIV/0!</v>
      </c>
      <c r="X21" s="266">
        <v>150</v>
      </c>
      <c r="Y21" s="140">
        <v>0.3</v>
      </c>
      <c r="Z21" s="188">
        <v>0.5</v>
      </c>
      <c r="AA21" s="129">
        <f t="shared" si="6"/>
        <v>4.6346063899631398E-6</v>
      </c>
      <c r="AB21" s="129">
        <f t="shared" si="7"/>
        <v>0</v>
      </c>
      <c r="AC21" s="189">
        <f t="shared" si="8"/>
        <v>6.6666666666666671E-3</v>
      </c>
      <c r="AD21" s="190">
        <f t="shared" si="11"/>
        <v>0</v>
      </c>
      <c r="AE21" s="191">
        <f t="shared" si="12"/>
        <v>4.6346063899631398E-6</v>
      </c>
    </row>
    <row r="22" spans="2:31" x14ac:dyDescent="0.25">
      <c r="B22" s="243">
        <f>Epoch_Times!B21</f>
        <v>44156.738888888889</v>
      </c>
      <c r="C22" s="31">
        <v>229</v>
      </c>
      <c r="D22" s="30">
        <f>rho!E24 * (1-tr_tax)</f>
        <v>30153818.165119227</v>
      </c>
      <c r="E22" s="30">
        <f t="shared" si="9"/>
        <v>32403013730.925686</v>
      </c>
      <c r="F22" s="224">
        <v>100000</v>
      </c>
      <c r="G22" s="238"/>
      <c r="H22" s="224">
        <f>SKY!H22</f>
        <v>0</v>
      </c>
      <c r="I22" s="224">
        <f t="shared" si="14"/>
        <v>150000</v>
      </c>
      <c r="J22" s="236"/>
      <c r="K22" s="236">
        <v>340</v>
      </c>
      <c r="L22" s="237">
        <f t="shared" si="13"/>
        <v>0.03</v>
      </c>
      <c r="N22" s="231" t="e">
        <f t="shared" si="0"/>
        <v>#DIV/0!</v>
      </c>
      <c r="O22" s="201" t="e">
        <f t="shared" si="1"/>
        <v>#DIV/0!</v>
      </c>
      <c r="P22" s="201" t="e">
        <f t="shared" si="10"/>
        <v>#DIV/0!</v>
      </c>
      <c r="Q22" s="212" t="e">
        <f t="shared" si="2"/>
        <v>#DIV/0!</v>
      </c>
      <c r="R22" s="230" t="e">
        <f t="shared" si="3"/>
        <v>#DIV/0!</v>
      </c>
      <c r="S22" s="180"/>
      <c r="T22" s="246">
        <f t="shared" si="4"/>
        <v>-2.236779539803203E-2</v>
      </c>
      <c r="U22" s="182" t="e">
        <f t="shared" si="5"/>
        <v>#DIV/0!</v>
      </c>
      <c r="V22" s="247" t="e">
        <f t="shared" si="15"/>
        <v>#DIV/0!</v>
      </c>
      <c r="X22" s="266">
        <v>150</v>
      </c>
      <c r="Y22" s="140">
        <v>0.3</v>
      </c>
      <c r="Z22" s="188">
        <v>0.5</v>
      </c>
      <c r="AA22" s="129">
        <f t="shared" si="6"/>
        <v>4.6291990382622606E-6</v>
      </c>
      <c r="AB22" s="129">
        <f t="shared" si="7"/>
        <v>0</v>
      </c>
      <c r="AC22" s="189">
        <f t="shared" si="8"/>
        <v>6.6666666666666671E-3</v>
      </c>
      <c r="AD22" s="190">
        <f t="shared" si="11"/>
        <v>0</v>
      </c>
      <c r="AE22" s="191">
        <f t="shared" si="12"/>
        <v>4.6291990382622606E-6</v>
      </c>
    </row>
    <row r="23" spans="2:31" ht="15.75" thickBot="1" x14ac:dyDescent="0.3">
      <c r="B23" s="243">
        <f>Epoch_Times!B22</f>
        <v>44161.738888888889</v>
      </c>
      <c r="C23" s="31">
        <v>230</v>
      </c>
      <c r="D23" s="30">
        <f>rho!E25 * (1-tr_tax)</f>
        <v>30063356.71062386</v>
      </c>
      <c r="E23" s="30">
        <f t="shared" si="9"/>
        <v>32440706003.632084</v>
      </c>
      <c r="F23" s="224">
        <v>100000</v>
      </c>
      <c r="G23" s="239"/>
      <c r="H23" s="240">
        <f>SKY!H23</f>
        <v>0</v>
      </c>
      <c r="I23" s="240">
        <f t="shared" si="14"/>
        <v>150000</v>
      </c>
      <c r="J23" s="241"/>
      <c r="K23" s="241">
        <v>340</v>
      </c>
      <c r="L23" s="242">
        <f t="shared" si="13"/>
        <v>0.03</v>
      </c>
      <c r="N23" s="232" t="e">
        <f t="shared" si="0"/>
        <v>#DIV/0!</v>
      </c>
      <c r="O23" s="233" t="e">
        <f t="shared" si="1"/>
        <v>#DIV/0!</v>
      </c>
      <c r="P23" s="233" t="e">
        <f t="shared" si="10"/>
        <v>#DIV/0!</v>
      </c>
      <c r="Q23" s="234" t="e">
        <f t="shared" si="2"/>
        <v>#DIV/0!</v>
      </c>
      <c r="R23" s="235" t="e">
        <f t="shared" si="3"/>
        <v>#DIV/0!</v>
      </c>
      <c r="S23" s="180"/>
      <c r="T23" s="248">
        <f t="shared" si="4"/>
        <v>-2.2248900571368097E-2</v>
      </c>
      <c r="U23" s="249" t="e">
        <f>G23/H23 * 21600 * (1-#REF!)</f>
        <v>#DIV/0!</v>
      </c>
      <c r="V23" s="250" t="e">
        <f t="shared" si="15"/>
        <v>#DIV/0!</v>
      </c>
      <c r="X23" s="266">
        <v>150</v>
      </c>
      <c r="Y23" s="140">
        <v>0.3</v>
      </c>
      <c r="Z23" s="192">
        <v>0.5</v>
      </c>
      <c r="AA23" s="193">
        <f t="shared" si="6"/>
        <v>4.6238204551776989E-6</v>
      </c>
      <c r="AB23" s="193">
        <f t="shared" si="7"/>
        <v>0</v>
      </c>
      <c r="AC23" s="194">
        <f t="shared" si="8"/>
        <v>6.6666666666666671E-3</v>
      </c>
      <c r="AD23" s="195">
        <f t="shared" si="11"/>
        <v>0</v>
      </c>
      <c r="AE23" s="196">
        <f t="shared" si="12"/>
        <v>4.6238204551776989E-6</v>
      </c>
    </row>
    <row r="24" spans="2:31" x14ac:dyDescent="0.25">
      <c r="C24" s="6"/>
      <c r="D24" s="121"/>
    </row>
    <row r="25" spans="2:31" ht="15.75" thickBot="1" x14ac:dyDescent="0.3">
      <c r="C25" s="19" t="s">
        <v>109</v>
      </c>
      <c r="D25" s="144"/>
    </row>
    <row r="26" spans="2:31" x14ac:dyDescent="0.25">
      <c r="C26" s="6" t="s">
        <v>99</v>
      </c>
      <c r="D26" s="198">
        <f>H10</f>
        <v>14770000000</v>
      </c>
    </row>
    <row r="27" spans="2:31" x14ac:dyDescent="0.25">
      <c r="C27" s="6" t="s">
        <v>93</v>
      </c>
      <c r="D27" s="199">
        <f>G10</f>
        <v>11630000</v>
      </c>
    </row>
    <row r="28" spans="2:31" ht="15.75" thickBot="1" x14ac:dyDescent="0.3">
      <c r="C28" s="6" t="s">
        <v>108</v>
      </c>
      <c r="D28" s="200">
        <v>0.7</v>
      </c>
    </row>
    <row r="29" spans="2:31" x14ac:dyDescent="0.25">
      <c r="C29" s="6"/>
      <c r="D29" s="31"/>
    </row>
    <row r="30" spans="2:31" x14ac:dyDescent="0.25">
      <c r="C30" s="6"/>
      <c r="D30" s="73"/>
    </row>
    <row r="31" spans="2:31" x14ac:dyDescent="0.25">
      <c r="C31" s="6" t="s">
        <v>117</v>
      </c>
      <c r="D31" s="30">
        <v>432000</v>
      </c>
      <c r="E31" s="132"/>
      <c r="F31" s="132"/>
      <c r="G31" s="132"/>
      <c r="H31" s="132"/>
      <c r="I31" s="133"/>
      <c r="J31" s="133"/>
      <c r="K31" s="133"/>
      <c r="L31" s="133"/>
      <c r="N31" s="133"/>
      <c r="T31" s="133"/>
    </row>
    <row r="32" spans="2:31" x14ac:dyDescent="0.25">
      <c r="C32" s="6" t="s">
        <v>118</v>
      </c>
      <c r="D32" s="123">
        <f>(D27/D26) *0.05 * 0.985 *(1-D28)</f>
        <v>1.1633937034529454E-5</v>
      </c>
      <c r="E32" s="133"/>
      <c r="F32" s="133"/>
      <c r="G32" s="106"/>
      <c r="H32" s="133"/>
      <c r="I32" s="133"/>
      <c r="J32" s="133"/>
      <c r="K32" s="133"/>
      <c r="L32" s="133"/>
      <c r="N32" s="133"/>
      <c r="T32" s="133"/>
    </row>
    <row r="33" spans="3:20" x14ac:dyDescent="0.25">
      <c r="C33" s="6" t="s">
        <v>88</v>
      </c>
      <c r="D33" s="24">
        <f>D31*D32*(1-D32)</f>
        <v>5.0258023283686457</v>
      </c>
      <c r="E33" s="133"/>
      <c r="F33" s="133"/>
      <c r="G33" s="107"/>
      <c r="H33" s="141"/>
      <c r="I33" s="133"/>
      <c r="J33" s="133"/>
      <c r="K33" s="133"/>
      <c r="L33" s="133"/>
      <c r="N33" s="133"/>
      <c r="T33" s="133"/>
    </row>
    <row r="34" spans="3:20" x14ac:dyDescent="0.25">
      <c r="C34" s="6" t="s">
        <v>91</v>
      </c>
      <c r="D34" s="24">
        <f>SQRT(D33)</f>
        <v>2.2418301292400917</v>
      </c>
      <c r="E34" s="133"/>
      <c r="F34" s="133"/>
      <c r="G34" s="139"/>
      <c r="H34" s="133"/>
      <c r="I34" s="133"/>
      <c r="J34" s="133"/>
      <c r="K34" s="133"/>
      <c r="L34" s="133"/>
      <c r="N34" s="133"/>
      <c r="T34" s="133"/>
    </row>
    <row r="35" spans="3:20" x14ac:dyDescent="0.25">
      <c r="C35" s="6" t="s">
        <v>92</v>
      </c>
      <c r="D35" s="24">
        <f>D34*3</f>
        <v>6.7254903877202752</v>
      </c>
      <c r="E35" s="134"/>
      <c r="F35" s="134"/>
      <c r="G35" s="133"/>
      <c r="H35" s="133"/>
      <c r="I35" s="133"/>
      <c r="J35" s="133"/>
      <c r="K35" s="133"/>
      <c r="L35" s="133"/>
      <c r="N35" s="133"/>
      <c r="T35" s="133"/>
    </row>
    <row r="36" spans="3:20" x14ac:dyDescent="0.25">
      <c r="C36" s="6"/>
      <c r="D36" s="31"/>
      <c r="E36" s="133"/>
      <c r="F36" s="133"/>
      <c r="G36" s="133"/>
      <c r="H36" s="133"/>
      <c r="I36" s="133"/>
      <c r="J36" s="133"/>
      <c r="K36" s="133"/>
      <c r="L36" s="133"/>
      <c r="N36" s="133"/>
      <c r="T36" s="133"/>
    </row>
    <row r="37" spans="3:20" x14ac:dyDescent="0.25">
      <c r="C37" s="3" t="s">
        <v>89</v>
      </c>
      <c r="D37" s="3" t="s">
        <v>90</v>
      </c>
      <c r="E37" s="134"/>
      <c r="F37" s="134"/>
      <c r="G37" s="133"/>
      <c r="H37" s="133"/>
      <c r="I37" s="133"/>
      <c r="J37" s="133"/>
      <c r="K37" s="133"/>
      <c r="L37" s="133"/>
      <c r="N37" s="133"/>
      <c r="T37" s="133"/>
    </row>
    <row r="38" spans="3:20" x14ac:dyDescent="0.25">
      <c r="C38" s="31">
        <v>0</v>
      </c>
      <c r="D38" s="4">
        <f>_xlfn.BINOM.DIST(C38,$D$31,$D$32,FALSE)</f>
        <v>6.5657401588775479E-3</v>
      </c>
      <c r="E38" s="133"/>
      <c r="F38" s="133"/>
      <c r="G38" s="133"/>
      <c r="H38" s="133"/>
      <c r="I38" s="133"/>
      <c r="J38" s="133"/>
      <c r="K38" s="133"/>
      <c r="L38" s="133"/>
      <c r="N38" s="133"/>
      <c r="T38" s="133"/>
    </row>
    <row r="39" spans="3:20" x14ac:dyDescent="0.25">
      <c r="C39" s="31">
        <v>1</v>
      </c>
      <c r="D39" s="4">
        <f t="shared" ref="D39:D98" si="17">_xlfn.BINOM.DIST(C39,$D$31,$D$32,FALSE)</f>
        <v>3.2998879987267922E-2</v>
      </c>
      <c r="E39" s="22"/>
      <c r="F39" s="22"/>
      <c r="G39" s="133"/>
      <c r="H39" s="133"/>
      <c r="I39" s="133"/>
      <c r="J39" s="133"/>
      <c r="K39" s="133"/>
      <c r="L39" s="133"/>
      <c r="N39" s="133"/>
      <c r="T39" s="133"/>
    </row>
    <row r="40" spans="3:20" x14ac:dyDescent="0.25">
      <c r="C40" s="31">
        <v>2</v>
      </c>
      <c r="D40" s="4">
        <f t="shared" si="17"/>
        <v>8.2924661454927773E-2</v>
      </c>
      <c r="E40" s="133"/>
      <c r="F40" s="133"/>
      <c r="G40" s="135"/>
      <c r="H40" s="133"/>
      <c r="I40" s="133"/>
      <c r="J40" s="133"/>
      <c r="K40" s="133"/>
      <c r="L40" s="133"/>
      <c r="N40" s="133"/>
      <c r="T40" s="133"/>
    </row>
    <row r="41" spans="3:20" x14ac:dyDescent="0.25">
      <c r="C41" s="31">
        <v>3</v>
      </c>
      <c r="D41" s="4">
        <f t="shared" si="17"/>
        <v>0.1389235748245162</v>
      </c>
      <c r="E41" s="133"/>
      <c r="F41" s="133"/>
      <c r="G41" s="136"/>
      <c r="H41" s="133"/>
      <c r="I41" s="133"/>
      <c r="J41" s="133"/>
      <c r="K41" s="133"/>
      <c r="L41" s="133"/>
      <c r="N41" s="133"/>
      <c r="T41" s="133"/>
    </row>
    <row r="42" spans="3:20" x14ac:dyDescent="0.25">
      <c r="C42" s="31">
        <v>4</v>
      </c>
      <c r="D42" s="4">
        <f t="shared" si="17"/>
        <v>0.17455345576179943</v>
      </c>
      <c r="E42" s="133"/>
      <c r="F42" s="133"/>
      <c r="G42" s="136"/>
      <c r="H42" s="133"/>
      <c r="I42" s="133"/>
      <c r="J42" s="133"/>
      <c r="K42" s="133"/>
      <c r="L42" s="133"/>
      <c r="N42" s="133"/>
      <c r="T42" s="133"/>
    </row>
    <row r="43" spans="3:20" x14ac:dyDescent="0.25">
      <c r="C43" s="31">
        <v>5</v>
      </c>
      <c r="D43" s="4">
        <f t="shared" si="17"/>
        <v>0.17545669078269643</v>
      </c>
      <c r="E43" s="133"/>
      <c r="F43" s="133"/>
      <c r="G43" s="136"/>
      <c r="H43" s="133"/>
      <c r="I43" s="133"/>
      <c r="J43" s="133"/>
      <c r="K43" s="133"/>
      <c r="L43" s="133"/>
      <c r="N43" s="133"/>
      <c r="T43" s="133"/>
    </row>
    <row r="44" spans="3:20" x14ac:dyDescent="0.25">
      <c r="C44" s="31">
        <v>6</v>
      </c>
      <c r="D44" s="4">
        <f t="shared" si="17"/>
        <v>0.14697015948357203</v>
      </c>
      <c r="E44" s="133"/>
      <c r="F44" s="133"/>
      <c r="G44" s="136"/>
      <c r="H44" s="133"/>
      <c r="I44" s="133"/>
      <c r="J44" s="133"/>
      <c r="K44" s="133"/>
      <c r="L44" s="133"/>
      <c r="N44" s="133"/>
      <c r="T44" s="133"/>
    </row>
    <row r="45" spans="3:20" x14ac:dyDescent="0.25">
      <c r="C45" s="31">
        <v>7</v>
      </c>
      <c r="D45" s="4">
        <f t="shared" si="17"/>
        <v>0.10552141393084763</v>
      </c>
      <c r="E45" s="133"/>
      <c r="F45" s="133"/>
      <c r="G45" s="137"/>
      <c r="H45" s="133"/>
      <c r="I45" s="133"/>
      <c r="J45" s="133"/>
      <c r="K45" s="133"/>
      <c r="L45" s="133"/>
      <c r="N45" s="133"/>
      <c r="T45" s="133"/>
    </row>
    <row r="46" spans="3:20" x14ac:dyDescent="0.25">
      <c r="C46" s="31">
        <v>8</v>
      </c>
      <c r="D46" s="4">
        <f t="shared" si="17"/>
        <v>6.6291689272703166E-2</v>
      </c>
      <c r="E46" s="133"/>
      <c r="F46" s="133"/>
      <c r="G46" s="136"/>
      <c r="H46" s="133"/>
      <c r="I46" s="133"/>
      <c r="J46" s="133"/>
      <c r="K46" s="133"/>
      <c r="L46" s="133"/>
      <c r="N46" s="133"/>
      <c r="T46" s="133"/>
    </row>
    <row r="47" spans="3:20" x14ac:dyDescent="0.25">
      <c r="C47" s="31">
        <v>9</v>
      </c>
      <c r="D47" s="4">
        <f t="shared" si="17"/>
        <v>3.701894540307276E-2</v>
      </c>
      <c r="E47" s="132"/>
      <c r="F47" s="132"/>
      <c r="G47" s="138"/>
      <c r="H47" s="133"/>
      <c r="I47" s="133"/>
      <c r="J47" s="133"/>
      <c r="K47" s="133"/>
      <c r="L47" s="133"/>
      <c r="N47" s="133"/>
      <c r="T47" s="133"/>
    </row>
    <row r="48" spans="3:20" x14ac:dyDescent="0.25">
      <c r="C48" s="31">
        <v>10</v>
      </c>
      <c r="D48" s="4">
        <f t="shared" si="17"/>
        <v>1.860503549319371E-2</v>
      </c>
      <c r="E48" s="22"/>
      <c r="F48" s="22"/>
      <c r="G48" s="133"/>
      <c r="H48" s="133"/>
      <c r="I48" s="133"/>
      <c r="J48" s="133"/>
      <c r="K48" s="133"/>
      <c r="L48" s="133"/>
      <c r="N48" s="133"/>
      <c r="T48" s="133"/>
    </row>
    <row r="49" spans="3:4" x14ac:dyDescent="0.25">
      <c r="C49" s="31">
        <v>11</v>
      </c>
      <c r="D49" s="4">
        <f t="shared" si="17"/>
        <v>8.5004765348798694E-3</v>
      </c>
    </row>
    <row r="50" spans="3:4" x14ac:dyDescent="0.25">
      <c r="C50" s="31">
        <v>12</v>
      </c>
      <c r="D50" s="4">
        <f t="shared" si="17"/>
        <v>3.560135081276357E-3</v>
      </c>
    </row>
    <row r="51" spans="3:4" x14ac:dyDescent="0.25">
      <c r="C51" s="31">
        <v>13</v>
      </c>
      <c r="D51" s="4">
        <f t="shared" si="17"/>
        <v>1.3763426525288762E-3</v>
      </c>
    </row>
    <row r="52" spans="3:4" x14ac:dyDescent="0.25">
      <c r="C52" s="31">
        <v>14</v>
      </c>
      <c r="D52" s="4">
        <f t="shared" si="17"/>
        <v>4.9408420696834654E-4</v>
      </c>
    </row>
    <row r="53" spans="3:4" x14ac:dyDescent="0.25">
      <c r="C53" s="31">
        <v>15</v>
      </c>
      <c r="D53" s="4">
        <f t="shared" si="17"/>
        <v>1.6554312412777079E-4</v>
      </c>
    </row>
    <row r="54" spans="3:4" x14ac:dyDescent="0.25">
      <c r="C54" s="31">
        <v>16</v>
      </c>
      <c r="D54" s="4">
        <f t="shared" si="17"/>
        <v>5.1998593030215442E-5</v>
      </c>
    </row>
    <row r="55" spans="3:4" x14ac:dyDescent="0.25">
      <c r="C55" s="31">
        <v>17</v>
      </c>
      <c r="D55" s="4">
        <f t="shared" si="17"/>
        <v>1.5372414790862686E-5</v>
      </c>
    </row>
    <row r="56" spans="3:4" x14ac:dyDescent="0.25">
      <c r="C56" s="31">
        <v>18</v>
      </c>
      <c r="D56" s="4">
        <f t="shared" si="17"/>
        <v>4.292081965649485E-6</v>
      </c>
    </row>
    <row r="57" spans="3:4" x14ac:dyDescent="0.25">
      <c r="C57" s="31">
        <v>19</v>
      </c>
      <c r="D57" s="4">
        <f t="shared" si="17"/>
        <v>1.1353030863757346E-6</v>
      </c>
    </row>
    <row r="58" spans="3:4" x14ac:dyDescent="0.25">
      <c r="C58" s="31">
        <v>20</v>
      </c>
      <c r="D58" s="4">
        <f t="shared" si="17"/>
        <v>2.8528453517517632E-7</v>
      </c>
    </row>
    <row r="59" spans="3:4" x14ac:dyDescent="0.25">
      <c r="C59" s="31">
        <v>21</v>
      </c>
      <c r="D59" s="4">
        <f t="shared" si="17"/>
        <v>6.8273841066316617E-8</v>
      </c>
    </row>
    <row r="60" spans="3:4" x14ac:dyDescent="0.25">
      <c r="C60" s="31">
        <v>22</v>
      </c>
      <c r="D60" s="4">
        <f t="shared" si="17"/>
        <v>1.5596460595592392E-8</v>
      </c>
    </row>
    <row r="61" spans="3:4" x14ac:dyDescent="0.25">
      <c r="C61" s="31">
        <v>23</v>
      </c>
      <c r="D61" s="4">
        <f t="shared" si="17"/>
        <v>3.4079373889440223E-9</v>
      </c>
    </row>
    <row r="62" spans="3:4" x14ac:dyDescent="0.25">
      <c r="C62" s="31">
        <v>24</v>
      </c>
      <c r="D62" s="4">
        <f t="shared" si="17"/>
        <v>7.1362942859023038E-10</v>
      </c>
    </row>
    <row r="63" spans="3:4" x14ac:dyDescent="0.25">
      <c r="C63" s="31">
        <v>25</v>
      </c>
      <c r="D63" s="4">
        <f t="shared" si="17"/>
        <v>1.4345778555599852E-10</v>
      </c>
    </row>
    <row r="64" spans="3:4" x14ac:dyDescent="0.25">
      <c r="C64" s="31">
        <v>26</v>
      </c>
      <c r="D64" s="4">
        <f t="shared" si="17"/>
        <v>2.772944322775777E-11</v>
      </c>
    </row>
    <row r="65" spans="3:4" x14ac:dyDescent="0.25">
      <c r="C65" s="31">
        <v>27</v>
      </c>
      <c r="D65" s="4">
        <f t="shared" si="17"/>
        <v>5.1613909371736387E-12</v>
      </c>
    </row>
    <row r="66" spans="3:4" x14ac:dyDescent="0.25">
      <c r="C66" s="31">
        <v>28</v>
      </c>
      <c r="D66" s="4">
        <f t="shared" si="17"/>
        <v>9.2639688842882567E-13</v>
      </c>
    </row>
    <row r="67" spans="3:4" x14ac:dyDescent="0.25">
      <c r="C67" s="31">
        <v>29</v>
      </c>
      <c r="D67" s="4">
        <f t="shared" si="17"/>
        <v>1.6054117916689973E-13</v>
      </c>
    </row>
    <row r="68" spans="3:4" x14ac:dyDescent="0.25">
      <c r="C68" s="31">
        <v>30</v>
      </c>
      <c r="D68" s="4">
        <f t="shared" si="17"/>
        <v>2.6893761378115257E-14</v>
      </c>
    </row>
    <row r="69" spans="3:4" x14ac:dyDescent="0.25">
      <c r="C69" s="31">
        <v>31</v>
      </c>
      <c r="D69" s="4">
        <f t="shared" si="17"/>
        <v>4.3598866786437025E-15</v>
      </c>
    </row>
    <row r="70" spans="3:4" x14ac:dyDescent="0.25">
      <c r="C70" s="31">
        <v>32</v>
      </c>
      <c r="D70" s="4">
        <f t="shared" si="17"/>
        <v>6.8471456417158482E-16</v>
      </c>
    </row>
    <row r="71" spans="3:4" x14ac:dyDescent="0.25">
      <c r="C71" s="31">
        <v>33</v>
      </c>
      <c r="D71" s="4">
        <f t="shared" si="17"/>
        <v>1.042747033338569E-16</v>
      </c>
    </row>
    <row r="72" spans="3:4" x14ac:dyDescent="0.25">
      <c r="C72" s="31">
        <v>34</v>
      </c>
      <c r="D72" s="4">
        <f t="shared" si="17"/>
        <v>1.5412829625663418E-17</v>
      </c>
    </row>
    <row r="73" spans="3:4" x14ac:dyDescent="0.25">
      <c r="C73" s="31">
        <v>35</v>
      </c>
      <c r="D73" s="4">
        <f t="shared" si="17"/>
        <v>2.2130725927976015E-18</v>
      </c>
    </row>
    <row r="74" spans="3:4" x14ac:dyDescent="0.25">
      <c r="C74" s="31">
        <v>36</v>
      </c>
      <c r="D74" s="4">
        <f t="shared" si="17"/>
        <v>3.0893952899265536E-19</v>
      </c>
    </row>
    <row r="75" spans="3:4" x14ac:dyDescent="0.25">
      <c r="C75" s="31">
        <v>37</v>
      </c>
      <c r="D75" s="4">
        <f t="shared" si="17"/>
        <v>4.1961506485929625E-20</v>
      </c>
    </row>
    <row r="76" spans="3:4" x14ac:dyDescent="0.25">
      <c r="C76" s="31">
        <v>38</v>
      </c>
      <c r="D76" s="4">
        <f t="shared" si="17"/>
        <v>5.5493968756159934E-21</v>
      </c>
    </row>
    <row r="77" spans="3:4" x14ac:dyDescent="0.25">
      <c r="C77" s="31">
        <v>39</v>
      </c>
      <c r="D77" s="4">
        <f t="shared" si="17"/>
        <v>7.1508634193880665E-22</v>
      </c>
    </row>
    <row r="78" spans="3:4" x14ac:dyDescent="0.25">
      <c r="C78" s="31">
        <v>40</v>
      </c>
      <c r="D78" s="4">
        <f t="shared" si="17"/>
        <v>8.9841044262087101E-23</v>
      </c>
    </row>
    <row r="79" spans="3:4" x14ac:dyDescent="0.25">
      <c r="C79" s="31">
        <v>41</v>
      </c>
      <c r="D79" s="4">
        <f t="shared" si="17"/>
        <v>1.1012000656544083E-23</v>
      </c>
    </row>
    <row r="80" spans="3:4" x14ac:dyDescent="0.25">
      <c r="C80" s="31">
        <v>42</v>
      </c>
      <c r="D80" s="4">
        <f t="shared" si="17"/>
        <v>1.3176231812297926E-24</v>
      </c>
    </row>
    <row r="81" spans="3:4" x14ac:dyDescent="0.25">
      <c r="C81" s="31">
        <v>43</v>
      </c>
      <c r="D81" s="4">
        <f t="shared" si="17"/>
        <v>1.5399125362202573E-25</v>
      </c>
    </row>
    <row r="82" spans="3:4" x14ac:dyDescent="0.25">
      <c r="C82" s="31">
        <v>44</v>
      </c>
      <c r="D82" s="4">
        <f t="shared" si="17"/>
        <v>1.7587967558202655E-26</v>
      </c>
    </row>
    <row r="83" spans="3:4" x14ac:dyDescent="0.25">
      <c r="C83" s="31">
        <v>45</v>
      </c>
      <c r="D83" s="4">
        <f t="shared" si="17"/>
        <v>1.964148929048854E-27</v>
      </c>
    </row>
    <row r="84" spans="3:4" x14ac:dyDescent="0.25">
      <c r="C84" s="31">
        <v>46</v>
      </c>
      <c r="D84" s="4">
        <f t="shared" si="17"/>
        <v>2.1457881857945093E-28</v>
      </c>
    </row>
    <row r="85" spans="3:4" x14ac:dyDescent="0.25">
      <c r="C85" s="31">
        <v>47</v>
      </c>
      <c r="D85" s="4">
        <f t="shared" si="17"/>
        <v>2.2943425184895524E-29</v>
      </c>
    </row>
    <row r="86" spans="3:4" x14ac:dyDescent="0.25">
      <c r="C86" s="31">
        <v>48</v>
      </c>
      <c r="D86" s="4">
        <f t="shared" si="17"/>
        <v>2.4020678596424288E-30</v>
      </c>
    </row>
    <row r="87" spans="3:4" x14ac:dyDescent="0.25">
      <c r="C87" s="31">
        <v>49</v>
      </c>
      <c r="D87" s="4">
        <f t="shared" si="17"/>
        <v>2.4635219885853911E-31</v>
      </c>
    </row>
    <row r="88" spans="3:4" x14ac:dyDescent="0.25">
      <c r="C88" s="31">
        <v>50</v>
      </c>
      <c r="D88" s="4">
        <f t="shared" si="17"/>
        <v>2.4760116511986892E-32</v>
      </c>
    </row>
    <row r="89" spans="3:4" x14ac:dyDescent="0.25">
      <c r="C89" s="31">
        <v>51</v>
      </c>
      <c r="D89" s="4">
        <f t="shared" si="17"/>
        <v>2.4397636011616466E-33</v>
      </c>
    </row>
    <row r="90" spans="3:4" x14ac:dyDescent="0.25">
      <c r="C90" s="31">
        <v>52</v>
      </c>
      <c r="D90" s="4">
        <f t="shared" si="17"/>
        <v>2.3578090949948674E-34</v>
      </c>
    </row>
    <row r="91" spans="3:4" x14ac:dyDescent="0.25">
      <c r="C91" s="31">
        <v>53</v>
      </c>
      <c r="D91" s="4">
        <f t="shared" si="17"/>
        <v>2.2356097656473153E-35</v>
      </c>
    </row>
    <row r="92" spans="3:4" x14ac:dyDescent="0.25">
      <c r="C92" s="31">
        <v>54</v>
      </c>
      <c r="D92" s="4">
        <f t="shared" si="17"/>
        <v>2.0804843910484875E-36</v>
      </c>
    </row>
    <row r="93" spans="3:4" x14ac:dyDescent="0.25">
      <c r="C93" s="31">
        <v>55</v>
      </c>
      <c r="D93" s="4">
        <f t="shared" si="17"/>
        <v>1.9009162816150832E-37</v>
      </c>
    </row>
    <row r="94" spans="3:4" x14ac:dyDescent="0.25">
      <c r="C94" s="31">
        <v>56</v>
      </c>
      <c r="D94" s="4">
        <f t="shared" si="17"/>
        <v>1.7058277542558642E-38</v>
      </c>
    </row>
    <row r="95" spans="3:4" x14ac:dyDescent="0.25">
      <c r="C95" s="31">
        <v>57</v>
      </c>
      <c r="D95" s="4">
        <f t="shared" si="17"/>
        <v>1.5039019686215381E-39</v>
      </c>
    </row>
    <row r="96" spans="3:4" x14ac:dyDescent="0.25">
      <c r="C96" s="31">
        <v>58</v>
      </c>
      <c r="D96" s="4">
        <f t="shared" si="17"/>
        <v>1.3030159627164558E-40</v>
      </c>
    </row>
    <row r="97" spans="2:16" x14ac:dyDescent="0.25">
      <c r="C97" s="31">
        <v>59</v>
      </c>
      <c r="D97" s="4">
        <f t="shared" si="17"/>
        <v>1.1098260664687461E-41</v>
      </c>
    </row>
    <row r="98" spans="2:16" x14ac:dyDescent="0.25">
      <c r="C98" s="31">
        <v>60</v>
      </c>
      <c r="D98" s="4">
        <f t="shared" si="17"/>
        <v>9.2952240299395443E-43</v>
      </c>
    </row>
    <row r="99" spans="2:16" x14ac:dyDescent="0.25">
      <c r="C99" s="6"/>
      <c r="D99" s="31"/>
    </row>
    <row r="100" spans="2:16" x14ac:dyDescent="0.25">
      <c r="B100" s="22"/>
      <c r="C100" s="22"/>
      <c r="D100" s="133"/>
      <c r="E100" s="22"/>
      <c r="F100" s="22"/>
      <c r="G100" s="133"/>
      <c r="H100" s="133"/>
      <c r="I100" s="133"/>
      <c r="J100" s="133"/>
      <c r="K100" s="133"/>
      <c r="L100" s="133"/>
      <c r="N100" s="133"/>
      <c r="O100" s="133"/>
      <c r="P100" s="133"/>
    </row>
    <row r="101" spans="2:16" x14ac:dyDescent="0.25">
      <c r="B101" s="22"/>
      <c r="C101" s="22"/>
      <c r="D101" s="315"/>
      <c r="E101" s="133"/>
      <c r="F101" s="133"/>
      <c r="G101" s="133"/>
      <c r="H101" s="133"/>
      <c r="I101" s="133"/>
      <c r="J101" s="133"/>
      <c r="K101" s="133"/>
      <c r="L101" s="133"/>
      <c r="N101" s="133"/>
      <c r="O101" s="133"/>
      <c r="P101" s="133"/>
    </row>
    <row r="102" spans="2:16" x14ac:dyDescent="0.25">
      <c r="B102" s="22"/>
      <c r="C102" s="22"/>
      <c r="D102" s="315"/>
      <c r="E102" s="133"/>
      <c r="F102" s="133"/>
      <c r="G102" s="133"/>
      <c r="H102" s="133"/>
      <c r="I102" s="133"/>
      <c r="J102" s="133"/>
      <c r="K102" s="133"/>
      <c r="L102" s="133"/>
      <c r="N102" s="133"/>
      <c r="O102" s="133"/>
      <c r="P102" s="133"/>
    </row>
    <row r="103" spans="2:16" x14ac:dyDescent="0.25">
      <c r="B103" s="22"/>
      <c r="C103" s="22"/>
      <c r="D103" s="141"/>
      <c r="E103" s="133"/>
      <c r="F103" s="133"/>
      <c r="G103" s="133"/>
      <c r="H103" s="133"/>
      <c r="I103" s="133"/>
      <c r="J103" s="133"/>
      <c r="K103" s="133"/>
      <c r="L103" s="133"/>
      <c r="N103" s="133"/>
      <c r="O103" s="133"/>
      <c r="P103" s="133"/>
    </row>
    <row r="104" spans="2:16" x14ac:dyDescent="0.25">
      <c r="B104" s="22"/>
      <c r="C104" s="22"/>
      <c r="D104" s="133"/>
      <c r="E104" s="133"/>
      <c r="F104" s="133"/>
      <c r="G104" s="133"/>
      <c r="H104" s="133"/>
      <c r="I104" s="133"/>
      <c r="J104" s="133"/>
      <c r="K104" s="133"/>
      <c r="L104" s="133"/>
      <c r="N104" s="133"/>
      <c r="O104" s="133"/>
      <c r="P104" s="133"/>
    </row>
    <row r="105" spans="2:16" x14ac:dyDescent="0.25">
      <c r="B105" s="22"/>
      <c r="C105" s="94"/>
      <c r="D105" s="133"/>
      <c r="E105" s="133"/>
      <c r="F105" s="133"/>
      <c r="G105" s="133"/>
      <c r="H105" s="133"/>
      <c r="I105" s="133"/>
      <c r="J105" s="133"/>
      <c r="K105" s="133"/>
      <c r="L105" s="133"/>
      <c r="N105" s="133"/>
      <c r="O105" s="133"/>
      <c r="P105" s="133"/>
    </row>
    <row r="106" spans="2:16" x14ac:dyDescent="0.25">
      <c r="B106" s="22"/>
      <c r="C106" s="22"/>
      <c r="D106" s="133"/>
      <c r="E106" s="133"/>
      <c r="F106" s="133"/>
      <c r="G106" s="133"/>
      <c r="H106" s="133"/>
      <c r="I106" s="133"/>
      <c r="J106" s="133"/>
      <c r="K106" s="133"/>
      <c r="L106" s="133"/>
      <c r="N106" s="133"/>
      <c r="O106" s="133"/>
      <c r="P106" s="133"/>
    </row>
    <row r="107" spans="2:16" x14ac:dyDescent="0.25">
      <c r="B107" s="22"/>
      <c r="C107" s="22"/>
      <c r="D107" s="318"/>
      <c r="E107" s="316"/>
      <c r="F107" s="316"/>
      <c r="G107" s="133"/>
      <c r="H107" s="133"/>
      <c r="I107" s="133"/>
      <c r="J107" s="133"/>
      <c r="K107" s="133"/>
      <c r="L107" s="133"/>
      <c r="N107" s="133"/>
      <c r="O107" s="133"/>
      <c r="P107" s="133"/>
    </row>
    <row r="108" spans="2:16" x14ac:dyDescent="0.25">
      <c r="B108" s="22"/>
      <c r="C108" s="94"/>
      <c r="D108" s="65"/>
      <c r="E108" s="133"/>
      <c r="F108" s="133"/>
      <c r="G108" s="133"/>
      <c r="H108" s="133"/>
      <c r="I108" s="133"/>
      <c r="J108" s="133"/>
      <c r="K108" s="133"/>
      <c r="L108" s="133"/>
      <c r="N108" s="133"/>
      <c r="O108" s="133"/>
      <c r="P108" s="133"/>
    </row>
    <row r="109" spans="2:16" x14ac:dyDescent="0.25">
      <c r="B109" s="22"/>
      <c r="C109" s="22"/>
      <c r="D109" s="133"/>
      <c r="E109" s="133"/>
      <c r="F109" s="133"/>
      <c r="G109" s="133"/>
      <c r="H109" s="133"/>
      <c r="I109" s="133"/>
      <c r="J109" s="133"/>
      <c r="K109" s="133"/>
      <c r="L109" s="133"/>
      <c r="N109" s="133"/>
      <c r="O109" s="133"/>
      <c r="P109" s="133"/>
    </row>
    <row r="110" spans="2:16" x14ac:dyDescent="0.25">
      <c r="B110" s="22"/>
      <c r="C110" s="22"/>
      <c r="D110" s="133"/>
      <c r="E110" s="133"/>
      <c r="F110" s="133"/>
      <c r="G110" s="133"/>
      <c r="H110" s="133"/>
      <c r="I110" s="133"/>
      <c r="J110" s="133"/>
      <c r="K110" s="133"/>
      <c r="L110" s="133"/>
      <c r="N110" s="133"/>
      <c r="O110" s="133"/>
      <c r="P110" s="133"/>
    </row>
    <row r="111" spans="2:16" x14ac:dyDescent="0.25">
      <c r="B111" s="22"/>
      <c r="C111" s="94"/>
      <c r="D111" s="133"/>
      <c r="E111" s="133"/>
      <c r="F111" s="133"/>
      <c r="G111" s="133"/>
      <c r="H111" s="133"/>
      <c r="I111" s="133"/>
      <c r="J111" s="133"/>
      <c r="K111" s="133"/>
      <c r="L111" s="133"/>
      <c r="N111" s="133"/>
      <c r="O111" s="133"/>
      <c r="P111" s="133"/>
    </row>
    <row r="112" spans="2:16" x14ac:dyDescent="0.25">
      <c r="B112" s="22"/>
      <c r="C112" s="22"/>
      <c r="D112" s="133"/>
      <c r="E112" s="133"/>
      <c r="F112" s="133"/>
      <c r="G112" s="133"/>
      <c r="H112" s="133"/>
      <c r="I112" s="133"/>
      <c r="J112" s="133"/>
      <c r="K112" s="133"/>
      <c r="L112" s="133"/>
      <c r="N112" s="133"/>
      <c r="O112" s="133"/>
      <c r="P112" s="133"/>
    </row>
    <row r="113" spans="1:16" x14ac:dyDescent="0.25">
      <c r="B113" s="22"/>
      <c r="C113" s="22"/>
      <c r="D113" s="319"/>
      <c r="E113" s="316"/>
      <c r="F113" s="316"/>
      <c r="G113" s="133"/>
      <c r="H113" s="133"/>
      <c r="I113" s="133"/>
      <c r="J113" s="133"/>
      <c r="K113" s="133"/>
      <c r="L113" s="133"/>
      <c r="N113" s="133"/>
      <c r="O113" s="133"/>
      <c r="P113" s="133"/>
    </row>
    <row r="114" spans="1:16" x14ac:dyDescent="0.25">
      <c r="B114" s="22"/>
      <c r="C114" s="22"/>
      <c r="D114" s="135"/>
      <c r="E114" s="133"/>
      <c r="F114" s="133"/>
      <c r="G114" s="133"/>
      <c r="H114" s="133"/>
      <c r="I114" s="133"/>
      <c r="J114" s="133"/>
      <c r="K114" s="133"/>
      <c r="L114" s="133"/>
      <c r="N114" s="133"/>
      <c r="O114" s="133"/>
      <c r="P114" s="133"/>
    </row>
    <row r="115" spans="1:16" x14ac:dyDescent="0.25">
      <c r="B115" s="22"/>
      <c r="C115" s="22"/>
      <c r="D115" s="133"/>
      <c r="E115" s="133"/>
      <c r="F115" s="133"/>
      <c r="G115" s="133"/>
      <c r="H115" s="133"/>
      <c r="I115" s="133"/>
      <c r="J115" s="133"/>
      <c r="K115" s="133"/>
      <c r="L115" s="133"/>
      <c r="N115" s="133"/>
      <c r="O115" s="133"/>
      <c r="P115" s="133"/>
    </row>
    <row r="116" spans="1:16" x14ac:dyDescent="0.25">
      <c r="B116" s="22"/>
      <c r="C116" s="22"/>
      <c r="D116" s="133"/>
      <c r="E116" s="22"/>
      <c r="F116" s="22"/>
      <c r="G116" s="133"/>
      <c r="H116" s="133"/>
      <c r="I116" s="133"/>
      <c r="J116" s="133"/>
      <c r="K116" s="133"/>
      <c r="L116" s="133"/>
      <c r="N116" s="133"/>
      <c r="O116" s="133"/>
      <c r="P116" s="133"/>
    </row>
    <row r="117" spans="1:16" x14ac:dyDescent="0.25">
      <c r="B117" s="22"/>
      <c r="C117" s="22"/>
      <c r="D117" s="133"/>
      <c r="E117" s="22"/>
      <c r="F117" s="22"/>
      <c r="G117" s="133"/>
      <c r="H117" s="133"/>
      <c r="I117" s="133"/>
      <c r="J117" s="133"/>
      <c r="K117" s="133"/>
      <c r="L117" s="133"/>
      <c r="N117" s="133"/>
      <c r="O117" s="133"/>
      <c r="P117" s="133"/>
    </row>
    <row r="118" spans="1:16" x14ac:dyDescent="0.25">
      <c r="B118" s="22"/>
      <c r="C118" s="132"/>
      <c r="D118" s="132"/>
      <c r="E118" s="22"/>
      <c r="F118" s="22"/>
      <c r="G118" s="133"/>
      <c r="H118" s="133"/>
      <c r="I118" s="133"/>
      <c r="J118" s="133"/>
      <c r="K118" s="133"/>
      <c r="L118" s="133"/>
      <c r="N118" s="133"/>
      <c r="O118" s="133"/>
      <c r="P118" s="133"/>
    </row>
    <row r="119" spans="1:16" x14ac:dyDescent="0.25">
      <c r="B119" s="22"/>
      <c r="C119" s="133"/>
      <c r="D119" s="317"/>
      <c r="E119" s="22"/>
      <c r="F119" s="22"/>
      <c r="G119" s="133"/>
      <c r="H119" s="133"/>
      <c r="I119" s="133"/>
      <c r="J119" s="133"/>
      <c r="K119" s="133"/>
      <c r="L119" s="133"/>
      <c r="N119" s="133"/>
      <c r="O119" s="133"/>
      <c r="P119" s="133"/>
    </row>
    <row r="120" spans="1:16" x14ac:dyDescent="0.25">
      <c r="A120" s="208" t="s">
        <v>119</v>
      </c>
      <c r="B120" s="307"/>
      <c r="C120" s="133"/>
      <c r="D120" s="133"/>
      <c r="E120" s="22"/>
      <c r="F120" s="22"/>
      <c r="G120" s="133"/>
      <c r="H120" s="133"/>
      <c r="I120" s="133"/>
      <c r="J120" s="133"/>
      <c r="K120" s="133"/>
      <c r="L120" s="133"/>
      <c r="N120" s="133"/>
      <c r="O120" s="133"/>
      <c r="P120" s="133"/>
    </row>
    <row r="121" spans="1:16" x14ac:dyDescent="0.25">
      <c r="A121" s="209">
        <f t="shared" ref="A121:A140" si="18">$D$101+(C121/86400)</f>
        <v>0</v>
      </c>
      <c r="B121" s="305"/>
      <c r="C121" s="133"/>
      <c r="D121" s="133"/>
      <c r="E121" s="22"/>
      <c r="F121" s="22"/>
      <c r="G121" s="133"/>
      <c r="H121" s="133"/>
      <c r="I121" s="133"/>
      <c r="J121" s="133"/>
      <c r="K121" s="133"/>
      <c r="L121" s="133"/>
      <c r="N121" s="133"/>
      <c r="O121" s="133"/>
      <c r="P121" s="133"/>
    </row>
    <row r="122" spans="1:16" x14ac:dyDescent="0.25">
      <c r="A122" s="209">
        <f t="shared" si="18"/>
        <v>0</v>
      </c>
      <c r="B122" s="305"/>
      <c r="C122" s="133"/>
      <c r="D122" s="133"/>
      <c r="E122" s="22"/>
      <c r="F122" s="22"/>
      <c r="G122" s="133"/>
      <c r="H122" s="133"/>
      <c r="I122" s="133"/>
      <c r="J122" s="133"/>
      <c r="K122" s="133"/>
      <c r="L122" s="133"/>
      <c r="N122" s="133"/>
      <c r="O122" s="133"/>
      <c r="P122" s="133"/>
    </row>
    <row r="123" spans="1:16" x14ac:dyDescent="0.25">
      <c r="A123" s="209">
        <f t="shared" si="18"/>
        <v>0</v>
      </c>
      <c r="B123" s="305"/>
      <c r="C123" s="133"/>
      <c r="D123" s="133"/>
      <c r="E123" s="22"/>
      <c r="F123" s="22"/>
      <c r="G123" s="133"/>
      <c r="H123" s="133"/>
      <c r="I123" s="133"/>
      <c r="J123" s="133"/>
      <c r="K123" s="133"/>
      <c r="L123" s="133"/>
      <c r="N123" s="133"/>
      <c r="O123" s="133"/>
      <c r="P123" s="133"/>
    </row>
    <row r="124" spans="1:16" x14ac:dyDescent="0.25">
      <c r="A124" s="209">
        <f t="shared" si="18"/>
        <v>0</v>
      </c>
      <c r="B124" s="305"/>
      <c r="C124" s="133"/>
      <c r="D124" s="133"/>
      <c r="E124" s="22"/>
      <c r="F124" s="22"/>
      <c r="G124" s="133"/>
      <c r="H124" s="133"/>
      <c r="I124" s="133"/>
      <c r="J124" s="133"/>
      <c r="K124" s="133"/>
      <c r="L124" s="133"/>
      <c r="N124" s="133"/>
      <c r="O124" s="133"/>
      <c r="P124" s="133"/>
    </row>
    <row r="125" spans="1:16" x14ac:dyDescent="0.25">
      <c r="A125" s="209">
        <f t="shared" si="18"/>
        <v>0</v>
      </c>
      <c r="B125" s="305"/>
      <c r="C125" s="133"/>
      <c r="D125" s="133"/>
      <c r="E125" s="22"/>
      <c r="F125" s="22"/>
      <c r="G125" s="133"/>
      <c r="H125" s="133"/>
      <c r="I125" s="133"/>
      <c r="J125" s="133"/>
      <c r="K125" s="133"/>
      <c r="L125" s="133"/>
      <c r="N125" s="133"/>
      <c r="O125" s="133"/>
      <c r="P125" s="133"/>
    </row>
    <row r="126" spans="1:16" x14ac:dyDescent="0.25">
      <c r="A126" s="209">
        <f t="shared" si="18"/>
        <v>0</v>
      </c>
      <c r="B126" s="305"/>
      <c r="C126" s="133"/>
      <c r="D126" s="133"/>
      <c r="E126" s="22"/>
      <c r="F126" s="22"/>
      <c r="G126" s="133"/>
      <c r="H126" s="133"/>
      <c r="I126" s="133"/>
      <c r="J126" s="133"/>
      <c r="K126" s="133"/>
      <c r="L126" s="133"/>
      <c r="N126" s="133"/>
      <c r="O126" s="133"/>
      <c r="P126" s="133"/>
    </row>
    <row r="127" spans="1:16" x14ac:dyDescent="0.25">
      <c r="A127" s="209">
        <f t="shared" si="18"/>
        <v>0</v>
      </c>
      <c r="B127" s="305"/>
      <c r="C127" s="133"/>
      <c r="D127" s="133"/>
      <c r="E127" s="22"/>
      <c r="F127" s="22"/>
      <c r="G127" s="133"/>
      <c r="H127" s="133"/>
      <c r="I127" s="133"/>
      <c r="J127" s="133"/>
      <c r="K127" s="133"/>
      <c r="L127" s="133"/>
      <c r="N127" s="133"/>
      <c r="O127" s="133"/>
      <c r="P127" s="133"/>
    </row>
    <row r="128" spans="1:16" x14ac:dyDescent="0.25">
      <c r="A128" s="209">
        <f t="shared" si="18"/>
        <v>0</v>
      </c>
      <c r="B128" s="305"/>
      <c r="C128" s="133"/>
      <c r="D128" s="133"/>
      <c r="E128" s="22"/>
      <c r="F128" s="22"/>
      <c r="G128" s="133"/>
      <c r="H128" s="133"/>
      <c r="I128" s="133"/>
      <c r="J128" s="133"/>
      <c r="K128" s="133"/>
      <c r="L128" s="133"/>
      <c r="N128" s="133"/>
      <c r="O128" s="133"/>
      <c r="P128" s="133"/>
    </row>
    <row r="129" spans="1:16" x14ac:dyDescent="0.25">
      <c r="A129" s="209">
        <f t="shared" si="18"/>
        <v>0</v>
      </c>
      <c r="B129" s="305"/>
      <c r="C129" s="133"/>
      <c r="D129" s="133"/>
      <c r="E129" s="22"/>
      <c r="F129" s="22"/>
      <c r="G129" s="133"/>
      <c r="H129" s="133"/>
      <c r="I129" s="133"/>
      <c r="J129" s="133"/>
      <c r="K129" s="133"/>
      <c r="L129" s="133"/>
      <c r="N129" s="133"/>
      <c r="O129" s="133"/>
      <c r="P129" s="133"/>
    </row>
    <row r="130" spans="1:16" x14ac:dyDescent="0.25">
      <c r="A130" s="209">
        <f t="shared" si="18"/>
        <v>0</v>
      </c>
      <c r="B130" s="305"/>
      <c r="C130" s="133"/>
      <c r="D130" s="133"/>
      <c r="E130" s="22"/>
      <c r="F130" s="22"/>
      <c r="G130" s="133"/>
      <c r="H130" s="133"/>
      <c r="I130" s="133"/>
      <c r="J130" s="133"/>
      <c r="K130" s="133"/>
      <c r="L130" s="133"/>
      <c r="N130" s="133"/>
      <c r="O130" s="133"/>
      <c r="P130" s="133"/>
    </row>
    <row r="131" spans="1:16" x14ac:dyDescent="0.25">
      <c r="A131" s="209">
        <f t="shared" si="18"/>
        <v>0</v>
      </c>
      <c r="B131" s="305"/>
      <c r="C131" s="133"/>
      <c r="D131" s="133"/>
      <c r="E131" s="22"/>
      <c r="F131" s="22"/>
      <c r="G131" s="133"/>
      <c r="H131" s="133"/>
      <c r="I131" s="133"/>
      <c r="J131" s="133"/>
      <c r="K131" s="133"/>
      <c r="L131" s="133"/>
      <c r="N131" s="133"/>
      <c r="O131" s="133"/>
      <c r="P131" s="133"/>
    </row>
    <row r="132" spans="1:16" x14ac:dyDescent="0.25">
      <c r="A132" s="209">
        <f t="shared" si="18"/>
        <v>0</v>
      </c>
      <c r="B132" s="305"/>
      <c r="C132" s="133"/>
      <c r="D132" s="133"/>
      <c r="E132" s="22"/>
      <c r="F132" s="22"/>
      <c r="G132" s="133"/>
      <c r="H132" s="133"/>
      <c r="I132" s="133"/>
      <c r="J132" s="133"/>
      <c r="K132" s="133"/>
      <c r="L132" s="133"/>
      <c r="N132" s="133"/>
      <c r="O132" s="133"/>
      <c r="P132" s="133"/>
    </row>
    <row r="133" spans="1:16" x14ac:dyDescent="0.25">
      <c r="A133" s="209">
        <f t="shared" si="18"/>
        <v>0</v>
      </c>
      <c r="B133" s="305"/>
      <c r="C133" s="133"/>
      <c r="D133" s="133"/>
      <c r="E133" s="22"/>
      <c r="F133" s="22"/>
      <c r="G133" s="133"/>
      <c r="H133" s="133"/>
      <c r="I133" s="133"/>
      <c r="J133" s="133"/>
      <c r="K133" s="133"/>
      <c r="L133" s="133"/>
      <c r="N133" s="133"/>
      <c r="O133" s="133"/>
      <c r="P133" s="133"/>
    </row>
    <row r="134" spans="1:16" x14ac:dyDescent="0.25">
      <c r="A134" s="209">
        <f t="shared" si="18"/>
        <v>0</v>
      </c>
      <c r="B134" s="305"/>
      <c r="C134" s="133"/>
      <c r="D134" s="133"/>
      <c r="E134" s="22"/>
      <c r="F134" s="22"/>
      <c r="G134" s="133"/>
      <c r="H134" s="133"/>
      <c r="I134" s="133"/>
      <c r="J134" s="133"/>
      <c r="K134" s="133"/>
      <c r="L134" s="133"/>
      <c r="N134" s="133"/>
      <c r="O134" s="133"/>
      <c r="P134" s="133"/>
    </row>
    <row r="135" spans="1:16" x14ac:dyDescent="0.25">
      <c r="A135" s="209">
        <f t="shared" si="18"/>
        <v>0</v>
      </c>
      <c r="B135" s="305"/>
      <c r="C135" s="133"/>
      <c r="D135" s="133"/>
      <c r="E135" s="22"/>
      <c r="F135" s="22"/>
      <c r="G135" s="133"/>
      <c r="H135" s="133"/>
      <c r="I135" s="133"/>
      <c r="J135" s="133"/>
      <c r="K135" s="133"/>
      <c r="L135" s="133"/>
      <c r="N135" s="133"/>
      <c r="O135" s="133"/>
      <c r="P135" s="133"/>
    </row>
    <row r="136" spans="1:16" x14ac:dyDescent="0.25">
      <c r="A136" s="209">
        <f t="shared" si="18"/>
        <v>0</v>
      </c>
      <c r="B136" s="305"/>
      <c r="C136" s="133"/>
      <c r="D136" s="133"/>
      <c r="E136" s="22"/>
      <c r="F136" s="22"/>
      <c r="G136" s="133"/>
      <c r="H136" s="133"/>
      <c r="I136" s="133"/>
      <c r="J136" s="133"/>
      <c r="K136" s="133"/>
      <c r="L136" s="133"/>
      <c r="N136" s="133"/>
      <c r="O136" s="133"/>
      <c r="P136" s="133"/>
    </row>
    <row r="137" spans="1:16" x14ac:dyDescent="0.25">
      <c r="A137" s="209">
        <f t="shared" si="18"/>
        <v>0</v>
      </c>
      <c r="B137" s="305"/>
      <c r="C137" s="133"/>
      <c r="D137" s="133"/>
      <c r="E137" s="22"/>
      <c r="F137" s="22"/>
      <c r="G137" s="133"/>
      <c r="H137" s="133"/>
      <c r="I137" s="133"/>
      <c r="J137" s="133"/>
      <c r="K137" s="133"/>
      <c r="L137" s="133"/>
      <c r="N137" s="133"/>
      <c r="O137" s="133"/>
      <c r="P137" s="133"/>
    </row>
    <row r="138" spans="1:16" x14ac:dyDescent="0.25">
      <c r="A138" s="209">
        <f t="shared" si="18"/>
        <v>0</v>
      </c>
      <c r="B138" s="305"/>
      <c r="C138" s="133"/>
      <c r="D138" s="133"/>
      <c r="E138" s="22"/>
      <c r="F138" s="22"/>
      <c r="G138" s="133"/>
      <c r="H138" s="133"/>
      <c r="I138" s="133"/>
      <c r="J138" s="133"/>
      <c r="K138" s="133"/>
      <c r="L138" s="133"/>
      <c r="N138" s="133"/>
      <c r="O138" s="133"/>
      <c r="P138" s="133"/>
    </row>
    <row r="139" spans="1:16" x14ac:dyDescent="0.25">
      <c r="A139" s="209">
        <f t="shared" si="18"/>
        <v>0</v>
      </c>
      <c r="B139" s="305"/>
      <c r="C139" s="133"/>
      <c r="D139" s="133"/>
      <c r="E139" s="22"/>
      <c r="F139" s="22"/>
      <c r="G139" s="133"/>
      <c r="H139" s="133"/>
      <c r="I139" s="133"/>
      <c r="J139" s="133"/>
      <c r="K139" s="133"/>
      <c r="L139" s="133"/>
      <c r="N139" s="133"/>
      <c r="O139" s="133"/>
      <c r="P139" s="133"/>
    </row>
    <row r="140" spans="1:16" x14ac:dyDescent="0.25">
      <c r="A140" s="209">
        <f t="shared" si="18"/>
        <v>0</v>
      </c>
      <c r="B140" s="305"/>
      <c r="C140" s="133"/>
      <c r="D140" s="133"/>
      <c r="E140" s="22"/>
      <c r="F140" s="22"/>
      <c r="G140" s="133"/>
      <c r="H140" s="133"/>
      <c r="I140" s="133"/>
      <c r="J140" s="133"/>
      <c r="K140" s="133"/>
      <c r="L140" s="133"/>
      <c r="N140" s="133"/>
      <c r="O140" s="133"/>
      <c r="P140" s="133"/>
    </row>
    <row r="141" spans="1:16" x14ac:dyDescent="0.25">
      <c r="B141" s="22"/>
      <c r="C141" s="22"/>
      <c r="D141" s="133"/>
      <c r="E141" s="22"/>
      <c r="F141" s="22"/>
      <c r="G141" s="133"/>
      <c r="H141" s="133"/>
      <c r="I141" s="133"/>
      <c r="J141" s="133"/>
      <c r="K141" s="133"/>
      <c r="L141" s="133"/>
      <c r="N141" s="133"/>
      <c r="O141" s="133"/>
      <c r="P141" s="133"/>
    </row>
    <row r="142" spans="1:16" x14ac:dyDescent="0.25">
      <c r="B142" s="22"/>
      <c r="C142" s="22"/>
      <c r="D142" s="133"/>
      <c r="E142" s="22"/>
      <c r="F142" s="22"/>
      <c r="G142" s="133"/>
      <c r="H142" s="133"/>
      <c r="I142" s="133"/>
      <c r="J142" s="133"/>
      <c r="K142" s="133"/>
      <c r="L142" s="133"/>
      <c r="N142" s="133"/>
      <c r="O142" s="133"/>
      <c r="P142" s="133"/>
    </row>
    <row r="143" spans="1:16" x14ac:dyDescent="0.25">
      <c r="B143" s="22"/>
      <c r="C143" s="22"/>
      <c r="D143" s="133"/>
      <c r="E143" s="22"/>
      <c r="F143" s="22"/>
      <c r="G143" s="133"/>
      <c r="H143" s="133"/>
      <c r="I143" s="133"/>
      <c r="J143" s="133"/>
      <c r="K143" s="133"/>
      <c r="L143" s="133"/>
      <c r="N143" s="133"/>
      <c r="O143" s="133"/>
      <c r="P143" s="133"/>
    </row>
    <row r="144" spans="1:16" x14ac:dyDescent="0.25">
      <c r="B144" s="22"/>
      <c r="C144" s="22"/>
      <c r="D144" s="133"/>
      <c r="E144" s="22"/>
      <c r="F144" s="22"/>
      <c r="G144" s="133"/>
      <c r="H144" s="133"/>
      <c r="I144" s="133"/>
      <c r="J144" s="133"/>
      <c r="K144" s="133"/>
      <c r="L144" s="133"/>
      <c r="N144" s="133"/>
      <c r="O144" s="133"/>
      <c r="P144" s="133"/>
    </row>
    <row r="145" spans="2:16" x14ac:dyDescent="0.25">
      <c r="B145" s="22"/>
      <c r="C145" s="22"/>
      <c r="D145" s="133"/>
      <c r="E145" s="22"/>
      <c r="F145" s="22"/>
      <c r="G145" s="133"/>
      <c r="H145" s="133"/>
      <c r="I145" s="133"/>
      <c r="J145" s="133"/>
      <c r="K145" s="133"/>
      <c r="L145" s="133"/>
      <c r="N145" s="133"/>
      <c r="O145" s="133"/>
      <c r="P145" s="133"/>
    </row>
    <row r="146" spans="2:16" x14ac:dyDescent="0.25">
      <c r="C146" s="6"/>
      <c r="D146" s="31"/>
    </row>
    <row r="147" spans="2:16" x14ac:dyDescent="0.25">
      <c r="C147" s="6"/>
      <c r="D147" s="31"/>
    </row>
    <row r="148" spans="2:16" x14ac:dyDescent="0.25">
      <c r="C148" s="6"/>
      <c r="D148" s="31"/>
    </row>
    <row r="149" spans="2:16" x14ac:dyDescent="0.25">
      <c r="C149" s="6"/>
      <c r="D149" s="31"/>
    </row>
    <row r="150" spans="2:16" x14ac:dyDescent="0.25">
      <c r="C150" s="6"/>
      <c r="D150" s="31"/>
    </row>
  </sheetData>
  <mergeCells count="3">
    <mergeCell ref="G2:L2"/>
    <mergeCell ref="N2:R2"/>
    <mergeCell ref="T2:V2"/>
  </mergeCells>
  <pageMargins left="0.7" right="0.7" top="0.75" bottom="0.75" header="0.3" footer="0.3"/>
  <pageSetup orientation="portrait" r:id="rId1"/>
  <ignoredErrors>
    <ignoredError sqref="H8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30D5C-5921-48B6-BAF0-B53CE33B013A}">
  <dimension ref="A1:O272"/>
  <sheetViews>
    <sheetView zoomScale="160" zoomScaleNormal="160" workbookViewId="0">
      <selection activeCell="E6" sqref="E6"/>
    </sheetView>
  </sheetViews>
  <sheetFormatPr defaultColWidth="9.140625" defaultRowHeight="15" x14ac:dyDescent="0.25"/>
  <cols>
    <col min="1" max="1" width="12" style="31" bestFit="1" customWidth="1"/>
    <col min="2" max="2" width="10.140625" style="6" bestFit="1" customWidth="1"/>
    <col min="3" max="3" width="9.140625" style="31"/>
    <col min="4" max="4" width="18.7109375" style="31" bestFit="1" customWidth="1"/>
    <col min="5" max="5" width="32" style="31" bestFit="1" customWidth="1"/>
    <col min="6" max="6" width="18.28515625" style="31" customWidth="1"/>
    <col min="7" max="7" width="30.140625" style="31" bestFit="1" customWidth="1"/>
    <col min="8" max="8" width="25.7109375" style="30" bestFit="1" customWidth="1"/>
    <col min="9" max="9" width="47.42578125" style="6" bestFit="1" customWidth="1"/>
    <col min="10" max="10" width="13.5703125" style="6" customWidth="1"/>
    <col min="11" max="11" width="12.7109375" style="6" bestFit="1" customWidth="1"/>
    <col min="12" max="16384" width="9.140625" style="6"/>
  </cols>
  <sheetData>
    <row r="1" spans="1:8" x14ac:dyDescent="0.25">
      <c r="A1" s="83" t="s">
        <v>58</v>
      </c>
      <c r="B1" s="84">
        <f>Rewards_SKY!C29</f>
        <v>3.0000000000000001E-3</v>
      </c>
      <c r="D1" s="274">
        <f>D5-D3</f>
        <v>0</v>
      </c>
      <c r="E1" s="275"/>
      <c r="F1" s="276">
        <f>32239292149804/1000000</f>
        <v>32239292.149804</v>
      </c>
      <c r="G1" s="277">
        <f>F1-D1</f>
        <v>32239292.149804</v>
      </c>
    </row>
    <row r="2" spans="1:8" x14ac:dyDescent="0.25">
      <c r="B2" s="87"/>
      <c r="D2" s="278">
        <v>1.32622808416812E+16</v>
      </c>
      <c r="E2" s="275"/>
      <c r="F2" s="275"/>
      <c r="G2" s="275"/>
    </row>
    <row r="3" spans="1:8" x14ac:dyDescent="0.25">
      <c r="B3" s="85"/>
      <c r="D3" s="208">
        <f>D2/1000000</f>
        <v>13262280841.6812</v>
      </c>
    </row>
    <row r="4" spans="1:8" x14ac:dyDescent="0.25">
      <c r="A4" s="31" t="s">
        <v>57</v>
      </c>
      <c r="B4" s="6" t="s">
        <v>56</v>
      </c>
      <c r="C4" s="31" t="s">
        <v>55</v>
      </c>
      <c r="D4" s="31" t="s">
        <v>54</v>
      </c>
      <c r="E4" s="31" t="s">
        <v>137</v>
      </c>
      <c r="F4" s="31" t="s">
        <v>96</v>
      </c>
      <c r="G4" s="31" t="s">
        <v>60</v>
      </c>
      <c r="H4" s="30" t="s">
        <v>68</v>
      </c>
    </row>
    <row r="5" spans="1:8" x14ac:dyDescent="0.25">
      <c r="A5" s="86">
        <v>44051</v>
      </c>
      <c r="B5" s="6">
        <v>0</v>
      </c>
      <c r="C5" s="31">
        <v>210</v>
      </c>
      <c r="D5" s="30">
        <v>13262280841.6812</v>
      </c>
      <c r="E5" s="31">
        <v>0</v>
      </c>
      <c r="G5" s="31">
        <f>E5</f>
        <v>0</v>
      </c>
      <c r="H5" s="30">
        <f>F84</f>
        <v>31744610633.902542</v>
      </c>
    </row>
    <row r="6" spans="1:8" x14ac:dyDescent="0.25">
      <c r="A6" s="86">
        <f>A5+B6-B5</f>
        <v>44056</v>
      </c>
      <c r="B6" s="6">
        <v>5</v>
      </c>
      <c r="C6" s="31">
        <f>C5+1</f>
        <v>211</v>
      </c>
      <c r="D6" s="30">
        <f>D5-E6</f>
        <v>13222493999.156157</v>
      </c>
      <c r="E6" s="30">
        <f>$B$1*D5</f>
        <v>39786842.525043599</v>
      </c>
      <c r="G6" s="30">
        <f>E6+SUM(E$5:E5)</f>
        <v>39786842.525043599</v>
      </c>
      <c r="H6" s="30">
        <f>H5</f>
        <v>31744610633.902542</v>
      </c>
    </row>
    <row r="7" spans="1:8" x14ac:dyDescent="0.25">
      <c r="A7" s="86">
        <f t="shared" ref="A7:A70" si="0">A6+B7-B6</f>
        <v>44061</v>
      </c>
      <c r="B7" s="6">
        <f>B6+5</f>
        <v>10</v>
      </c>
      <c r="C7" s="31">
        <f t="shared" ref="C7:C70" si="1">C6+1</f>
        <v>212</v>
      </c>
      <c r="D7" s="30">
        <f>D6-E7</f>
        <v>13182826517.158688</v>
      </c>
      <c r="E7" s="30">
        <f t="shared" ref="E7:E70" si="2">$B$1*D6</f>
        <v>39667481.997468472</v>
      </c>
      <c r="G7" s="30">
        <f>E7+SUM(E$5:E6)</f>
        <v>79454324.522512078</v>
      </c>
      <c r="H7" s="30">
        <f>H6</f>
        <v>31744610633.902542</v>
      </c>
    </row>
    <row r="8" spans="1:8" x14ac:dyDescent="0.25">
      <c r="A8" s="86">
        <f t="shared" si="0"/>
        <v>44066</v>
      </c>
      <c r="B8" s="6">
        <f t="shared" ref="B8:B41" si="3">B7+5</f>
        <v>15</v>
      </c>
      <c r="C8" s="31">
        <f t="shared" si="1"/>
        <v>213</v>
      </c>
      <c r="D8" s="30">
        <f t="shared" ref="D8:D71" si="4">D7-E8</f>
        <v>13143278037.607212</v>
      </c>
      <c r="E8" s="30">
        <f t="shared" si="2"/>
        <v>39548479.551476061</v>
      </c>
      <c r="F8" s="30">
        <f>E6</f>
        <v>39786842.525043599</v>
      </c>
      <c r="G8" s="30">
        <f>E8+SUM(E$5:E7)</f>
        <v>119002804.07398814</v>
      </c>
      <c r="H8" s="30">
        <f>H7+F8</f>
        <v>31784397476.427586</v>
      </c>
    </row>
    <row r="9" spans="1:8" x14ac:dyDescent="0.25">
      <c r="A9" s="86">
        <f t="shared" si="0"/>
        <v>44071</v>
      </c>
      <c r="B9" s="6">
        <f t="shared" si="3"/>
        <v>20</v>
      </c>
      <c r="C9" s="31">
        <f t="shared" si="1"/>
        <v>214</v>
      </c>
      <c r="D9" s="30">
        <f t="shared" si="4"/>
        <v>13103848203.49439</v>
      </c>
      <c r="E9" s="30">
        <f t="shared" si="2"/>
        <v>39429834.112821639</v>
      </c>
      <c r="F9" s="30">
        <f t="shared" ref="F9:F72" si="5">E7</f>
        <v>39667481.997468472</v>
      </c>
      <c r="G9" s="30">
        <f>E9+SUM(E$5:E8)</f>
        <v>158432638.18680978</v>
      </c>
      <c r="H9" s="30">
        <f t="shared" ref="H9:H72" si="6">H8+F9</f>
        <v>31824064958.425053</v>
      </c>
    </row>
    <row r="10" spans="1:8" x14ac:dyDescent="0.25">
      <c r="A10" s="86">
        <f t="shared" si="0"/>
        <v>44076</v>
      </c>
      <c r="B10" s="6">
        <f t="shared" si="3"/>
        <v>25</v>
      </c>
      <c r="C10" s="31">
        <f t="shared" si="1"/>
        <v>215</v>
      </c>
      <c r="D10" s="30">
        <f t="shared" si="4"/>
        <v>13064536658.883907</v>
      </c>
      <c r="E10" s="30">
        <f t="shared" si="2"/>
        <v>39311544.61048317</v>
      </c>
      <c r="F10" s="30">
        <f t="shared" si="5"/>
        <v>39548479.551476061</v>
      </c>
      <c r="G10" s="30">
        <f>E10+SUM(E$5:E9)</f>
        <v>197744182.79729295</v>
      </c>
      <c r="H10" s="30">
        <f t="shared" si="6"/>
        <v>31863613437.976528</v>
      </c>
    </row>
    <row r="11" spans="1:8" x14ac:dyDescent="0.25">
      <c r="A11" s="86">
        <f t="shared" si="0"/>
        <v>44081</v>
      </c>
      <c r="B11" s="6">
        <f t="shared" si="3"/>
        <v>30</v>
      </c>
      <c r="C11" s="31">
        <f t="shared" si="1"/>
        <v>216</v>
      </c>
      <c r="D11" s="30">
        <f t="shared" si="4"/>
        <v>13025343048.907255</v>
      </c>
      <c r="E11" s="30">
        <f t="shared" si="2"/>
        <v>39193609.976651721</v>
      </c>
      <c r="F11" s="30">
        <f t="shared" si="5"/>
        <v>39429834.112821639</v>
      </c>
      <c r="G11" s="30">
        <f>E11+SUM(E$5:E10)</f>
        <v>236937792.77394468</v>
      </c>
      <c r="H11" s="30">
        <f t="shared" si="6"/>
        <v>31903043272.089352</v>
      </c>
    </row>
    <row r="12" spans="1:8" x14ac:dyDescent="0.25">
      <c r="A12" s="86">
        <f t="shared" si="0"/>
        <v>44086</v>
      </c>
      <c r="B12" s="6">
        <f t="shared" si="3"/>
        <v>35</v>
      </c>
      <c r="C12" s="31">
        <f t="shared" si="1"/>
        <v>217</v>
      </c>
      <c r="D12" s="30">
        <f t="shared" si="4"/>
        <v>12986267019.760534</v>
      </c>
      <c r="E12" s="30">
        <f t="shared" si="2"/>
        <v>39076029.146721765</v>
      </c>
      <c r="F12" s="30">
        <f t="shared" si="5"/>
        <v>39311544.61048317</v>
      </c>
      <c r="G12" s="30">
        <f>E12+SUM(E$5:E11)</f>
        <v>276013821.92066646</v>
      </c>
      <c r="H12" s="30">
        <f t="shared" si="6"/>
        <v>31942354816.699837</v>
      </c>
    </row>
    <row r="13" spans="1:8" x14ac:dyDescent="0.25">
      <c r="A13" s="86">
        <f t="shared" si="0"/>
        <v>44091</v>
      </c>
      <c r="B13" s="6">
        <f t="shared" si="3"/>
        <v>40</v>
      </c>
      <c r="C13" s="31">
        <f t="shared" si="1"/>
        <v>218</v>
      </c>
      <c r="D13" s="30">
        <f t="shared" si="4"/>
        <v>12947308218.701252</v>
      </c>
      <c r="E13" s="30">
        <f t="shared" si="2"/>
        <v>38958801.059281603</v>
      </c>
      <c r="F13" s="30">
        <f t="shared" si="5"/>
        <v>39193609.976651721</v>
      </c>
      <c r="G13" s="30">
        <f>E13+SUM(E$5:E12)</f>
        <v>314972622.97994804</v>
      </c>
      <c r="H13" s="30">
        <f t="shared" si="6"/>
        <v>31981548426.676487</v>
      </c>
    </row>
    <row r="14" spans="1:8" x14ac:dyDescent="0.25">
      <c r="A14" s="86">
        <f t="shared" si="0"/>
        <v>44096</v>
      </c>
      <c r="B14" s="6">
        <f t="shared" si="3"/>
        <v>45</v>
      </c>
      <c r="C14" s="31">
        <f t="shared" si="1"/>
        <v>219</v>
      </c>
      <c r="D14" s="30">
        <f t="shared" si="4"/>
        <v>12908466294.045149</v>
      </c>
      <c r="E14" s="30">
        <f t="shared" si="2"/>
        <v>38841924.65610376</v>
      </c>
      <c r="F14" s="30">
        <f t="shared" si="5"/>
        <v>39076029.146721765</v>
      </c>
      <c r="G14" s="30">
        <f>E14+SUM(E$5:E13)</f>
        <v>353814547.63605177</v>
      </c>
      <c r="H14" s="30">
        <f t="shared" si="6"/>
        <v>32020624455.823208</v>
      </c>
    </row>
    <row r="15" spans="1:8" x14ac:dyDescent="0.25">
      <c r="A15" s="86">
        <f t="shared" si="0"/>
        <v>44101</v>
      </c>
      <c r="B15" s="6">
        <f t="shared" si="3"/>
        <v>50</v>
      </c>
      <c r="C15" s="31">
        <f t="shared" si="1"/>
        <v>220</v>
      </c>
      <c r="D15" s="30">
        <f t="shared" si="4"/>
        <v>12869740895.163013</v>
      </c>
      <c r="E15" s="30">
        <f t="shared" si="2"/>
        <v>38725398.882135451</v>
      </c>
      <c r="F15" s="30">
        <f t="shared" si="5"/>
        <v>38958801.059281603</v>
      </c>
      <c r="G15" s="30">
        <f>E15+SUM(E$5:E14)</f>
        <v>392539946.51818722</v>
      </c>
      <c r="H15" s="30">
        <f t="shared" si="6"/>
        <v>32059583256.882488</v>
      </c>
    </row>
    <row r="16" spans="1:8" x14ac:dyDescent="0.25">
      <c r="A16" s="86">
        <f t="shared" si="0"/>
        <v>44106</v>
      </c>
      <c r="B16" s="6">
        <f t="shared" si="3"/>
        <v>55</v>
      </c>
      <c r="C16" s="31">
        <f t="shared" si="1"/>
        <v>221</v>
      </c>
      <c r="D16" s="30">
        <f t="shared" si="4"/>
        <v>12831131672.477524</v>
      </c>
      <c r="E16" s="30">
        <f t="shared" si="2"/>
        <v>38609222.685489044</v>
      </c>
      <c r="F16" s="30">
        <f t="shared" si="5"/>
        <v>38841924.65610376</v>
      </c>
      <c r="G16" s="30">
        <f>E16+SUM(E$5:E15)</f>
        <v>431149169.20367628</v>
      </c>
      <c r="H16" s="30">
        <f t="shared" si="6"/>
        <v>32098425181.538593</v>
      </c>
    </row>
    <row r="17" spans="1:8" x14ac:dyDescent="0.25">
      <c r="A17" s="86">
        <f t="shared" si="0"/>
        <v>44111</v>
      </c>
      <c r="B17" s="6">
        <f t="shared" si="3"/>
        <v>60</v>
      </c>
      <c r="C17" s="31">
        <f t="shared" si="1"/>
        <v>222</v>
      </c>
      <c r="D17" s="30">
        <f t="shared" si="4"/>
        <v>12792638277.460091</v>
      </c>
      <c r="E17" s="30">
        <f t="shared" si="2"/>
        <v>38493395.01743257</v>
      </c>
      <c r="F17" s="30">
        <f t="shared" si="5"/>
        <v>38725398.882135451</v>
      </c>
      <c r="G17" s="30">
        <f>E17+SUM(E$5:E16)</f>
        <v>469642564.22110885</v>
      </c>
      <c r="H17" s="30">
        <f t="shared" si="6"/>
        <v>32137150580.420731</v>
      </c>
    </row>
    <row r="18" spans="1:8" x14ac:dyDescent="0.25">
      <c r="A18" s="86">
        <f t="shared" si="0"/>
        <v>44116</v>
      </c>
      <c r="B18" s="6">
        <f t="shared" si="3"/>
        <v>65</v>
      </c>
      <c r="C18" s="31">
        <f t="shared" si="1"/>
        <v>223</v>
      </c>
      <c r="D18" s="30">
        <f t="shared" si="4"/>
        <v>12754260362.62771</v>
      </c>
      <c r="E18" s="30">
        <f t="shared" si="2"/>
        <v>38377914.832380272</v>
      </c>
      <c r="F18" s="30">
        <f t="shared" si="5"/>
        <v>38609222.685489044</v>
      </c>
      <c r="G18" s="30">
        <f>E18+SUM(E$5:E17)</f>
        <v>508020479.05348915</v>
      </c>
      <c r="H18" s="30">
        <f t="shared" si="6"/>
        <v>32175759803.10622</v>
      </c>
    </row>
    <row r="19" spans="1:8" x14ac:dyDescent="0.25">
      <c r="A19" s="86">
        <f t="shared" si="0"/>
        <v>44121</v>
      </c>
      <c r="B19" s="6">
        <f t="shared" si="3"/>
        <v>70</v>
      </c>
      <c r="C19" s="31">
        <f t="shared" si="1"/>
        <v>224</v>
      </c>
      <c r="D19" s="30">
        <f t="shared" si="4"/>
        <v>12715997581.539827</v>
      </c>
      <c r="E19" s="30">
        <f t="shared" si="2"/>
        <v>38262781.08788313</v>
      </c>
      <c r="F19" s="30">
        <f t="shared" si="5"/>
        <v>38493395.01743257</v>
      </c>
      <c r="G19" s="30">
        <f>E19+SUM(E$5:E18)</f>
        <v>546283260.14137232</v>
      </c>
      <c r="H19" s="30">
        <f t="shared" si="6"/>
        <v>32214253198.123653</v>
      </c>
    </row>
    <row r="20" spans="1:8" x14ac:dyDescent="0.25">
      <c r="A20" s="86">
        <f t="shared" si="0"/>
        <v>44126</v>
      </c>
      <c r="B20" s="6">
        <f t="shared" si="3"/>
        <v>75</v>
      </c>
      <c r="C20" s="31">
        <f t="shared" si="1"/>
        <v>225</v>
      </c>
      <c r="D20" s="30">
        <f t="shared" si="4"/>
        <v>12677849588.795208</v>
      </c>
      <c r="E20" s="30">
        <f t="shared" si="2"/>
        <v>38147992.744619481</v>
      </c>
      <c r="F20" s="30">
        <f t="shared" si="5"/>
        <v>38377914.832380272</v>
      </c>
      <c r="G20" s="30">
        <f>E20+SUM(E$5:E19)</f>
        <v>584431252.88599181</v>
      </c>
      <c r="H20" s="30">
        <f t="shared" si="6"/>
        <v>32252631112.956032</v>
      </c>
    </row>
    <row r="21" spans="1:8" x14ac:dyDescent="0.25">
      <c r="A21" s="86">
        <f t="shared" si="0"/>
        <v>44131</v>
      </c>
      <c r="B21" s="6">
        <f t="shared" si="3"/>
        <v>80</v>
      </c>
      <c r="C21" s="31">
        <f t="shared" si="1"/>
        <v>226</v>
      </c>
      <c r="D21" s="30">
        <f t="shared" si="4"/>
        <v>12639816040.028822</v>
      </c>
      <c r="E21" s="30">
        <f t="shared" si="2"/>
        <v>38033548.766385622</v>
      </c>
      <c r="F21" s="30">
        <f t="shared" si="5"/>
        <v>38262781.08788313</v>
      </c>
      <c r="G21" s="30">
        <f>E21+SUM(E$5:E20)</f>
        <v>622464801.65237749</v>
      </c>
      <c r="H21" s="30">
        <f t="shared" si="6"/>
        <v>32290893894.043915</v>
      </c>
    </row>
    <row r="22" spans="1:8" x14ac:dyDescent="0.25">
      <c r="A22" s="86">
        <f t="shared" si="0"/>
        <v>44136</v>
      </c>
      <c r="B22" s="6">
        <f t="shared" si="3"/>
        <v>85</v>
      </c>
      <c r="C22" s="31">
        <f t="shared" si="1"/>
        <v>227</v>
      </c>
      <c r="D22" s="30">
        <f t="shared" si="4"/>
        <v>12601896591.908735</v>
      </c>
      <c r="E22" s="30">
        <f t="shared" si="2"/>
        <v>37919448.120086469</v>
      </c>
      <c r="F22" s="30">
        <f t="shared" si="5"/>
        <v>38147992.744619481</v>
      </c>
      <c r="G22" s="30">
        <f>E22+SUM(E$5:E21)</f>
        <v>660384249.77246392</v>
      </c>
      <c r="H22" s="30">
        <f t="shared" si="6"/>
        <v>32329041886.788536</v>
      </c>
    </row>
    <row r="23" spans="1:8" x14ac:dyDescent="0.25">
      <c r="A23" s="86">
        <f t="shared" si="0"/>
        <v>44141</v>
      </c>
      <c r="B23" s="6">
        <f t="shared" si="3"/>
        <v>90</v>
      </c>
      <c r="C23" s="31">
        <f t="shared" si="1"/>
        <v>228</v>
      </c>
      <c r="D23" s="30">
        <f t="shared" si="4"/>
        <v>12564090902.133009</v>
      </c>
      <c r="E23" s="30">
        <f t="shared" si="2"/>
        <v>37805689.775726207</v>
      </c>
      <c r="F23" s="30">
        <f t="shared" si="5"/>
        <v>38033548.766385622</v>
      </c>
      <c r="G23" s="30">
        <f>E23+SUM(E$5:E22)</f>
        <v>698189939.54819012</v>
      </c>
      <c r="H23" s="30">
        <f t="shared" si="6"/>
        <v>32367075435.55492</v>
      </c>
    </row>
    <row r="24" spans="1:8" x14ac:dyDescent="0.25">
      <c r="A24" s="86">
        <f t="shared" si="0"/>
        <v>44146</v>
      </c>
      <c r="B24" s="6">
        <f t="shared" si="3"/>
        <v>95</v>
      </c>
      <c r="C24" s="31">
        <f t="shared" si="1"/>
        <v>229</v>
      </c>
      <c r="D24" s="30">
        <f t="shared" si="4"/>
        <v>12526398629.426609</v>
      </c>
      <c r="E24" s="30">
        <f t="shared" si="2"/>
        <v>37692272.706399031</v>
      </c>
      <c r="F24" s="30">
        <f t="shared" si="5"/>
        <v>37919448.120086469</v>
      </c>
      <c r="G24" s="30">
        <f>E24+SUM(E$5:E23)</f>
        <v>735882212.2545892</v>
      </c>
      <c r="H24" s="30">
        <f t="shared" si="6"/>
        <v>32404994883.675007</v>
      </c>
    </row>
    <row r="25" spans="1:8" x14ac:dyDescent="0.25">
      <c r="A25" s="86">
        <f t="shared" si="0"/>
        <v>44151</v>
      </c>
      <c r="B25" s="6">
        <f t="shared" si="3"/>
        <v>100</v>
      </c>
      <c r="C25" s="31">
        <f t="shared" si="1"/>
        <v>230</v>
      </c>
      <c r="D25" s="30">
        <f t="shared" si="4"/>
        <v>12488819433.53833</v>
      </c>
      <c r="E25" s="30">
        <f t="shared" si="2"/>
        <v>37579195.888279825</v>
      </c>
      <c r="F25" s="30">
        <f t="shared" si="5"/>
        <v>37805689.775726207</v>
      </c>
      <c r="G25" s="30">
        <f>E25+SUM(E$5:E24)</f>
        <v>773461408.142869</v>
      </c>
      <c r="H25" s="30">
        <f t="shared" si="6"/>
        <v>32442800573.450733</v>
      </c>
    </row>
    <row r="26" spans="1:8" x14ac:dyDescent="0.25">
      <c r="A26" s="86">
        <f t="shared" si="0"/>
        <v>44156</v>
      </c>
      <c r="B26" s="6">
        <f t="shared" si="3"/>
        <v>105</v>
      </c>
      <c r="C26" s="31">
        <f t="shared" si="1"/>
        <v>231</v>
      </c>
      <c r="D26" s="30">
        <f t="shared" si="4"/>
        <v>12451352975.237715</v>
      </c>
      <c r="E26" s="30">
        <f t="shared" si="2"/>
        <v>37466458.30061499</v>
      </c>
      <c r="F26" s="30">
        <f t="shared" si="5"/>
        <v>37692272.706399031</v>
      </c>
      <c r="G26" s="30">
        <f>E26+SUM(E$5:E25)</f>
        <v>810927866.44348395</v>
      </c>
      <c r="H26" s="30">
        <f t="shared" si="6"/>
        <v>32480492846.157131</v>
      </c>
    </row>
    <row r="27" spans="1:8" x14ac:dyDescent="0.25">
      <c r="A27" s="86">
        <f t="shared" si="0"/>
        <v>44161</v>
      </c>
      <c r="B27" s="6">
        <f t="shared" si="3"/>
        <v>110</v>
      </c>
      <c r="C27" s="31">
        <f t="shared" si="1"/>
        <v>232</v>
      </c>
      <c r="D27" s="30">
        <f t="shared" si="4"/>
        <v>12413998916.312002</v>
      </c>
      <c r="E27" s="30">
        <f t="shared" si="2"/>
        <v>37354058.925713144</v>
      </c>
      <c r="F27" s="30">
        <f t="shared" si="5"/>
        <v>37579195.888279825</v>
      </c>
      <c r="G27" s="30">
        <f>E27+SUM(E$5:E26)</f>
        <v>848281925.36919713</v>
      </c>
      <c r="H27" s="30">
        <f t="shared" si="6"/>
        <v>32518072042.04541</v>
      </c>
    </row>
    <row r="28" spans="1:8" x14ac:dyDescent="0.25">
      <c r="A28" s="86">
        <f t="shared" si="0"/>
        <v>44166</v>
      </c>
      <c r="B28" s="6">
        <f t="shared" si="3"/>
        <v>115</v>
      </c>
      <c r="C28" s="31">
        <f t="shared" si="1"/>
        <v>233</v>
      </c>
      <c r="D28" s="30">
        <f t="shared" si="4"/>
        <v>12376756919.563066</v>
      </c>
      <c r="E28" s="30">
        <f t="shared" si="2"/>
        <v>37241996.748936005</v>
      </c>
      <c r="F28" s="30">
        <f t="shared" si="5"/>
        <v>37466458.30061499</v>
      </c>
      <c r="G28" s="30">
        <f>E28+SUM(E$5:E27)</f>
        <v>885523922.11813319</v>
      </c>
      <c r="H28" s="30">
        <f t="shared" si="6"/>
        <v>32555538500.346024</v>
      </c>
    </row>
    <row r="29" spans="1:8" x14ac:dyDescent="0.25">
      <c r="A29" s="86">
        <f t="shared" si="0"/>
        <v>44171</v>
      </c>
      <c r="B29" s="6">
        <f t="shared" si="3"/>
        <v>120</v>
      </c>
      <c r="C29" s="31">
        <f t="shared" si="1"/>
        <v>234</v>
      </c>
      <c r="D29" s="30">
        <f t="shared" si="4"/>
        <v>12339626648.804377</v>
      </c>
      <c r="E29" s="30">
        <f t="shared" si="2"/>
        <v>37130270.758689202</v>
      </c>
      <c r="F29" s="30">
        <f t="shared" si="5"/>
        <v>37354058.925713144</v>
      </c>
      <c r="G29" s="30">
        <f>E29+SUM(E$5:E28)</f>
        <v>922654192.87682235</v>
      </c>
      <c r="H29" s="30">
        <f t="shared" si="6"/>
        <v>32592892559.271736</v>
      </c>
    </row>
    <row r="30" spans="1:8" x14ac:dyDescent="0.25">
      <c r="A30" s="86">
        <f t="shared" si="0"/>
        <v>44176</v>
      </c>
      <c r="B30" s="6">
        <f t="shared" si="3"/>
        <v>125</v>
      </c>
      <c r="C30" s="31">
        <f t="shared" si="1"/>
        <v>235</v>
      </c>
      <c r="D30" s="30">
        <f t="shared" si="4"/>
        <v>12302607768.857964</v>
      </c>
      <c r="E30" s="30">
        <f t="shared" si="2"/>
        <v>37018879.94641313</v>
      </c>
      <c r="F30" s="30">
        <f t="shared" si="5"/>
        <v>37241996.748936005</v>
      </c>
      <c r="G30" s="30">
        <f>E30+SUM(E$5:E29)</f>
        <v>959673072.82323551</v>
      </c>
      <c r="H30" s="30">
        <f t="shared" si="6"/>
        <v>32630134556.020672</v>
      </c>
    </row>
    <row r="31" spans="1:8" x14ac:dyDescent="0.25">
      <c r="A31" s="86">
        <f t="shared" si="0"/>
        <v>44181</v>
      </c>
      <c r="B31" s="6">
        <f t="shared" si="3"/>
        <v>130</v>
      </c>
      <c r="C31" s="31">
        <f t="shared" si="1"/>
        <v>236</v>
      </c>
      <c r="D31" s="30">
        <f t="shared" si="4"/>
        <v>12265699945.55139</v>
      </c>
      <c r="E31" s="30">
        <f t="shared" si="2"/>
        <v>36907823.30657389</v>
      </c>
      <c r="F31" s="30">
        <f t="shared" si="5"/>
        <v>37130270.758689202</v>
      </c>
      <c r="G31" s="30">
        <f>E31+SUM(E$5:E30)</f>
        <v>996580896.12980938</v>
      </c>
      <c r="H31" s="30">
        <f t="shared" si="6"/>
        <v>32667264826.779362</v>
      </c>
    </row>
    <row r="32" spans="1:8" x14ac:dyDescent="0.25">
      <c r="A32" s="86">
        <f t="shared" si="0"/>
        <v>44186</v>
      </c>
      <c r="B32" s="6">
        <f t="shared" si="3"/>
        <v>135</v>
      </c>
      <c r="C32" s="31">
        <f t="shared" si="1"/>
        <v>237</v>
      </c>
      <c r="D32" s="30">
        <f t="shared" si="4"/>
        <v>12228902845.714735</v>
      </c>
      <c r="E32" s="30">
        <f t="shared" si="2"/>
        <v>36797099.836654171</v>
      </c>
      <c r="F32" s="30">
        <f t="shared" si="5"/>
        <v>37018879.94641313</v>
      </c>
      <c r="G32" s="30">
        <f>E32+SUM(E$5:E31)</f>
        <v>1033377995.9664636</v>
      </c>
      <c r="H32" s="30">
        <f t="shared" si="6"/>
        <v>32704283706.725777</v>
      </c>
    </row>
    <row r="33" spans="1:8" x14ac:dyDescent="0.25">
      <c r="A33" s="86">
        <f t="shared" si="0"/>
        <v>44191</v>
      </c>
      <c r="B33" s="6">
        <f t="shared" si="3"/>
        <v>140</v>
      </c>
      <c r="C33" s="31">
        <f t="shared" si="1"/>
        <v>238</v>
      </c>
      <c r="D33" s="30">
        <f t="shared" si="4"/>
        <v>12192216137.177591</v>
      </c>
      <c r="E33" s="30">
        <f t="shared" si="2"/>
        <v>36686708.537144206</v>
      </c>
      <c r="F33" s="30">
        <f t="shared" si="5"/>
        <v>36907823.30657389</v>
      </c>
      <c r="G33" s="30">
        <f>E33+SUM(E$5:E32)</f>
        <v>1070064704.5036077</v>
      </c>
      <c r="H33" s="30">
        <f t="shared" si="6"/>
        <v>32741191530.032352</v>
      </c>
    </row>
    <row r="34" spans="1:8" x14ac:dyDescent="0.25">
      <c r="A34" s="86">
        <f t="shared" si="0"/>
        <v>44196</v>
      </c>
      <c r="B34" s="6">
        <f t="shared" si="3"/>
        <v>145</v>
      </c>
      <c r="C34" s="31">
        <f t="shared" si="1"/>
        <v>239</v>
      </c>
      <c r="D34" s="30">
        <f t="shared" si="4"/>
        <v>12155639488.766058</v>
      </c>
      <c r="E34" s="30">
        <f t="shared" si="2"/>
        <v>36576648.411532775</v>
      </c>
      <c r="F34" s="30">
        <f t="shared" si="5"/>
        <v>36797099.836654171</v>
      </c>
      <c r="G34" s="30">
        <f>E34+SUM(E$5:E33)</f>
        <v>1106641352.9151406</v>
      </c>
      <c r="H34" s="30">
        <f t="shared" si="6"/>
        <v>32777988629.869007</v>
      </c>
    </row>
    <row r="35" spans="1:8" x14ac:dyDescent="0.25">
      <c r="A35" s="86">
        <f t="shared" si="0"/>
        <v>44201</v>
      </c>
      <c r="B35" s="6">
        <f t="shared" si="3"/>
        <v>150</v>
      </c>
      <c r="C35" s="31">
        <f t="shared" si="1"/>
        <v>240</v>
      </c>
      <c r="D35" s="30">
        <f t="shared" si="4"/>
        <v>12119172570.299759</v>
      </c>
      <c r="E35" s="30">
        <f t="shared" si="2"/>
        <v>36466918.466298178</v>
      </c>
      <c r="F35" s="30">
        <f t="shared" si="5"/>
        <v>36686708.537144206</v>
      </c>
      <c r="G35" s="30">
        <f>E35+SUM(E$5:E34)</f>
        <v>1143108271.3814387</v>
      </c>
      <c r="H35" s="30">
        <f t="shared" si="6"/>
        <v>32814675338.406151</v>
      </c>
    </row>
    <row r="36" spans="1:8" x14ac:dyDescent="0.25">
      <c r="A36" s="86">
        <f t="shared" si="0"/>
        <v>44206</v>
      </c>
      <c r="B36" s="6">
        <f t="shared" si="3"/>
        <v>155</v>
      </c>
      <c r="C36" s="31">
        <f t="shared" si="1"/>
        <v>241</v>
      </c>
      <c r="D36" s="30">
        <f t="shared" si="4"/>
        <v>12082815052.58886</v>
      </c>
      <c r="E36" s="30">
        <f t="shared" si="2"/>
        <v>36357517.710899279</v>
      </c>
      <c r="F36" s="30">
        <f t="shared" si="5"/>
        <v>36576648.411532775</v>
      </c>
      <c r="G36" s="30">
        <f>E36+SUM(E$5:E35)</f>
        <v>1179465789.0923381</v>
      </c>
      <c r="H36" s="30">
        <f t="shared" si="6"/>
        <v>32851251986.817684</v>
      </c>
    </row>
    <row r="37" spans="1:8" x14ac:dyDescent="0.25">
      <c r="A37" s="86">
        <f t="shared" si="0"/>
        <v>44211</v>
      </c>
      <c r="B37" s="6">
        <f t="shared" si="3"/>
        <v>160</v>
      </c>
      <c r="C37" s="31">
        <f t="shared" si="1"/>
        <v>242</v>
      </c>
      <c r="D37" s="30">
        <f t="shared" si="4"/>
        <v>12046566607.431093</v>
      </c>
      <c r="E37" s="30">
        <f t="shared" si="2"/>
        <v>36248445.157766581</v>
      </c>
      <c r="F37" s="30">
        <f t="shared" si="5"/>
        <v>36466918.466298178</v>
      </c>
      <c r="G37" s="30">
        <f>E37+SUM(E$5:E36)</f>
        <v>1215714234.2501047</v>
      </c>
      <c r="H37" s="30">
        <f t="shared" si="6"/>
        <v>32887718905.283981</v>
      </c>
    </row>
    <row r="38" spans="1:8" x14ac:dyDescent="0.25">
      <c r="A38" s="86">
        <f t="shared" si="0"/>
        <v>44216</v>
      </c>
      <c r="B38" s="6">
        <f t="shared" si="3"/>
        <v>165</v>
      </c>
      <c r="C38" s="31">
        <f t="shared" si="1"/>
        <v>243</v>
      </c>
      <c r="D38" s="30">
        <f t="shared" si="4"/>
        <v>12010426907.608799</v>
      </c>
      <c r="E38" s="30">
        <f t="shared" si="2"/>
        <v>36139699.822293282</v>
      </c>
      <c r="F38" s="30">
        <f t="shared" si="5"/>
        <v>36357517.710899279</v>
      </c>
      <c r="G38" s="30">
        <f>E38+SUM(E$5:E37)</f>
        <v>1251853934.0723979</v>
      </c>
      <c r="H38" s="30">
        <f t="shared" si="6"/>
        <v>32924076422.994881</v>
      </c>
    </row>
    <row r="39" spans="1:8" x14ac:dyDescent="0.25">
      <c r="A39" s="86">
        <f t="shared" si="0"/>
        <v>44221</v>
      </c>
      <c r="B39" s="6">
        <f t="shared" si="3"/>
        <v>170</v>
      </c>
      <c r="C39" s="31">
        <f t="shared" si="1"/>
        <v>244</v>
      </c>
      <c r="D39" s="30">
        <f t="shared" si="4"/>
        <v>11974395626.885973</v>
      </c>
      <c r="E39" s="30">
        <f t="shared" si="2"/>
        <v>36031280.722826399</v>
      </c>
      <c r="F39" s="30">
        <f t="shared" si="5"/>
        <v>36248445.157766581</v>
      </c>
      <c r="G39" s="30">
        <f>E39+SUM(E$5:E38)</f>
        <v>1287885214.7952244</v>
      </c>
      <c r="H39" s="30">
        <f t="shared" si="6"/>
        <v>32960324868.152649</v>
      </c>
    </row>
    <row r="40" spans="1:8" x14ac:dyDescent="0.25">
      <c r="A40" s="86">
        <f t="shared" si="0"/>
        <v>44226</v>
      </c>
      <c r="B40" s="6">
        <f t="shared" si="3"/>
        <v>175</v>
      </c>
      <c r="C40" s="31">
        <f t="shared" si="1"/>
        <v>245</v>
      </c>
      <c r="D40" s="30">
        <f t="shared" si="4"/>
        <v>11938472440.005316</v>
      </c>
      <c r="E40" s="30">
        <f t="shared" si="2"/>
        <v>35923186.880657919</v>
      </c>
      <c r="F40" s="30">
        <f t="shared" si="5"/>
        <v>36139699.822293282</v>
      </c>
      <c r="G40" s="30">
        <f>E40+SUM(E$5:E39)</f>
        <v>1323808401.6758823</v>
      </c>
      <c r="H40" s="30">
        <f t="shared" si="6"/>
        <v>32996464567.974941</v>
      </c>
    </row>
    <row r="41" spans="1:8" x14ac:dyDescent="0.25">
      <c r="A41" s="86">
        <f t="shared" si="0"/>
        <v>44231</v>
      </c>
      <c r="B41" s="6">
        <f t="shared" si="3"/>
        <v>180</v>
      </c>
      <c r="C41" s="31">
        <f t="shared" si="1"/>
        <v>246</v>
      </c>
      <c r="D41" s="30">
        <f t="shared" si="4"/>
        <v>11902657022.685299</v>
      </c>
      <c r="E41" s="30">
        <f t="shared" si="2"/>
        <v>35815417.320015945</v>
      </c>
      <c r="F41" s="30">
        <f t="shared" si="5"/>
        <v>36031280.722826399</v>
      </c>
      <c r="G41" s="30">
        <f>E41+SUM(E$5:E40)</f>
        <v>1359623818.9958982</v>
      </c>
      <c r="H41" s="30">
        <f t="shared" si="6"/>
        <v>33032495848.697769</v>
      </c>
    </row>
    <row r="42" spans="1:8" x14ac:dyDescent="0.25">
      <c r="A42" s="86">
        <f t="shared" si="0"/>
        <v>44236</v>
      </c>
      <c r="B42" s="6">
        <f t="shared" ref="B42:B63" si="7">B41+5</f>
        <v>185</v>
      </c>
      <c r="C42" s="31">
        <f t="shared" si="1"/>
        <v>247</v>
      </c>
      <c r="D42" s="30">
        <f t="shared" si="4"/>
        <v>11866949051.617243</v>
      </c>
      <c r="E42" s="30">
        <f t="shared" si="2"/>
        <v>35707971.068055898</v>
      </c>
      <c r="F42" s="30">
        <f t="shared" si="5"/>
        <v>35923186.880657919</v>
      </c>
      <c r="G42" s="30">
        <f>E42+SUM(E$5:E41)</f>
        <v>1395331790.0639541</v>
      </c>
      <c r="H42" s="30">
        <f t="shared" si="6"/>
        <v>33068419035.578426</v>
      </c>
    </row>
    <row r="43" spans="1:8" x14ac:dyDescent="0.25">
      <c r="A43" s="86">
        <f t="shared" si="0"/>
        <v>44241</v>
      </c>
      <c r="B43" s="6">
        <f t="shared" si="7"/>
        <v>190</v>
      </c>
      <c r="C43" s="31">
        <f t="shared" si="1"/>
        <v>248</v>
      </c>
      <c r="D43" s="30">
        <f t="shared" si="4"/>
        <v>11831348204.462391</v>
      </c>
      <c r="E43" s="30">
        <f t="shared" si="2"/>
        <v>35600847.154851727</v>
      </c>
      <c r="F43" s="30">
        <f t="shared" si="5"/>
        <v>35815417.320015945</v>
      </c>
      <c r="G43" s="30">
        <f>E43+SUM(E$5:E42)</f>
        <v>1430932637.2188058</v>
      </c>
      <c r="H43" s="30">
        <f t="shared" si="6"/>
        <v>33104234452.898441</v>
      </c>
    </row>
    <row r="44" spans="1:8" x14ac:dyDescent="0.25">
      <c r="A44" s="86">
        <f t="shared" si="0"/>
        <v>44246</v>
      </c>
      <c r="B44" s="6">
        <f t="shared" si="7"/>
        <v>195</v>
      </c>
      <c r="C44" s="31">
        <f t="shared" si="1"/>
        <v>249</v>
      </c>
      <c r="D44" s="30">
        <f t="shared" si="4"/>
        <v>11795854159.849003</v>
      </c>
      <c r="E44" s="30">
        <f t="shared" si="2"/>
        <v>35494044.613387175</v>
      </c>
      <c r="F44" s="30">
        <f t="shared" si="5"/>
        <v>35707971.068055898</v>
      </c>
      <c r="G44" s="30">
        <f>E44+SUM(E$5:E43)</f>
        <v>1466426681.8321929</v>
      </c>
      <c r="H44" s="30">
        <f t="shared" si="6"/>
        <v>33139942423.966496</v>
      </c>
    </row>
    <row r="45" spans="1:8" x14ac:dyDescent="0.25">
      <c r="A45" s="86">
        <f t="shared" si="0"/>
        <v>44251</v>
      </c>
      <c r="B45" s="6">
        <f t="shared" si="7"/>
        <v>200</v>
      </c>
      <c r="C45" s="31">
        <f t="shared" si="1"/>
        <v>250</v>
      </c>
      <c r="D45" s="30">
        <f t="shared" si="4"/>
        <v>11760466597.369455</v>
      </c>
      <c r="E45" s="30">
        <f t="shared" si="2"/>
        <v>35387562.479547009</v>
      </c>
      <c r="F45" s="30">
        <f t="shared" si="5"/>
        <v>35600847.154851727</v>
      </c>
      <c r="G45" s="30">
        <f>E45+SUM(E$5:E44)</f>
        <v>1501814244.3117399</v>
      </c>
      <c r="H45" s="30">
        <f t="shared" si="6"/>
        <v>33175543271.121346</v>
      </c>
    </row>
    <row r="46" spans="1:8" x14ac:dyDescent="0.25">
      <c r="A46" s="86">
        <f t="shared" si="0"/>
        <v>44256</v>
      </c>
      <c r="B46" s="6">
        <f t="shared" si="7"/>
        <v>205</v>
      </c>
      <c r="C46" s="31">
        <f t="shared" si="1"/>
        <v>251</v>
      </c>
      <c r="D46" s="30">
        <f t="shared" si="4"/>
        <v>11725185197.577347</v>
      </c>
      <c r="E46" s="30">
        <f t="shared" si="2"/>
        <v>35281399.792108364</v>
      </c>
      <c r="F46" s="30">
        <f t="shared" si="5"/>
        <v>35494044.613387175</v>
      </c>
      <c r="G46" s="30">
        <f>E46+SUM(E$5:E45)</f>
        <v>1537095644.1038482</v>
      </c>
      <c r="H46" s="30">
        <f t="shared" si="6"/>
        <v>33211037315.734734</v>
      </c>
    </row>
    <row r="47" spans="1:8" x14ac:dyDescent="0.25">
      <c r="A47" s="86">
        <f t="shared" si="0"/>
        <v>44261</v>
      </c>
      <c r="B47" s="6">
        <f t="shared" si="7"/>
        <v>210</v>
      </c>
      <c r="C47" s="31">
        <f t="shared" si="1"/>
        <v>252</v>
      </c>
      <c r="D47" s="30">
        <f t="shared" si="4"/>
        <v>11690009641.984615</v>
      </c>
      <c r="E47" s="30">
        <f t="shared" si="2"/>
        <v>35175555.592732042</v>
      </c>
      <c r="F47" s="30">
        <f t="shared" si="5"/>
        <v>35387562.479547009</v>
      </c>
      <c r="G47" s="30">
        <f>E47+SUM(E$5:E46)</f>
        <v>1572271199.6965802</v>
      </c>
      <c r="H47" s="30">
        <f t="shared" si="6"/>
        <v>33246424878.214279</v>
      </c>
    </row>
    <row r="48" spans="1:8" x14ac:dyDescent="0.25">
      <c r="A48" s="86">
        <f t="shared" si="0"/>
        <v>44266</v>
      </c>
      <c r="B48" s="6">
        <f t="shared" si="7"/>
        <v>215</v>
      </c>
      <c r="C48" s="31">
        <f t="shared" si="1"/>
        <v>253</v>
      </c>
      <c r="D48" s="30">
        <f t="shared" si="4"/>
        <v>11654939613.058662</v>
      </c>
      <c r="E48" s="30">
        <f t="shared" si="2"/>
        <v>35070028.92595385</v>
      </c>
      <c r="F48" s="30">
        <f t="shared" si="5"/>
        <v>35281399.792108364</v>
      </c>
      <c r="G48" s="30">
        <f>E48+SUM(E$5:E47)</f>
        <v>1607341228.622534</v>
      </c>
      <c r="H48" s="30">
        <f t="shared" si="6"/>
        <v>33281706278.006386</v>
      </c>
    </row>
    <row r="49" spans="1:8" x14ac:dyDescent="0.25">
      <c r="A49" s="86">
        <f t="shared" si="0"/>
        <v>44271</v>
      </c>
      <c r="B49" s="6">
        <f t="shared" si="7"/>
        <v>220</v>
      </c>
      <c r="C49" s="31">
        <f t="shared" si="1"/>
        <v>254</v>
      </c>
      <c r="D49" s="30">
        <f t="shared" si="4"/>
        <v>11619974794.219486</v>
      </c>
      <c r="E49" s="30">
        <f t="shared" si="2"/>
        <v>34964818.839175984</v>
      </c>
      <c r="F49" s="30">
        <f t="shared" si="5"/>
        <v>35175555.592732042</v>
      </c>
      <c r="G49" s="30">
        <f>E49+SUM(E$5:E48)</f>
        <v>1642306047.46171</v>
      </c>
      <c r="H49" s="30">
        <f t="shared" si="6"/>
        <v>33316881833.599117</v>
      </c>
    </row>
    <row r="50" spans="1:8" x14ac:dyDescent="0.25">
      <c r="A50" s="86">
        <f t="shared" si="0"/>
        <v>44276</v>
      </c>
      <c r="B50" s="6">
        <f t="shared" si="7"/>
        <v>225</v>
      </c>
      <c r="C50" s="31">
        <f t="shared" si="1"/>
        <v>255</v>
      </c>
      <c r="D50" s="30">
        <f t="shared" si="4"/>
        <v>11585114869.836828</v>
      </c>
      <c r="E50" s="30">
        <f t="shared" si="2"/>
        <v>34859924.382658459</v>
      </c>
      <c r="F50" s="30">
        <f t="shared" si="5"/>
        <v>35070028.92595385</v>
      </c>
      <c r="G50" s="30">
        <f>E50+SUM(E$5:E49)</f>
        <v>1677165971.8443685</v>
      </c>
      <c r="H50" s="30">
        <f t="shared" si="6"/>
        <v>33351951862.52507</v>
      </c>
    </row>
    <row r="51" spans="1:8" x14ac:dyDescent="0.25">
      <c r="A51" s="86">
        <f t="shared" si="0"/>
        <v>44281</v>
      </c>
      <c r="B51" s="6">
        <f t="shared" si="7"/>
        <v>230</v>
      </c>
      <c r="C51" s="31">
        <f t="shared" si="1"/>
        <v>256</v>
      </c>
      <c r="D51" s="30">
        <f t="shared" si="4"/>
        <v>11550359525.227318</v>
      </c>
      <c r="E51" s="30">
        <f t="shared" si="2"/>
        <v>34755344.609510489</v>
      </c>
      <c r="F51" s="30">
        <f t="shared" si="5"/>
        <v>34964818.839175984</v>
      </c>
      <c r="G51" s="30">
        <f>E51+SUM(E$5:E50)</f>
        <v>1711921316.4538789</v>
      </c>
      <c r="H51" s="30">
        <f t="shared" si="6"/>
        <v>33386916681.364246</v>
      </c>
    </row>
    <row r="52" spans="1:8" x14ac:dyDescent="0.25">
      <c r="A52" s="86">
        <f t="shared" si="0"/>
        <v>44286</v>
      </c>
      <c r="B52" s="6">
        <f t="shared" si="7"/>
        <v>235</v>
      </c>
      <c r="C52" s="31">
        <f t="shared" si="1"/>
        <v>257</v>
      </c>
      <c r="D52" s="30">
        <f t="shared" si="4"/>
        <v>11515708446.651636</v>
      </c>
      <c r="E52" s="30">
        <f t="shared" si="2"/>
        <v>34651078.575681955</v>
      </c>
      <c r="F52" s="30">
        <f t="shared" si="5"/>
        <v>34859924.382658459</v>
      </c>
      <c r="G52" s="30">
        <f>E52+SUM(E$5:E51)</f>
        <v>1746572395.0295608</v>
      </c>
      <c r="H52" s="30">
        <f t="shared" si="6"/>
        <v>33421776605.746906</v>
      </c>
    </row>
    <row r="53" spans="1:8" x14ac:dyDescent="0.25">
      <c r="A53" s="86">
        <f t="shared" si="0"/>
        <v>44291</v>
      </c>
      <c r="B53" s="6">
        <f t="shared" si="7"/>
        <v>240</v>
      </c>
      <c r="C53" s="31">
        <f t="shared" si="1"/>
        <v>258</v>
      </c>
      <c r="D53" s="30">
        <f t="shared" si="4"/>
        <v>11481161321.311682</v>
      </c>
      <c r="E53" s="30">
        <f t="shared" si="2"/>
        <v>34547125.339954913</v>
      </c>
      <c r="F53" s="30">
        <f t="shared" si="5"/>
        <v>34755344.609510489</v>
      </c>
      <c r="G53" s="30">
        <f>E53+SUM(E$5:E52)</f>
        <v>1781119520.3695157</v>
      </c>
      <c r="H53" s="30">
        <f t="shared" si="6"/>
        <v>33456531950.356419</v>
      </c>
    </row>
    <row r="54" spans="1:8" x14ac:dyDescent="0.25">
      <c r="A54" s="86">
        <f t="shared" si="0"/>
        <v>44296</v>
      </c>
      <c r="B54" s="6">
        <f t="shared" si="7"/>
        <v>245</v>
      </c>
      <c r="C54" s="31">
        <f t="shared" si="1"/>
        <v>259</v>
      </c>
      <c r="D54" s="30">
        <f t="shared" si="4"/>
        <v>11446717837.347746</v>
      </c>
      <c r="E54" s="30">
        <f t="shared" si="2"/>
        <v>34443483.963935047</v>
      </c>
      <c r="F54" s="30">
        <f t="shared" si="5"/>
        <v>34651078.575681955</v>
      </c>
      <c r="G54" s="30">
        <f>E54+SUM(E$5:E53)</f>
        <v>1815563004.3334508</v>
      </c>
      <c r="H54" s="30">
        <f t="shared" si="6"/>
        <v>33491183028.932102</v>
      </c>
    </row>
    <row r="55" spans="1:8" x14ac:dyDescent="0.25">
      <c r="A55" s="86">
        <f t="shared" si="0"/>
        <v>44301</v>
      </c>
      <c r="B55" s="6">
        <f t="shared" si="7"/>
        <v>250</v>
      </c>
      <c r="C55" s="31">
        <f t="shared" si="1"/>
        <v>260</v>
      </c>
      <c r="D55" s="30">
        <f t="shared" si="4"/>
        <v>11412377683.835703</v>
      </c>
      <c r="E55" s="30">
        <f t="shared" si="2"/>
        <v>34340153.512043238</v>
      </c>
      <c r="F55" s="30">
        <f t="shared" si="5"/>
        <v>34547125.339954913</v>
      </c>
      <c r="G55" s="30">
        <f>E55+SUM(E$5:E54)</f>
        <v>1849903157.845494</v>
      </c>
      <c r="H55" s="30">
        <f t="shared" si="6"/>
        <v>33525730154.272057</v>
      </c>
    </row>
    <row r="56" spans="1:8" x14ac:dyDescent="0.25">
      <c r="A56" s="86">
        <f t="shared" si="0"/>
        <v>44306</v>
      </c>
      <c r="B56" s="6">
        <f t="shared" si="7"/>
        <v>255</v>
      </c>
      <c r="C56" s="31">
        <f t="shared" si="1"/>
        <v>261</v>
      </c>
      <c r="D56" s="30">
        <f t="shared" si="4"/>
        <v>11378140550.784195</v>
      </c>
      <c r="E56" s="30">
        <f t="shared" si="2"/>
        <v>34237133.051507108</v>
      </c>
      <c r="F56" s="30">
        <f t="shared" si="5"/>
        <v>34443483.963935047</v>
      </c>
      <c r="G56" s="30">
        <f>E56+SUM(E$5:E55)</f>
        <v>1884140290.897001</v>
      </c>
      <c r="H56" s="30">
        <f t="shared" si="6"/>
        <v>33560173638.235992</v>
      </c>
    </row>
    <row r="57" spans="1:8" x14ac:dyDescent="0.25">
      <c r="A57" s="86">
        <f t="shared" si="0"/>
        <v>44311</v>
      </c>
      <c r="B57" s="6">
        <f t="shared" si="7"/>
        <v>260</v>
      </c>
      <c r="C57" s="31">
        <f t="shared" si="1"/>
        <v>262</v>
      </c>
      <c r="D57" s="30">
        <f t="shared" si="4"/>
        <v>11344006129.131842</v>
      </c>
      <c r="E57" s="30">
        <f t="shared" si="2"/>
        <v>34134421.652352586</v>
      </c>
      <c r="F57" s="30">
        <f t="shared" si="5"/>
        <v>34340153.512043238</v>
      </c>
      <c r="G57" s="30">
        <f>E57+SUM(E$5:E56)</f>
        <v>1918274712.5493536</v>
      </c>
      <c r="H57" s="30">
        <f t="shared" si="6"/>
        <v>33594513791.748035</v>
      </c>
    </row>
    <row r="58" spans="1:8" x14ac:dyDescent="0.25">
      <c r="A58" s="86">
        <f t="shared" si="0"/>
        <v>44316</v>
      </c>
      <c r="B58" s="6">
        <f t="shared" si="7"/>
        <v>265</v>
      </c>
      <c r="C58" s="31">
        <f t="shared" si="1"/>
        <v>263</v>
      </c>
      <c r="D58" s="30">
        <f t="shared" si="4"/>
        <v>11309974110.744446</v>
      </c>
      <c r="E58" s="30">
        <f t="shared" si="2"/>
        <v>34032018.387395523</v>
      </c>
      <c r="F58" s="30">
        <f t="shared" si="5"/>
        <v>34237133.051507108</v>
      </c>
      <c r="G58" s="30">
        <f>E58+SUM(E$5:E57)</f>
        <v>1952306730.9367492</v>
      </c>
      <c r="H58" s="30">
        <f t="shared" si="6"/>
        <v>33628750924.799541</v>
      </c>
    </row>
    <row r="59" spans="1:8" x14ac:dyDescent="0.25">
      <c r="A59" s="86">
        <f t="shared" si="0"/>
        <v>44321</v>
      </c>
      <c r="B59" s="6">
        <f t="shared" si="7"/>
        <v>270</v>
      </c>
      <c r="C59" s="31">
        <f t="shared" si="1"/>
        <v>264</v>
      </c>
      <c r="D59" s="30">
        <f t="shared" si="4"/>
        <v>11276044188.412212</v>
      </c>
      <c r="E59" s="30">
        <f t="shared" si="2"/>
        <v>33929922.33223334</v>
      </c>
      <c r="F59" s="30">
        <f t="shared" si="5"/>
        <v>34134421.652352586</v>
      </c>
      <c r="G59" s="30">
        <f>E59+SUM(E$5:E58)</f>
        <v>1986236653.2689826</v>
      </c>
      <c r="H59" s="30">
        <f t="shared" si="6"/>
        <v>33662885346.451893</v>
      </c>
    </row>
    <row r="60" spans="1:8" x14ac:dyDescent="0.25">
      <c r="A60" s="86">
        <f t="shared" si="0"/>
        <v>44326</v>
      </c>
      <c r="B60" s="6">
        <f t="shared" si="7"/>
        <v>275</v>
      </c>
      <c r="C60" s="31">
        <f t="shared" si="1"/>
        <v>265</v>
      </c>
      <c r="D60" s="30">
        <f t="shared" si="4"/>
        <v>11242216055.846975</v>
      </c>
      <c r="E60" s="30">
        <f t="shared" si="2"/>
        <v>33828132.565236636</v>
      </c>
      <c r="F60" s="30">
        <f t="shared" si="5"/>
        <v>34032018.387395523</v>
      </c>
      <c r="G60" s="30">
        <f>E60+SUM(E$5:E59)</f>
        <v>2020064785.8342192</v>
      </c>
      <c r="H60" s="30">
        <f t="shared" si="6"/>
        <v>33696917364.839287</v>
      </c>
    </row>
    <row r="61" spans="1:8" x14ac:dyDescent="0.25">
      <c r="A61" s="86">
        <f t="shared" si="0"/>
        <v>44331</v>
      </c>
      <c r="B61" s="6">
        <f t="shared" si="7"/>
        <v>280</v>
      </c>
      <c r="C61" s="31">
        <f t="shared" si="1"/>
        <v>266</v>
      </c>
      <c r="D61" s="30">
        <f t="shared" si="4"/>
        <v>11208489407.679434</v>
      </c>
      <c r="E61" s="30">
        <f t="shared" si="2"/>
        <v>33726648.16754093</v>
      </c>
      <c r="F61" s="30">
        <f t="shared" si="5"/>
        <v>33929922.33223334</v>
      </c>
      <c r="G61" s="30">
        <f>E61+SUM(E$5:E60)</f>
        <v>2053791434.0017602</v>
      </c>
      <c r="H61" s="30">
        <f t="shared" si="6"/>
        <v>33730847287.17152</v>
      </c>
    </row>
    <row r="62" spans="1:8" x14ac:dyDescent="0.25">
      <c r="A62" s="86">
        <f t="shared" si="0"/>
        <v>44336</v>
      </c>
      <c r="B62" s="6">
        <f t="shared" si="7"/>
        <v>285</v>
      </c>
      <c r="C62" s="31">
        <f t="shared" si="1"/>
        <v>267</v>
      </c>
      <c r="D62" s="30">
        <f t="shared" si="4"/>
        <v>11174863939.456396</v>
      </c>
      <c r="E62" s="30">
        <f t="shared" si="2"/>
        <v>33625468.223038301</v>
      </c>
      <c r="F62" s="30">
        <f t="shared" si="5"/>
        <v>33828132.565236636</v>
      </c>
      <c r="G62" s="30">
        <f>E62+SUM(E$5:E61)</f>
        <v>2087416902.2247984</v>
      </c>
      <c r="H62" s="30">
        <f t="shared" si="6"/>
        <v>33764675419.736755</v>
      </c>
    </row>
    <row r="63" spans="1:8" x14ac:dyDescent="0.25">
      <c r="A63" s="86">
        <f t="shared" si="0"/>
        <v>44341</v>
      </c>
      <c r="B63" s="6">
        <f t="shared" si="7"/>
        <v>290</v>
      </c>
      <c r="C63" s="31">
        <f t="shared" si="1"/>
        <v>268</v>
      </c>
      <c r="D63" s="30">
        <f t="shared" si="4"/>
        <v>11141339347.638027</v>
      </c>
      <c r="E63" s="30">
        <f t="shared" si="2"/>
        <v>33524591.818369187</v>
      </c>
      <c r="F63" s="30">
        <f t="shared" si="5"/>
        <v>33726648.16754093</v>
      </c>
      <c r="G63" s="30">
        <f>E63+SUM(E$5:E62)</f>
        <v>2120941494.0431676</v>
      </c>
      <c r="H63" s="30">
        <f t="shared" si="6"/>
        <v>33798402067.904297</v>
      </c>
    </row>
    <row r="64" spans="1:8" x14ac:dyDescent="0.25">
      <c r="A64" s="86">
        <f t="shared" si="0"/>
        <v>44346</v>
      </c>
      <c r="B64" s="6">
        <f t="shared" ref="B64:B78" si="8">B63+5</f>
        <v>295</v>
      </c>
      <c r="C64" s="31">
        <f t="shared" si="1"/>
        <v>269</v>
      </c>
      <c r="D64" s="30">
        <f t="shared" si="4"/>
        <v>11107915329.595114</v>
      </c>
      <c r="E64" s="30">
        <f t="shared" si="2"/>
        <v>33424018.042914081</v>
      </c>
      <c r="F64" s="30">
        <f t="shared" si="5"/>
        <v>33625468.223038301</v>
      </c>
      <c r="G64" s="30">
        <f>E64+SUM(E$5:E63)</f>
        <v>2154365512.0860815</v>
      </c>
      <c r="H64" s="30">
        <f t="shared" si="6"/>
        <v>33832027536.127335</v>
      </c>
    </row>
    <row r="65" spans="1:8" x14ac:dyDescent="0.25">
      <c r="A65" s="86">
        <f t="shared" si="0"/>
        <v>44351</v>
      </c>
      <c r="B65" s="6">
        <f t="shared" si="8"/>
        <v>300</v>
      </c>
      <c r="C65" s="31">
        <f t="shared" si="1"/>
        <v>270</v>
      </c>
      <c r="D65" s="30">
        <f t="shared" si="4"/>
        <v>11074591583.606329</v>
      </c>
      <c r="E65" s="30">
        <f t="shared" si="2"/>
        <v>33323745.988785341</v>
      </c>
      <c r="F65" s="30">
        <f t="shared" si="5"/>
        <v>33524591.818369187</v>
      </c>
      <c r="G65" s="30">
        <f>E65+SUM(E$5:E64)</f>
        <v>2187689258.0748668</v>
      </c>
      <c r="H65" s="30">
        <f t="shared" si="6"/>
        <v>33865552127.945705</v>
      </c>
    </row>
    <row r="66" spans="1:8" x14ac:dyDescent="0.25">
      <c r="A66" s="86">
        <f t="shared" si="0"/>
        <v>44356</v>
      </c>
      <c r="B66" s="6">
        <f t="shared" si="8"/>
        <v>305</v>
      </c>
      <c r="C66" s="31">
        <f t="shared" si="1"/>
        <v>271</v>
      </c>
      <c r="D66" s="30">
        <f t="shared" si="4"/>
        <v>11041367808.855511</v>
      </c>
      <c r="E66" s="30">
        <f t="shared" si="2"/>
        <v>33223774.750818986</v>
      </c>
      <c r="F66" s="30">
        <f t="shared" si="5"/>
        <v>33424018.042914081</v>
      </c>
      <c r="G66" s="30">
        <f>E66+SUM(E$5:E65)</f>
        <v>2220913032.825686</v>
      </c>
      <c r="H66" s="30">
        <f t="shared" si="6"/>
        <v>33898976145.988621</v>
      </c>
    </row>
    <row r="67" spans="1:8" x14ac:dyDescent="0.25">
      <c r="A67" s="86">
        <f t="shared" si="0"/>
        <v>44361</v>
      </c>
      <c r="B67" s="6">
        <f t="shared" si="8"/>
        <v>310</v>
      </c>
      <c r="C67" s="31">
        <f t="shared" si="1"/>
        <v>272</v>
      </c>
      <c r="D67" s="30">
        <f t="shared" si="4"/>
        <v>11008243705.428944</v>
      </c>
      <c r="E67" s="30">
        <f t="shared" si="2"/>
        <v>33124103.426566534</v>
      </c>
      <c r="F67" s="30">
        <f t="shared" si="5"/>
        <v>33323745.988785341</v>
      </c>
      <c r="G67" s="30">
        <f>E67+SUM(E$5:E66)</f>
        <v>2254037136.2522526</v>
      </c>
      <c r="H67" s="30">
        <f t="shared" si="6"/>
        <v>33932299891.977406</v>
      </c>
    </row>
    <row r="68" spans="1:8" x14ac:dyDescent="0.25">
      <c r="A68" s="86">
        <f t="shared" si="0"/>
        <v>44366</v>
      </c>
      <c r="B68" s="6">
        <f t="shared" si="8"/>
        <v>315</v>
      </c>
      <c r="C68" s="31">
        <f t="shared" si="1"/>
        <v>273</v>
      </c>
      <c r="D68" s="30">
        <f t="shared" si="4"/>
        <v>10975218974.312656</v>
      </c>
      <c r="E68" s="30">
        <f t="shared" si="2"/>
        <v>33024731.116286833</v>
      </c>
      <c r="F68" s="30">
        <f t="shared" si="5"/>
        <v>33223774.750818986</v>
      </c>
      <c r="G68" s="30">
        <f>E68+SUM(E$5:E67)</f>
        <v>2287061867.3685393</v>
      </c>
      <c r="H68" s="30">
        <f t="shared" si="6"/>
        <v>33965523666.728226</v>
      </c>
    </row>
    <row r="69" spans="1:8" x14ac:dyDescent="0.25">
      <c r="A69" s="86">
        <f t="shared" si="0"/>
        <v>44371</v>
      </c>
      <c r="B69" s="6">
        <f t="shared" si="8"/>
        <v>320</v>
      </c>
      <c r="C69" s="31">
        <f t="shared" si="1"/>
        <v>274</v>
      </c>
      <c r="D69" s="30">
        <f t="shared" si="4"/>
        <v>10942293317.389719</v>
      </c>
      <c r="E69" s="30">
        <f t="shared" si="2"/>
        <v>32925656.922937971</v>
      </c>
      <c r="F69" s="30">
        <f t="shared" si="5"/>
        <v>33124103.426566534</v>
      </c>
      <c r="G69" s="30">
        <f>E69+SUM(E$5:E68)</f>
        <v>2319987524.2914772</v>
      </c>
      <c r="H69" s="30">
        <f t="shared" si="6"/>
        <v>33998647770.154793</v>
      </c>
    </row>
    <row r="70" spans="1:8" x14ac:dyDescent="0.25">
      <c r="A70" s="86">
        <f t="shared" si="0"/>
        <v>44376</v>
      </c>
      <c r="B70" s="6">
        <f t="shared" si="8"/>
        <v>325</v>
      </c>
      <c r="C70" s="31">
        <f t="shared" si="1"/>
        <v>275</v>
      </c>
      <c r="D70" s="30">
        <f t="shared" si="4"/>
        <v>10909466437.43755</v>
      </c>
      <c r="E70" s="30">
        <f t="shared" si="2"/>
        <v>32826879.952169158</v>
      </c>
      <c r="F70" s="30">
        <f t="shared" si="5"/>
        <v>33024731.116286833</v>
      </c>
      <c r="G70" s="30">
        <f>E70+SUM(E$5:E69)</f>
        <v>2352814404.2436461</v>
      </c>
      <c r="H70" s="30">
        <f t="shared" si="6"/>
        <v>34031672501.27108</v>
      </c>
    </row>
    <row r="71" spans="1:8" x14ac:dyDescent="0.25">
      <c r="A71" s="86">
        <f t="shared" ref="A71:A78" si="9">A70+B71-B70</f>
        <v>44381</v>
      </c>
      <c r="B71" s="6">
        <f t="shared" si="8"/>
        <v>330</v>
      </c>
      <c r="C71" s="31">
        <f t="shared" ref="C71:C78" si="10">C70+1</f>
        <v>276</v>
      </c>
      <c r="D71" s="30">
        <f t="shared" si="4"/>
        <v>10876738038.125237</v>
      </c>
      <c r="E71" s="30">
        <f t="shared" ref="E71:E78" si="11">$B$1*D70</f>
        <v>32728399.312312648</v>
      </c>
      <c r="F71" s="30">
        <f t="shared" si="5"/>
        <v>32925656.922937971</v>
      </c>
      <c r="G71" s="30">
        <f>E71+SUM(E$5:E70)</f>
        <v>2385542803.5559587</v>
      </c>
      <c r="H71" s="30">
        <f t="shared" si="6"/>
        <v>34064598158.194019</v>
      </c>
    </row>
    <row r="72" spans="1:8" x14ac:dyDescent="0.25">
      <c r="A72" s="86">
        <f t="shared" si="9"/>
        <v>44386</v>
      </c>
      <c r="B72" s="6">
        <f t="shared" si="8"/>
        <v>335</v>
      </c>
      <c r="C72" s="31">
        <f t="shared" si="10"/>
        <v>277</v>
      </c>
      <c r="D72" s="30">
        <f t="shared" ref="D72:D78" si="12">D71-E72</f>
        <v>10844107824.01086</v>
      </c>
      <c r="E72" s="30">
        <f t="shared" si="11"/>
        <v>32630214.11437571</v>
      </c>
      <c r="F72" s="30">
        <f t="shared" si="5"/>
        <v>32826879.952169158</v>
      </c>
      <c r="G72" s="30">
        <f>E72+SUM(E$5:E71)</f>
        <v>2418173017.6703343</v>
      </c>
      <c r="H72" s="30">
        <f t="shared" si="6"/>
        <v>34097425038.146187</v>
      </c>
    </row>
    <row r="73" spans="1:8" x14ac:dyDescent="0.25">
      <c r="A73" s="86">
        <f t="shared" si="9"/>
        <v>44391</v>
      </c>
      <c r="B73" s="6">
        <f t="shared" si="8"/>
        <v>340</v>
      </c>
      <c r="C73" s="31">
        <f t="shared" si="10"/>
        <v>278</v>
      </c>
      <c r="D73" s="30">
        <f t="shared" si="12"/>
        <v>10811575500.538828</v>
      </c>
      <c r="E73" s="30">
        <f t="shared" si="11"/>
        <v>32532323.472032581</v>
      </c>
      <c r="F73" s="30">
        <f t="shared" ref="F73:F78" si="13">E71</f>
        <v>32728399.312312648</v>
      </c>
      <c r="G73" s="30">
        <f>E73+SUM(E$5:E72)</f>
        <v>2450705341.1423669</v>
      </c>
      <c r="H73" s="30">
        <f t="shared" ref="H73:H78" si="14">H72+F73</f>
        <v>34130153437.4585</v>
      </c>
    </row>
    <row r="74" spans="1:8" x14ac:dyDescent="0.25">
      <c r="A74" s="86">
        <f t="shared" si="9"/>
        <v>44396</v>
      </c>
      <c r="B74" s="6">
        <f t="shared" si="8"/>
        <v>345</v>
      </c>
      <c r="C74" s="31">
        <f t="shared" si="10"/>
        <v>279</v>
      </c>
      <c r="D74" s="30">
        <f t="shared" si="12"/>
        <v>10779140774.03721</v>
      </c>
      <c r="E74" s="30">
        <f t="shared" si="11"/>
        <v>32434726.501616485</v>
      </c>
      <c r="F74" s="30">
        <f t="shared" si="13"/>
        <v>32630214.11437571</v>
      </c>
      <c r="G74" s="30">
        <f>E74+SUM(E$5:E73)</f>
        <v>2483140067.6439834</v>
      </c>
      <c r="H74" s="30">
        <f t="shared" si="14"/>
        <v>34162783651.572876</v>
      </c>
    </row>
    <row r="75" spans="1:8" x14ac:dyDescent="0.25">
      <c r="A75" s="86">
        <f t="shared" si="9"/>
        <v>44401</v>
      </c>
      <c r="B75" s="6">
        <f t="shared" si="8"/>
        <v>350</v>
      </c>
      <c r="C75" s="31">
        <f t="shared" si="10"/>
        <v>280</v>
      </c>
      <c r="D75" s="30">
        <f t="shared" si="12"/>
        <v>10746803351.715099</v>
      </c>
      <c r="E75" s="30">
        <f t="shared" si="11"/>
        <v>32337422.322111633</v>
      </c>
      <c r="F75" s="30">
        <f t="shared" si="13"/>
        <v>32532323.472032581</v>
      </c>
      <c r="G75" s="30">
        <f>E75+SUM(E$5:E74)</f>
        <v>2515477489.966095</v>
      </c>
      <c r="H75" s="30">
        <f t="shared" si="14"/>
        <v>34195315975.04491</v>
      </c>
    </row>
    <row r="76" spans="1:8" x14ac:dyDescent="0.25">
      <c r="A76" s="86">
        <f t="shared" si="9"/>
        <v>44406</v>
      </c>
      <c r="B76" s="6">
        <f t="shared" si="8"/>
        <v>355</v>
      </c>
      <c r="C76" s="31">
        <f t="shared" si="10"/>
        <v>281</v>
      </c>
      <c r="D76" s="30">
        <f t="shared" si="12"/>
        <v>10714562941.659954</v>
      </c>
      <c r="E76" s="30">
        <f t="shared" si="11"/>
        <v>32240410.055145297</v>
      </c>
      <c r="F76" s="30">
        <f t="shared" si="13"/>
        <v>32434726.501616485</v>
      </c>
      <c r="G76" s="30">
        <f>E76+SUM(E$5:E75)</f>
        <v>2547717900.0212402</v>
      </c>
      <c r="H76" s="30">
        <f t="shared" si="14"/>
        <v>34227750701.546528</v>
      </c>
    </row>
    <row r="77" spans="1:8" x14ac:dyDescent="0.25">
      <c r="A77" s="86">
        <f t="shared" si="9"/>
        <v>44411</v>
      </c>
      <c r="B77" s="6">
        <f t="shared" si="8"/>
        <v>360</v>
      </c>
      <c r="C77" s="31">
        <f t="shared" si="10"/>
        <v>282</v>
      </c>
      <c r="D77" s="30">
        <f t="shared" si="12"/>
        <v>10682419252.834974</v>
      </c>
      <c r="E77" s="30">
        <f t="shared" si="11"/>
        <v>32143688.824979864</v>
      </c>
      <c r="F77" s="30">
        <f t="shared" si="13"/>
        <v>32337422.322111633</v>
      </c>
      <c r="G77" s="30">
        <f>E77+SUM(E$5:E76)</f>
        <v>2579861588.84622</v>
      </c>
      <c r="H77" s="30">
        <f t="shared" si="14"/>
        <v>34260088123.868641</v>
      </c>
    </row>
    <row r="78" spans="1:8" x14ac:dyDescent="0.25">
      <c r="A78" s="86">
        <f t="shared" si="9"/>
        <v>44416</v>
      </c>
      <c r="B78" s="6">
        <f t="shared" si="8"/>
        <v>365</v>
      </c>
      <c r="C78" s="31">
        <f t="shared" si="10"/>
        <v>283</v>
      </c>
      <c r="D78" s="30">
        <f t="shared" si="12"/>
        <v>10650371995.076469</v>
      </c>
      <c r="E78" s="30">
        <f t="shared" si="11"/>
        <v>32047257.758504923</v>
      </c>
      <c r="F78" s="30">
        <f t="shared" si="13"/>
        <v>32240410.055145297</v>
      </c>
      <c r="G78" s="30">
        <f>E78+SUM(E$5:E77)</f>
        <v>2611908846.6047249</v>
      </c>
      <c r="H78" s="30">
        <f t="shared" si="14"/>
        <v>34292328533.923786</v>
      </c>
    </row>
    <row r="79" spans="1:8" s="17" customFormat="1" x14ac:dyDescent="0.25">
      <c r="A79" s="3" t="s">
        <v>59</v>
      </c>
      <c r="C79" s="3"/>
      <c r="D79" s="2"/>
      <c r="E79" s="2">
        <f>SUM(E6:E78)</f>
        <v>2611908846.6047249</v>
      </c>
      <c r="F79" s="2">
        <f>SUM(F8:F78)</f>
        <v>2547717900.0212402</v>
      </c>
      <c r="G79" s="3"/>
      <c r="H79" s="2"/>
    </row>
    <row r="80" spans="1:8" x14ac:dyDescent="0.25">
      <c r="D80" s="30"/>
      <c r="E80" s="4"/>
    </row>
    <row r="81" spans="2:15" x14ac:dyDescent="0.25">
      <c r="D81" s="30"/>
    </row>
    <row r="83" spans="2:15" x14ac:dyDescent="0.25">
      <c r="B83" s="31" t="s">
        <v>73</v>
      </c>
      <c r="C83" s="31" t="s">
        <v>77</v>
      </c>
      <c r="D83" s="31" t="s">
        <v>54</v>
      </c>
      <c r="E83" s="31" t="s">
        <v>63</v>
      </c>
      <c r="F83" s="31" t="s">
        <v>62</v>
      </c>
      <c r="G83" s="31" t="s">
        <v>85</v>
      </c>
      <c r="I83" s="31" t="s">
        <v>84</v>
      </c>
      <c r="J83" s="31" t="s">
        <v>78</v>
      </c>
      <c r="K83" s="6" t="s">
        <v>81</v>
      </c>
      <c r="L83" s="6" t="s">
        <v>80</v>
      </c>
      <c r="M83" s="6" t="s">
        <v>79</v>
      </c>
      <c r="O83" s="6" t="s">
        <v>82</v>
      </c>
    </row>
    <row r="84" spans="2:15" x14ac:dyDescent="0.25">
      <c r="B84" s="31">
        <v>2021</v>
      </c>
      <c r="C84" s="31">
        <v>1</v>
      </c>
      <c r="D84" s="30">
        <f>D78</f>
        <v>10650371995.076469</v>
      </c>
      <c r="E84" s="30">
        <f>E79</f>
        <v>2611908846.6047249</v>
      </c>
      <c r="F84" s="30">
        <f>Rewards_SKY!C51</f>
        <v>31744610633.902542</v>
      </c>
      <c r="G84" s="4">
        <f>E84/F84</f>
        <v>8.22788118817014E-2</v>
      </c>
      <c r="I84" s="4">
        <f>SUM(E84+J84)/F84 * (1-Rewards_SKY!$C$30)</f>
        <v>6.5887438387731506E-2</v>
      </c>
      <c r="J84" s="30">
        <f>1400*365*5</f>
        <v>2555000</v>
      </c>
      <c r="K84" s="6">
        <f>M84/L84</f>
        <v>4</v>
      </c>
      <c r="L84" s="6">
        <v>16384</v>
      </c>
      <c r="M84" s="6">
        <f>65536</f>
        <v>65536</v>
      </c>
    </row>
    <row r="85" spans="2:15" x14ac:dyDescent="0.25">
      <c r="B85" s="31">
        <v>2022</v>
      </c>
      <c r="C85" s="31">
        <v>2</v>
      </c>
      <c r="D85" s="30">
        <f>$D$5 * (1-$B$1)^(73*C85)</f>
        <v>8552859420.4562445</v>
      </c>
      <c r="E85" s="30">
        <f>(D84-D85) *(1- Rewards_SKY!$C$30)</f>
        <v>1678010059.6961801</v>
      </c>
      <c r="F85" s="30">
        <f>F84+E84</f>
        <v>34356519480.507267</v>
      </c>
      <c r="G85" s="4">
        <f t="shared" ref="G85:G88" si="15">E85/F85</f>
        <v>4.8841095811472598E-2</v>
      </c>
      <c r="I85" s="4">
        <f>SUM(E85+J85)/F85 * (1-Rewards_SKY!$C$30)</f>
        <v>4.2047566796647319E-2</v>
      </c>
      <c r="J85" s="30">
        <f>J84*50</f>
        <v>127750000</v>
      </c>
    </row>
    <row r="86" spans="2:15" x14ac:dyDescent="0.25">
      <c r="B86" s="31">
        <v>2023</v>
      </c>
      <c r="C86" s="31">
        <v>3</v>
      </c>
      <c r="D86" s="30">
        <f>$D$5 * (1-$B$1)^(73*C86)</f>
        <v>6868436548.4983969</v>
      </c>
      <c r="E86" s="30">
        <f>(D85-D86) *(1- Rewards_SKY!$C$30)</f>
        <v>1347538297.5662782</v>
      </c>
      <c r="F86" s="30">
        <f t="shared" ref="F86:F88" si="16">F85+E85</f>
        <v>36034529540.203445</v>
      </c>
      <c r="G86" s="4">
        <f t="shared" si="15"/>
        <v>3.7395751096537561E-2</v>
      </c>
      <c r="I86" s="4">
        <f>SUM(E86+J86)/F86 * (1-Rewards_SKY!$C$30)</f>
        <v>5.1187865127948852E-2</v>
      </c>
      <c r="J86" s="30">
        <f>J85*7.5</f>
        <v>958125000</v>
      </c>
    </row>
    <row r="87" spans="2:15" x14ac:dyDescent="0.25">
      <c r="B87" s="31">
        <v>2024</v>
      </c>
      <c r="C87" s="31">
        <v>4</v>
      </c>
      <c r="D87" s="30">
        <f>$D$5 * (1-$B$1)^(73*C87)</f>
        <v>5515748394.9656754</v>
      </c>
      <c r="E87" s="30">
        <f>(D86-D87) *(1- Rewards_SKY!$C$30)</f>
        <v>1082150522.8261774</v>
      </c>
      <c r="F87" s="30">
        <f t="shared" si="16"/>
        <v>37382067837.769722</v>
      </c>
      <c r="G87" s="4">
        <f t="shared" si="15"/>
        <v>2.8948385828266164E-2</v>
      </c>
      <c r="I87" s="4">
        <f>SUM(E87+J87)/F87 * (1-Rewards_SKY!$C$30)</f>
        <v>5.3915434186456938E-2</v>
      </c>
      <c r="J87" s="30">
        <f>J86*1.5</f>
        <v>1437187500</v>
      </c>
    </row>
    <row r="88" spans="2:15" x14ac:dyDescent="0.25">
      <c r="B88" s="31">
        <v>2025</v>
      </c>
      <c r="C88" s="31">
        <v>5</v>
      </c>
      <c r="D88" s="30">
        <f>$D$5 * (1-$B$1)^(73*C88)</f>
        <v>4429462242.4979258</v>
      </c>
      <c r="E88" s="30">
        <f>(D87-D88) *(1- Rewards_SKY!$C$30)</f>
        <v>869028921.97419977</v>
      </c>
      <c r="F88" s="30">
        <f t="shared" si="16"/>
        <v>38464218360.595901</v>
      </c>
      <c r="G88" s="4">
        <f t="shared" si="15"/>
        <v>2.2593177738000354E-2</v>
      </c>
      <c r="I88" s="4">
        <f>SUM(E88+J88)/F88 * (1-Rewards_SKY!$C$30)</f>
        <v>5.3944242883796234E-2</v>
      </c>
      <c r="J88" s="30">
        <f>J87*1.2</f>
        <v>1724625000</v>
      </c>
    </row>
    <row r="89" spans="2:15" x14ac:dyDescent="0.25">
      <c r="B89" s="31">
        <v>2026</v>
      </c>
      <c r="C89" s="31">
        <v>6</v>
      </c>
      <c r="D89" s="30">
        <f t="shared" ref="D89:D152" si="17">$D$5 * (1-$B$1)^(73*C89)</f>
        <v>3557112172.778296</v>
      </c>
      <c r="E89" s="30">
        <f>(D88-D89) *(1- Rewards_SKY!$C$30)</f>
        <v>697880055.77570391</v>
      </c>
      <c r="F89" s="30">
        <f t="shared" ref="F89:F113" si="18">F88+E88</f>
        <v>39333247282.570099</v>
      </c>
      <c r="G89" s="4">
        <f t="shared" ref="G89:G113" si="19">E89/F89</f>
        <v>1.774275209880671E-2</v>
      </c>
      <c r="K89" s="23">
        <f>J88/((K92+(L92 *K93))/1000000)</f>
        <v>9249439.5122562256</v>
      </c>
    </row>
    <row r="90" spans="2:15" x14ac:dyDescent="0.25">
      <c r="B90" s="31">
        <v>2027</v>
      </c>
      <c r="C90" s="31">
        <v>7</v>
      </c>
      <c r="D90" s="30">
        <f t="shared" si="17"/>
        <v>2856565044.9233861</v>
      </c>
      <c r="E90" s="30">
        <f>(D89-D90) *(1- Rewards_SKY!$C$30)</f>
        <v>560437702.28392792</v>
      </c>
      <c r="F90" s="30">
        <f t="shared" si="18"/>
        <v>40031127338.345802</v>
      </c>
      <c r="G90" s="4">
        <f t="shared" si="19"/>
        <v>1.4000047951362211E-2</v>
      </c>
    </row>
    <row r="91" spans="2:15" x14ac:dyDescent="0.25">
      <c r="B91" s="31">
        <v>2028</v>
      </c>
      <c r="C91" s="31">
        <v>8</v>
      </c>
      <c r="D91" s="30">
        <f t="shared" si="17"/>
        <v>2293985530.8259163</v>
      </c>
      <c r="E91" s="30">
        <f>(D90-D91) *(1- Rewards_SKY!$C$30)</f>
        <v>450063611.27797586</v>
      </c>
      <c r="F91" s="30">
        <f t="shared" si="18"/>
        <v>40591565040.62973</v>
      </c>
      <c r="G91" s="4">
        <f t="shared" si="19"/>
        <v>1.108761415893891E-2</v>
      </c>
      <c r="K91" s="31" t="s">
        <v>12</v>
      </c>
      <c r="L91" s="31" t="s">
        <v>13</v>
      </c>
    </row>
    <row r="92" spans="2:15" x14ac:dyDescent="0.25">
      <c r="B92" s="31">
        <v>2029</v>
      </c>
      <c r="C92" s="31">
        <v>9</v>
      </c>
      <c r="D92" s="30">
        <f t="shared" si="17"/>
        <v>1842201921.8469427</v>
      </c>
      <c r="E92" s="30">
        <f>(D91-D92) *(1- Rewards_SKY!$C$30)</f>
        <v>361426887.1831789</v>
      </c>
      <c r="F92" s="30">
        <f t="shared" si="18"/>
        <v>41041628651.907707</v>
      </c>
      <c r="G92" s="4">
        <f t="shared" si="19"/>
        <v>8.8063485552340275E-3</v>
      </c>
      <c r="J92" s="6" t="s">
        <v>83</v>
      </c>
      <c r="K92" s="31">
        <v>44</v>
      </c>
      <c r="L92" s="31">
        <v>155381</v>
      </c>
    </row>
    <row r="93" spans="2:15" x14ac:dyDescent="0.25">
      <c r="B93" s="31">
        <v>2030</v>
      </c>
      <c r="C93" s="31">
        <v>10</v>
      </c>
      <c r="D93" s="30">
        <f t="shared" si="17"/>
        <v>1479393777.8825979</v>
      </c>
      <c r="E93" s="30">
        <f>(D92-D93) *(1- Rewards_SKY!$C$30)</f>
        <v>290246515.17147583</v>
      </c>
      <c r="F93" s="30">
        <f t="shared" si="18"/>
        <v>41403055539.090889</v>
      </c>
      <c r="G93" s="4">
        <f t="shared" si="19"/>
        <v>7.0102679957385807E-3</v>
      </c>
      <c r="J93" s="6" t="s">
        <v>86</v>
      </c>
      <c r="K93" s="31">
        <v>1200</v>
      </c>
    </row>
    <row r="94" spans="2:15" x14ac:dyDescent="0.25">
      <c r="B94" s="31">
        <v>2031</v>
      </c>
      <c r="C94" s="31">
        <v>11</v>
      </c>
      <c r="D94" s="30">
        <f t="shared" si="17"/>
        <v>1188038034.3124967</v>
      </c>
      <c r="E94" s="30">
        <f>(D93-D94) *(1- Rewards_SKY!$C$30)</f>
        <v>233084594.85608101</v>
      </c>
      <c r="F94" s="30">
        <f t="shared" si="18"/>
        <v>41693302054.262367</v>
      </c>
      <c r="G94" s="4">
        <f t="shared" si="19"/>
        <v>5.5904565810769701E-3</v>
      </c>
      <c r="K94" s="6">
        <f>K89/(21600 *73)</f>
        <v>5.8659560580011574</v>
      </c>
    </row>
    <row r="95" spans="2:15" x14ac:dyDescent="0.25">
      <c r="B95" s="31">
        <v>2032</v>
      </c>
      <c r="C95" s="31">
        <v>12</v>
      </c>
      <c r="D95" s="30">
        <f t="shared" si="17"/>
        <v>954062665.44748878</v>
      </c>
      <c r="E95" s="30">
        <f>(D94-D95) *(1- Rewards_SKY!$C$30)</f>
        <v>187180295.09200633</v>
      </c>
      <c r="F95" s="30">
        <f t="shared" si="18"/>
        <v>41926386649.118446</v>
      </c>
      <c r="G95" s="4">
        <f t="shared" si="19"/>
        <v>4.4644986141666948E-3</v>
      </c>
    </row>
    <row r="96" spans="2:15" x14ac:dyDescent="0.25">
      <c r="B96" s="31">
        <v>2033</v>
      </c>
      <c r="C96" s="31">
        <v>13</v>
      </c>
      <c r="D96" s="30">
        <f t="shared" si="17"/>
        <v>766167027.74798715</v>
      </c>
      <c r="E96" s="30">
        <f>(D95-D96) *(1- Rewards_SKY!$C$30)</f>
        <v>150316510.1596013</v>
      </c>
      <c r="F96" s="30">
        <f t="shared" si="18"/>
        <v>42113566944.210449</v>
      </c>
      <c r="G96" s="4">
        <f t="shared" si="19"/>
        <v>3.5693131944565912E-3</v>
      </c>
    </row>
    <row r="97" spans="2:7" x14ac:dyDescent="0.25">
      <c r="B97" s="31">
        <v>2034</v>
      </c>
      <c r="C97" s="31">
        <v>14</v>
      </c>
      <c r="D97" s="30">
        <f t="shared" si="17"/>
        <v>615276056.455742</v>
      </c>
      <c r="E97" s="30">
        <f>(D96-D97) *(1- Rewards_SKY!$C$30)</f>
        <v>120712777.03379613</v>
      </c>
      <c r="F97" s="30">
        <f t="shared" si="18"/>
        <v>42263883454.370049</v>
      </c>
      <c r="G97" s="4">
        <f t="shared" si="19"/>
        <v>2.8561686046698234E-3</v>
      </c>
    </row>
    <row r="98" spans="2:7" x14ac:dyDescent="0.25">
      <c r="B98" s="31">
        <v>2035</v>
      </c>
      <c r="C98" s="31">
        <v>15</v>
      </c>
      <c r="D98" s="30">
        <f t="shared" si="17"/>
        <v>494101954.19196439</v>
      </c>
      <c r="E98" s="30">
        <f>(D97-D98) *(1- Rewards_SKY!$C$30)</f>
        <v>96939281.811022103</v>
      </c>
      <c r="F98" s="30">
        <f t="shared" si="18"/>
        <v>42384596231.403847</v>
      </c>
      <c r="G98" s="4">
        <f t="shared" si="19"/>
        <v>2.2871347241759797E-3</v>
      </c>
    </row>
    <row r="99" spans="2:7" x14ac:dyDescent="0.25">
      <c r="B99" s="31">
        <v>2036</v>
      </c>
      <c r="C99" s="31">
        <v>16</v>
      </c>
      <c r="D99" s="30">
        <f t="shared" si="17"/>
        <v>396792201.76818186</v>
      </c>
      <c r="E99" s="30">
        <f>(D98-D99) *(1- Rewards_SKY!$C$30)</f>
        <v>77847801.939026028</v>
      </c>
      <c r="F99" s="30">
        <f t="shared" si="18"/>
        <v>42481535513.214867</v>
      </c>
      <c r="G99" s="4">
        <f t="shared" si="19"/>
        <v>1.8325091359941465E-3</v>
      </c>
    </row>
    <row r="100" spans="2:7" x14ac:dyDescent="0.25">
      <c r="B100" s="31">
        <v>2037</v>
      </c>
      <c r="C100" s="31">
        <v>17</v>
      </c>
      <c r="D100" s="30">
        <f t="shared" si="17"/>
        <v>318646890.68376505</v>
      </c>
      <c r="E100" s="30">
        <f>(D99-D100) *(1- Rewards_SKY!$C$30)</f>
        <v>62516248.867533445</v>
      </c>
      <c r="F100" s="30">
        <f t="shared" si="18"/>
        <v>42559383315.153893</v>
      </c>
      <c r="G100" s="4">
        <f t="shared" si="19"/>
        <v>1.4689181091887113E-3</v>
      </c>
    </row>
    <row r="101" spans="2:7" x14ac:dyDescent="0.25">
      <c r="B101" s="31">
        <v>2038</v>
      </c>
      <c r="C101" s="31">
        <v>18</v>
      </c>
      <c r="D101" s="30">
        <f t="shared" si="17"/>
        <v>255891724.91285926</v>
      </c>
      <c r="E101" s="30">
        <f>(D100-D101) *(1- Rewards_SKY!$C$30)</f>
        <v>50204132.61672464</v>
      </c>
      <c r="F101" s="30">
        <f t="shared" si="18"/>
        <v>42621899564.021423</v>
      </c>
      <c r="G101" s="4">
        <f t="shared" si="19"/>
        <v>1.1778952400118654E-3</v>
      </c>
    </row>
    <row r="102" spans="2:7" x14ac:dyDescent="0.25">
      <c r="B102" s="31">
        <v>2039</v>
      </c>
      <c r="C102" s="31">
        <v>19</v>
      </c>
      <c r="D102" s="30">
        <f t="shared" si="17"/>
        <v>205495728.32287055</v>
      </c>
      <c r="E102" s="30">
        <f>(D101-D102) *(1- Rewards_SKY!$C$30)</f>
        <v>40316797.27199097</v>
      </c>
      <c r="F102" s="30">
        <f t="shared" si="18"/>
        <v>42672103696.638145</v>
      </c>
      <c r="G102" s="4">
        <f t="shared" si="19"/>
        <v>9.4480453925141884E-4</v>
      </c>
    </row>
    <row r="103" spans="2:7" x14ac:dyDescent="0.25">
      <c r="B103" s="31">
        <v>2040</v>
      </c>
      <c r="C103" s="31">
        <v>20</v>
      </c>
      <c r="D103" s="30">
        <f t="shared" si="17"/>
        <v>165024853.27857873</v>
      </c>
      <c r="E103" s="30">
        <f>(D102-D103) *(1- Rewards_SKY!$C$30)</f>
        <v>32376700.03543346</v>
      </c>
      <c r="F103" s="30">
        <f t="shared" si="18"/>
        <v>42712420493.910133</v>
      </c>
      <c r="G103" s="4">
        <f t="shared" si="19"/>
        <v>7.5801604453790388E-4</v>
      </c>
    </row>
    <row r="104" spans="2:7" x14ac:dyDescent="0.25">
      <c r="B104" s="31">
        <v>2041</v>
      </c>
      <c r="C104" s="31">
        <v>21</v>
      </c>
      <c r="D104" s="30">
        <f t="shared" si="17"/>
        <v>132524419.95693557</v>
      </c>
      <c r="E104" s="30">
        <f>(D103-D104) *(1- Rewards_SKY!$C$30)</f>
        <v>26000346.657314528</v>
      </c>
      <c r="F104" s="30">
        <f t="shared" si="18"/>
        <v>42744797193.945564</v>
      </c>
      <c r="G104" s="4">
        <f t="shared" si="19"/>
        <v>6.0826927168102819E-4</v>
      </c>
    </row>
    <row r="105" spans="2:7" x14ac:dyDescent="0.25">
      <c r="B105" s="31">
        <v>2042</v>
      </c>
      <c r="C105" s="31">
        <v>22</v>
      </c>
      <c r="D105" s="30">
        <f t="shared" si="17"/>
        <v>106424708.37574123</v>
      </c>
      <c r="E105" s="30">
        <f>(D104-D105) *(1- Rewards_SKY!$C$30)</f>
        <v>20879769.264955476</v>
      </c>
      <c r="F105" s="30">
        <f t="shared" si="18"/>
        <v>42770797540.602882</v>
      </c>
      <c r="G105" s="4">
        <f t="shared" si="19"/>
        <v>4.8817816046413528E-4</v>
      </c>
    </row>
    <row r="106" spans="2:7" x14ac:dyDescent="0.25">
      <c r="B106" s="31">
        <v>2043</v>
      </c>
      <c r="C106" s="31">
        <v>23</v>
      </c>
      <c r="D106" s="30">
        <f t="shared" si="17"/>
        <v>85465143.379175469</v>
      </c>
      <c r="E106" s="30">
        <f>(D105-D106) *(1- Rewards_SKY!$C$30)</f>
        <v>16767651.997252608</v>
      </c>
      <c r="F106" s="30">
        <f t="shared" si="18"/>
        <v>42791677309.867836</v>
      </c>
      <c r="G106" s="4">
        <f t="shared" si="19"/>
        <v>3.9184376615650815E-4</v>
      </c>
    </row>
    <row r="107" spans="2:7" x14ac:dyDescent="0.25">
      <c r="B107" s="31">
        <v>2044</v>
      </c>
      <c r="C107" s="31">
        <v>24</v>
      </c>
      <c r="D107" s="30">
        <f t="shared" si="17"/>
        <v>68633410.83383213</v>
      </c>
      <c r="E107" s="30">
        <f>(D106-D107) *(1- Rewards_SKY!$C$30)</f>
        <v>13465386.036274672</v>
      </c>
      <c r="F107" s="30">
        <f t="shared" si="18"/>
        <v>42808444961.865089</v>
      </c>
      <c r="G107" s="4">
        <f t="shared" si="19"/>
        <v>3.1454975877469966E-4</v>
      </c>
    </row>
    <row r="108" spans="2:7" x14ac:dyDescent="0.25">
      <c r="B108" s="31">
        <v>2045</v>
      </c>
      <c r="C108" s="31">
        <v>25</v>
      </c>
      <c r="D108" s="30">
        <f t="shared" si="17"/>
        <v>55116564.442965195</v>
      </c>
      <c r="E108" s="30">
        <f>(D107-D108) *(1- Rewards_SKY!$C$30)</f>
        <v>10813477.112693548</v>
      </c>
      <c r="F108" s="30">
        <f t="shared" si="18"/>
        <v>42821910347.901367</v>
      </c>
      <c r="G108" s="4">
        <f t="shared" si="19"/>
        <v>2.5252206230036862E-4</v>
      </c>
    </row>
    <row r="109" spans="2:7" x14ac:dyDescent="0.25">
      <c r="B109" s="31">
        <v>2046</v>
      </c>
      <c r="C109" s="31">
        <v>26</v>
      </c>
      <c r="D109" s="30">
        <f t="shared" si="17"/>
        <v>44261761.714719638</v>
      </c>
      <c r="E109" s="30">
        <f>(D108-D109) *(1- Rewards_SKY!$C$30)</f>
        <v>8683842.1825964451</v>
      </c>
      <c r="F109" s="30">
        <f t="shared" si="18"/>
        <v>42832723825.014061</v>
      </c>
      <c r="G109" s="4">
        <f t="shared" si="19"/>
        <v>2.027385000793513E-4</v>
      </c>
    </row>
    <row r="110" spans="2:7" x14ac:dyDescent="0.25">
      <c r="B110" s="31">
        <v>2047</v>
      </c>
      <c r="C110" s="31">
        <v>27</v>
      </c>
      <c r="D110" s="30">
        <f t="shared" si="17"/>
        <v>35544732.693161756</v>
      </c>
      <c r="E110" s="30">
        <f>(D109-D110) *(1- Rewards_SKY!$C$30)</f>
        <v>6973623.2172463061</v>
      </c>
      <c r="F110" s="30">
        <f t="shared" si="18"/>
        <v>42841407667.196655</v>
      </c>
      <c r="G110" s="4">
        <f t="shared" si="19"/>
        <v>1.6277763960090316E-4</v>
      </c>
    </row>
    <row r="111" spans="2:7" x14ac:dyDescent="0.25">
      <c r="B111" s="31">
        <v>2048</v>
      </c>
      <c r="C111" s="31">
        <v>28</v>
      </c>
      <c r="D111" s="30">
        <f t="shared" si="17"/>
        <v>28544458.541245941</v>
      </c>
      <c r="E111" s="30">
        <f>(D110-D111) *(1- Rewards_SKY!$C$30)</f>
        <v>5600219.3215326518</v>
      </c>
      <c r="F111" s="30">
        <f t="shared" si="18"/>
        <v>42848381290.413902</v>
      </c>
      <c r="G111" s="4">
        <f t="shared" si="19"/>
        <v>1.306985037212022E-4</v>
      </c>
    </row>
    <row r="112" spans="2:7" x14ac:dyDescent="0.25">
      <c r="B112" s="31">
        <v>2049</v>
      </c>
      <c r="C112" s="31">
        <v>29</v>
      </c>
      <c r="D112" s="30">
        <f t="shared" si="17"/>
        <v>22922836.990968861</v>
      </c>
      <c r="E112" s="30">
        <f>(D111-D112) *(1- Rewards_SKY!$C$30)</f>
        <v>4497297.2402216643</v>
      </c>
      <c r="F112" s="30">
        <f t="shared" si="18"/>
        <v>42853981509.735435</v>
      </c>
      <c r="G112" s="4">
        <f t="shared" si="19"/>
        <v>1.0494467682541894E-4</v>
      </c>
    </row>
    <row r="113" spans="2:7" x14ac:dyDescent="0.25">
      <c r="B113" s="31">
        <v>2050</v>
      </c>
      <c r="C113" s="31">
        <v>30</v>
      </c>
      <c r="D113" s="30">
        <f t="shared" si="17"/>
        <v>18408352.533829309</v>
      </c>
      <c r="E113" s="30">
        <f>(D112-D113) *(1- Rewards_SKY!$C$30)</f>
        <v>3611587.5657116417</v>
      </c>
      <c r="F113" s="30">
        <f t="shared" si="18"/>
        <v>42858478806.975655</v>
      </c>
      <c r="G113" s="4">
        <f t="shared" si="19"/>
        <v>8.4267749725261336E-5</v>
      </c>
    </row>
    <row r="114" spans="2:7" x14ac:dyDescent="0.25">
      <c r="B114" s="31">
        <v>2051</v>
      </c>
      <c r="C114" s="31">
        <v>31</v>
      </c>
      <c r="D114" s="30">
        <f t="shared" si="17"/>
        <v>14782962.647391636</v>
      </c>
      <c r="E114" s="30">
        <f>(D113-D114) *(1- Rewards_SKY!$C$30)</f>
        <v>2900311.9091501385</v>
      </c>
      <c r="F114" s="30">
        <f t="shared" ref="F114:F177" si="20">F113+E113</f>
        <v>42862090394.541367</v>
      </c>
      <c r="G114" s="4">
        <f t="shared" ref="G114:G177" si="21">E114/F114</f>
        <v>6.7666132996618925E-5</v>
      </c>
    </row>
    <row r="115" spans="2:7" x14ac:dyDescent="0.25">
      <c r="B115" s="31">
        <v>2052</v>
      </c>
      <c r="C115" s="31">
        <v>32</v>
      </c>
      <c r="D115" s="30">
        <f t="shared" si="17"/>
        <v>11871566.683252584</v>
      </c>
      <c r="E115" s="30">
        <f>(D114-D115) *(1- Rewards_SKY!$C$30)</f>
        <v>2329116.7713112417</v>
      </c>
      <c r="F115" s="30">
        <f t="shared" si="20"/>
        <v>42864990706.450516</v>
      </c>
      <c r="G115" s="4">
        <f t="shared" si="21"/>
        <v>5.4336108160190171E-5</v>
      </c>
    </row>
    <row r="116" spans="2:7" x14ac:dyDescent="0.25">
      <c r="B116" s="31">
        <v>2053</v>
      </c>
      <c r="C116" s="31">
        <v>33</v>
      </c>
      <c r="D116" s="30">
        <f t="shared" si="17"/>
        <v>9533548.7802087981</v>
      </c>
      <c r="E116" s="30">
        <f>(D115-D116) *(1- Rewards_SKY!$C$30)</f>
        <v>1870414.3224350289</v>
      </c>
      <c r="F116" s="30">
        <f t="shared" si="20"/>
        <v>42867319823.221825</v>
      </c>
      <c r="G116" s="4">
        <f t="shared" si="21"/>
        <v>4.3632639739277549E-5</v>
      </c>
    </row>
    <row r="117" spans="2:7" x14ac:dyDescent="0.25">
      <c r="B117" s="31">
        <v>2054</v>
      </c>
      <c r="C117" s="31">
        <v>34</v>
      </c>
      <c r="D117" s="30">
        <f t="shared" si="17"/>
        <v>7655986.3385882061</v>
      </c>
      <c r="E117" s="30">
        <f>(D116-D117) *(1- Rewards_SKY!$C$30)</f>
        <v>1502049.9532964737</v>
      </c>
      <c r="F117" s="30">
        <f t="shared" si="20"/>
        <v>42869190237.544258</v>
      </c>
      <c r="G117" s="4">
        <f t="shared" si="21"/>
        <v>3.503798287239395E-5</v>
      </c>
    </row>
    <row r="118" spans="2:7" x14ac:dyDescent="0.25">
      <c r="B118" s="31">
        <v>2055</v>
      </c>
      <c r="C118" s="31">
        <v>35</v>
      </c>
      <c r="D118" s="30">
        <f t="shared" si="17"/>
        <v>6148196.035701775</v>
      </c>
      <c r="E118" s="30">
        <f>(D117-D118) *(1- Rewards_SKY!$C$30)</f>
        <v>1206232.2423091449</v>
      </c>
      <c r="F118" s="30">
        <f t="shared" si="20"/>
        <v>42870692287.497551</v>
      </c>
      <c r="G118" s="4">
        <f t="shared" si="21"/>
        <v>2.8136523530340105E-5</v>
      </c>
    </row>
    <row r="119" spans="2:7" x14ac:dyDescent="0.25">
      <c r="B119" s="31">
        <v>2056</v>
      </c>
      <c r="C119" s="31">
        <v>36</v>
      </c>
      <c r="D119" s="30">
        <f t="shared" si="17"/>
        <v>4937353.9635115834</v>
      </c>
      <c r="E119" s="30">
        <f>(D118-D119) *(1- Rewards_SKY!$C$30)</f>
        <v>968673.65775215335</v>
      </c>
      <c r="F119" s="30">
        <f t="shared" si="20"/>
        <v>42871898519.739861</v>
      </c>
      <c r="G119" s="4">
        <f t="shared" si="21"/>
        <v>2.2594606051937237E-5</v>
      </c>
    </row>
    <row r="120" spans="2:7" x14ac:dyDescent="0.25">
      <c r="B120" s="31">
        <v>2057</v>
      </c>
      <c r="C120" s="31">
        <v>37</v>
      </c>
      <c r="D120" s="30">
        <f t="shared" si="17"/>
        <v>3964978.3480303478</v>
      </c>
      <c r="E120" s="30">
        <f>(D119-D120) *(1- Rewards_SKY!$C$30)</f>
        <v>777900.49238498847</v>
      </c>
      <c r="F120" s="30">
        <f t="shared" si="20"/>
        <v>42872867193.397614</v>
      </c>
      <c r="G120" s="4">
        <f t="shared" si="21"/>
        <v>1.8144354303991698E-5</v>
      </c>
    </row>
    <row r="121" spans="2:7" x14ac:dyDescent="0.25">
      <c r="B121" s="31">
        <v>2058</v>
      </c>
      <c r="C121" s="31">
        <v>38</v>
      </c>
      <c r="D121" s="30">
        <f t="shared" si="17"/>
        <v>3184104.971313057</v>
      </c>
      <c r="E121" s="30">
        <f>(D120-D121) *(1- Rewards_SKY!$C$30)</f>
        <v>624698.70137383265</v>
      </c>
      <c r="F121" s="30">
        <f t="shared" si="20"/>
        <v>42873645093.889999</v>
      </c>
      <c r="G121" s="4">
        <f t="shared" si="21"/>
        <v>1.4570692554966818E-5</v>
      </c>
    </row>
    <row r="122" spans="2:7" x14ac:dyDescent="0.25">
      <c r="B122" s="31">
        <v>2059</v>
      </c>
      <c r="C122" s="31">
        <v>39</v>
      </c>
      <c r="D122" s="30">
        <f t="shared" si="17"/>
        <v>2557018.873350712</v>
      </c>
      <c r="E122" s="30">
        <f>(D121-D122) *(1- Rewards_SKY!$C$30)</f>
        <v>501668.87836987601</v>
      </c>
      <c r="F122" s="30">
        <f t="shared" si="20"/>
        <v>42874269792.59137</v>
      </c>
      <c r="G122" s="4">
        <f t="shared" si="21"/>
        <v>1.1700931136477662E-5</v>
      </c>
    </row>
    <row r="123" spans="2:7" x14ac:dyDescent="0.25">
      <c r="B123" s="31">
        <v>2060</v>
      </c>
      <c r="C123" s="31">
        <v>40</v>
      </c>
      <c r="D123" s="30">
        <f t="shared" si="17"/>
        <v>2053432.7786233344</v>
      </c>
      <c r="E123" s="30">
        <f>(D122-D123) *(1- Rewards_SKY!$C$30)</f>
        <v>402868.87578190211</v>
      </c>
      <c r="F123" s="30">
        <f t="shared" si="20"/>
        <v>42874771461.469742</v>
      </c>
      <c r="G123" s="4">
        <f t="shared" si="21"/>
        <v>9.3964087049174872E-6</v>
      </c>
    </row>
    <row r="124" spans="2:7" x14ac:dyDescent="0.25">
      <c r="B124" s="31">
        <v>2061</v>
      </c>
      <c r="C124" s="31">
        <v>41</v>
      </c>
      <c r="D124" s="30">
        <f t="shared" si="17"/>
        <v>1649024.2681702783</v>
      </c>
      <c r="E124" s="30">
        <f>(D123-D124) *(1- Rewards_SKY!$C$30)</f>
        <v>323526.80836244486</v>
      </c>
      <c r="F124" s="30">
        <f t="shared" si="20"/>
        <v>42875174330.34552</v>
      </c>
      <c r="G124" s="4">
        <f t="shared" si="21"/>
        <v>7.5457840910389981E-6</v>
      </c>
    </row>
    <row r="125" spans="2:7" x14ac:dyDescent="0.25">
      <c r="B125" s="31">
        <v>2062</v>
      </c>
      <c r="C125" s="31">
        <v>42</v>
      </c>
      <c r="D125" s="30">
        <f t="shared" si="17"/>
        <v>1324261.044881921</v>
      </c>
      <c r="E125" s="30">
        <f>(D124-D125) *(1- Rewards_SKY!$C$30)</f>
        <v>259810.57863068581</v>
      </c>
      <c r="F125" s="30">
        <f t="shared" si="20"/>
        <v>42875497857.153885</v>
      </c>
      <c r="G125" s="4">
        <f t="shared" si="21"/>
        <v>6.0596515869339522E-6</v>
      </c>
    </row>
    <row r="126" spans="2:7" x14ac:dyDescent="0.25">
      <c r="B126" s="31">
        <v>2063</v>
      </c>
      <c r="C126" s="31">
        <v>43</v>
      </c>
      <c r="D126" s="30">
        <f t="shared" si="17"/>
        <v>1063457.5541678276</v>
      </c>
      <c r="E126" s="30">
        <f>(D125-D126) *(1- Rewards_SKY!$C$30)</f>
        <v>208642.79257127477</v>
      </c>
      <c r="F126" s="30">
        <f t="shared" si="20"/>
        <v>42875757667.732513</v>
      </c>
      <c r="G126" s="4">
        <f t="shared" si="21"/>
        <v>4.8662182062917896E-6</v>
      </c>
    </row>
    <row r="127" spans="2:7" x14ac:dyDescent="0.25">
      <c r="B127" s="31">
        <v>2064</v>
      </c>
      <c r="C127" s="31">
        <v>44</v>
      </c>
      <c r="D127" s="30">
        <f t="shared" si="17"/>
        <v>854017.39625849959</v>
      </c>
      <c r="E127" s="30">
        <f>(D126-D127) *(1- Rewards_SKY!$C$30)</f>
        <v>167552.12632746241</v>
      </c>
      <c r="F127" s="30">
        <f t="shared" si="20"/>
        <v>42875966310.525085</v>
      </c>
      <c r="G127" s="4">
        <f t="shared" si="21"/>
        <v>3.907833239581871E-6</v>
      </c>
    </row>
    <row r="128" spans="2:7" x14ac:dyDescent="0.25">
      <c r="B128" s="31">
        <v>2065</v>
      </c>
      <c r="C128" s="31">
        <v>45</v>
      </c>
      <c r="D128" s="30">
        <f t="shared" si="17"/>
        <v>685824.9398424481</v>
      </c>
      <c r="E128" s="30">
        <f>(D127-D128) *(1- Rewards_SKY!$C$30)</f>
        <v>134553.9651328412</v>
      </c>
      <c r="F128" s="30">
        <f t="shared" si="20"/>
        <v>42876133862.651413</v>
      </c>
      <c r="G128" s="4">
        <f t="shared" si="21"/>
        <v>3.1382019088723995E-6</v>
      </c>
    </row>
    <row r="129" spans="2:7" x14ac:dyDescent="0.25">
      <c r="B129" s="31">
        <v>2066</v>
      </c>
      <c r="C129" s="31">
        <v>46</v>
      </c>
      <c r="D129" s="30">
        <f t="shared" si="17"/>
        <v>550756.75293097552</v>
      </c>
      <c r="E129" s="30">
        <f>(D128-D129) *(1- Rewards_SKY!$C$30)</f>
        <v>108054.54952917807</v>
      </c>
      <c r="F129" s="30">
        <f t="shared" si="20"/>
        <v>42876268416.616547</v>
      </c>
      <c r="G129" s="4">
        <f t="shared" si="21"/>
        <v>2.5201481733261542E-6</v>
      </c>
    </row>
    <row r="130" spans="2:7" x14ac:dyDescent="0.25">
      <c r="B130" s="31">
        <v>2067</v>
      </c>
      <c r="C130" s="31">
        <v>47</v>
      </c>
      <c r="D130" s="30">
        <f t="shared" si="17"/>
        <v>442289.25382730336</v>
      </c>
      <c r="E130" s="30">
        <f>(D129-D130) *(1- Rewards_SKY!$C$30)</f>
        <v>86773.99928293773</v>
      </c>
      <c r="F130" s="30">
        <f t="shared" si="20"/>
        <v>42876376471.166077</v>
      </c>
      <c r="G130" s="4">
        <f t="shared" si="21"/>
        <v>2.0238183919597861E-6</v>
      </c>
    </row>
    <row r="131" spans="2:7" x14ac:dyDescent="0.25">
      <c r="B131" s="31">
        <v>2068</v>
      </c>
      <c r="C131" s="31">
        <v>48</v>
      </c>
      <c r="D131" s="30">
        <f t="shared" si="17"/>
        <v>355183.6323568949</v>
      </c>
      <c r="E131" s="30">
        <f>(D130-D131) *(1- Rewards_SKY!$C$30)</f>
        <v>69684.497176326768</v>
      </c>
      <c r="F131" s="30">
        <f t="shared" si="20"/>
        <v>42876463245.165359</v>
      </c>
      <c r="G131" s="4">
        <f t="shared" si="21"/>
        <v>1.6252389283573713E-6</v>
      </c>
    </row>
    <row r="132" spans="2:7" x14ac:dyDescent="0.25">
      <c r="B132" s="31">
        <v>2069</v>
      </c>
      <c r="C132" s="31">
        <v>49</v>
      </c>
      <c r="D132" s="30">
        <f t="shared" si="17"/>
        <v>285232.82354831201</v>
      </c>
      <c r="E132" s="30">
        <f>(D131-D132) *(1- Rewards_SKY!$C$30)</f>
        <v>55960.647046866317</v>
      </c>
      <c r="F132" s="30">
        <f t="shared" si="20"/>
        <v>42876532929.662537</v>
      </c>
      <c r="G132" s="4">
        <f t="shared" si="21"/>
        <v>1.3051579319313858E-6</v>
      </c>
    </row>
    <row r="133" spans="2:7" x14ac:dyDescent="0.25">
      <c r="B133" s="31">
        <v>2070</v>
      </c>
      <c r="C133" s="31">
        <v>50</v>
      </c>
      <c r="D133" s="30">
        <f t="shared" si="17"/>
        <v>229058.31299003333</v>
      </c>
      <c r="E133" s="30">
        <f>(D132-D133) *(1- Rewards_SKY!$C$30)</f>
        <v>44939.608446622944</v>
      </c>
      <c r="F133" s="30">
        <f t="shared" si="20"/>
        <v>42876588890.309586</v>
      </c>
      <c r="G133" s="4">
        <f t="shared" si="21"/>
        <v>1.0481152911112204E-6</v>
      </c>
    </row>
    <row r="134" spans="2:7" x14ac:dyDescent="0.25">
      <c r="B134" s="31">
        <v>2071</v>
      </c>
      <c r="C134" s="31">
        <v>51</v>
      </c>
      <c r="D134" s="30">
        <f t="shared" si="17"/>
        <v>183946.95988048936</v>
      </c>
      <c r="E134" s="30">
        <f>(D133-D134) *(1- Rewards_SKY!$C$30)</f>
        <v>36089.082487635176</v>
      </c>
      <c r="F134" s="30">
        <f t="shared" si="20"/>
        <v>42876633829.91803</v>
      </c>
      <c r="G134" s="4">
        <f t="shared" si="21"/>
        <v>8.4169579708128343E-7</v>
      </c>
    </row>
    <row r="135" spans="2:7" x14ac:dyDescent="0.25">
      <c r="B135" s="31">
        <v>2072</v>
      </c>
      <c r="C135" s="31">
        <v>52</v>
      </c>
      <c r="D135" s="30">
        <f t="shared" si="17"/>
        <v>147719.95658043041</v>
      </c>
      <c r="E135" s="30">
        <f>(D134-D135) *(1- Rewards_SKY!$C$30)</f>
        <v>28981.60264004716</v>
      </c>
      <c r="F135" s="30">
        <f t="shared" si="20"/>
        <v>42876669919.000519</v>
      </c>
      <c r="G135" s="4">
        <f t="shared" si="21"/>
        <v>6.7592942023709146E-7</v>
      </c>
    </row>
    <row r="136" spans="2:7" x14ac:dyDescent="0.25">
      <c r="B136" s="31">
        <v>2073</v>
      </c>
      <c r="C136" s="31">
        <v>53</v>
      </c>
      <c r="D136" s="30">
        <f t="shared" si="17"/>
        <v>118627.59561941937</v>
      </c>
      <c r="E136" s="30">
        <f>(D135-D136) *(1- Rewards_SKY!$C$30)</f>
        <v>23273.888768808836</v>
      </c>
      <c r="F136" s="30">
        <f t="shared" si="20"/>
        <v>42876698900.603157</v>
      </c>
      <c r="G136" s="4">
        <f t="shared" si="21"/>
        <v>5.4280971636278273E-7</v>
      </c>
    </row>
    <row r="137" spans="2:7" x14ac:dyDescent="0.25">
      <c r="B137" s="31">
        <v>2074</v>
      </c>
      <c r="C137" s="31">
        <v>54</v>
      </c>
      <c r="D137" s="30">
        <f t="shared" si="17"/>
        <v>95264.761567827154</v>
      </c>
      <c r="E137" s="30">
        <f>(D136-D137) *(1- Rewards_SKY!$C$30)</f>
        <v>18690.267241273774</v>
      </c>
      <c r="F137" s="30">
        <f t="shared" si="20"/>
        <v>42876722174.491928</v>
      </c>
      <c r="G137" s="4">
        <f t="shared" si="21"/>
        <v>4.3590709115336535E-7</v>
      </c>
    </row>
    <row r="138" spans="2:7" x14ac:dyDescent="0.25">
      <c r="B138" s="31">
        <v>2075</v>
      </c>
      <c r="C138" s="31">
        <v>55</v>
      </c>
      <c r="D138" s="30">
        <f t="shared" si="17"/>
        <v>76503.066164221556</v>
      </c>
      <c r="E138" s="30">
        <f>(D137-D138) *(1- Rewards_SKY!$C$30)</f>
        <v>15009.35632288448</v>
      </c>
      <c r="F138" s="30">
        <f t="shared" si="20"/>
        <v>42876740864.759171</v>
      </c>
      <c r="G138" s="4">
        <f t="shared" si="21"/>
        <v>3.5005823717401112E-7</v>
      </c>
    </row>
    <row r="139" spans="2:7" x14ac:dyDescent="0.25">
      <c r="B139" s="31">
        <v>2076</v>
      </c>
      <c r="C139" s="31">
        <v>56</v>
      </c>
      <c r="D139" s="30">
        <f t="shared" si="17"/>
        <v>61436.348931185945</v>
      </c>
      <c r="E139" s="30">
        <f>(D138-D139) *(1- Rewards_SKY!$C$30)</f>
        <v>12053.37378642849</v>
      </c>
      <c r="F139" s="30">
        <f t="shared" si="20"/>
        <v>42876755874.115494</v>
      </c>
      <c r="G139" s="4">
        <f t="shared" si="21"/>
        <v>2.8111673891132835E-7</v>
      </c>
    </row>
    <row r="140" spans="2:7" x14ac:dyDescent="0.25">
      <c r="B140" s="31">
        <v>2077</v>
      </c>
      <c r="C140" s="31">
        <v>57</v>
      </c>
      <c r="D140" s="30">
        <f t="shared" si="17"/>
        <v>49336.911044744877</v>
      </c>
      <c r="E140" s="30">
        <f>(D139-D140) *(1- Rewards_SKY!$C$30)</f>
        <v>9679.5503091528553</v>
      </c>
      <c r="F140" s="30">
        <f t="shared" si="20"/>
        <v>42876767927.489281</v>
      </c>
      <c r="G140" s="4">
        <f t="shared" si="21"/>
        <v>2.257527975411382E-7</v>
      </c>
    </row>
    <row r="141" spans="2:7" x14ac:dyDescent="0.25">
      <c r="B141" s="31">
        <v>2078</v>
      </c>
      <c r="C141" s="31">
        <v>58</v>
      </c>
      <c r="D141" s="30">
        <f t="shared" si="17"/>
        <v>39620.368621896916</v>
      </c>
      <c r="E141" s="30">
        <f>(D140-D141) *(1- Rewards_SKY!$C$30)</f>
        <v>7773.2339382783684</v>
      </c>
      <c r="F141" s="30">
        <f t="shared" si="20"/>
        <v>42876777607.039589</v>
      </c>
      <c r="G141" s="4">
        <f t="shared" si="21"/>
        <v>1.8129240050451329E-7</v>
      </c>
    </row>
    <row r="142" spans="2:7" x14ac:dyDescent="0.25">
      <c r="B142" s="31">
        <v>2079</v>
      </c>
      <c r="C142" s="31">
        <v>59</v>
      </c>
      <c r="D142" s="30">
        <f t="shared" si="17"/>
        <v>31817.427895137709</v>
      </c>
      <c r="E142" s="30">
        <f>(D141-D142) *(1- Rewards_SKY!$C$30)</f>
        <v>6242.3525814073655</v>
      </c>
      <c r="F142" s="30">
        <f t="shared" si="20"/>
        <v>42876785380.273529</v>
      </c>
      <c r="G142" s="4">
        <f t="shared" si="21"/>
        <v>1.4558816679105115E-7</v>
      </c>
    </row>
    <row r="143" spans="2:7" x14ac:dyDescent="0.25">
      <c r="B143" s="31">
        <v>2080</v>
      </c>
      <c r="C143" s="31">
        <v>60</v>
      </c>
      <c r="D143" s="30">
        <f t="shared" si="17"/>
        <v>25551.219059148141</v>
      </c>
      <c r="E143" s="30">
        <f>(D142-D143) *(1- Rewards_SKY!$C$30)</f>
        <v>5012.967068791655</v>
      </c>
      <c r="F143" s="30">
        <f t="shared" si="20"/>
        <v>42876791622.626114</v>
      </c>
      <c r="G143" s="4">
        <f t="shared" si="21"/>
        <v>1.1691562915697052E-7</v>
      </c>
    </row>
    <row r="144" spans="2:7" x14ac:dyDescent="0.25">
      <c r="B144" s="31">
        <v>2081</v>
      </c>
      <c r="C144" s="31">
        <v>61</v>
      </c>
      <c r="D144" s="30">
        <f t="shared" si="17"/>
        <v>20519.094049973319</v>
      </c>
      <c r="E144" s="30">
        <f>(D143-D144) *(1- Rewards_SKY!$C$30)</f>
        <v>4025.7000073398581</v>
      </c>
      <c r="F144" s="30">
        <f t="shared" si="20"/>
        <v>42876796635.593185</v>
      </c>
      <c r="G144" s="4">
        <f t="shared" si="21"/>
        <v>9.3889943354537268E-8</v>
      </c>
    </row>
    <row r="145" spans="2:7" x14ac:dyDescent="0.25">
      <c r="B145" s="31">
        <v>2082</v>
      </c>
      <c r="C145" s="31">
        <v>62</v>
      </c>
      <c r="D145" s="30">
        <f t="shared" si="17"/>
        <v>16478.009117960552</v>
      </c>
      <c r="E145" s="30">
        <f>(D144-D145) *(1- Rewards_SKY!$C$30)</f>
        <v>3232.8679456102141</v>
      </c>
      <c r="F145" s="30">
        <f t="shared" si="20"/>
        <v>42876800661.29319</v>
      </c>
      <c r="G145" s="4">
        <f t="shared" si="21"/>
        <v>7.5399001225589785E-8</v>
      </c>
    </row>
    <row r="146" spans="2:7" x14ac:dyDescent="0.25">
      <c r="B146" s="31">
        <v>2083</v>
      </c>
      <c r="C146" s="31">
        <v>63</v>
      </c>
      <c r="D146" s="30">
        <f t="shared" si="17"/>
        <v>13232.786195643177</v>
      </c>
      <c r="E146" s="30">
        <f>(D145-D146) *(1- Rewards_SKY!$C$30)</f>
        <v>2596.1783378538998</v>
      </c>
      <c r="F146" s="30">
        <f t="shared" si="20"/>
        <v>42876803894.161133</v>
      </c>
      <c r="G146" s="4">
        <f t="shared" si="21"/>
        <v>6.0549716911326068E-8</v>
      </c>
    </row>
    <row r="147" spans="2:7" x14ac:dyDescent="0.25">
      <c r="B147" s="31">
        <v>2084</v>
      </c>
      <c r="C147" s="31">
        <v>64</v>
      </c>
      <c r="D147" s="30">
        <f t="shared" si="17"/>
        <v>10626.686103040414</v>
      </c>
      <c r="E147" s="30">
        <f>(D146-D147) *(1- Rewards_SKY!$C$30)</f>
        <v>2084.8800740822103</v>
      </c>
      <c r="F147" s="30">
        <f t="shared" si="20"/>
        <v>42876806490.33947</v>
      </c>
      <c r="G147" s="4">
        <f t="shared" si="21"/>
        <v>4.8624891747755341E-8</v>
      </c>
    </row>
    <row r="148" spans="2:7" x14ac:dyDescent="0.25">
      <c r="B148" s="31">
        <v>2085</v>
      </c>
      <c r="C148" s="31">
        <v>65</v>
      </c>
      <c r="D148" s="30">
        <f t="shared" si="17"/>
        <v>8533.8382909664724</v>
      </c>
      <c r="E148" s="30">
        <f>(D147-D148) *(1- Rewards_SKY!$C$30)</f>
        <v>1674.2782496591535</v>
      </c>
      <c r="F148" s="30">
        <f t="shared" si="20"/>
        <v>42876808575.219543</v>
      </c>
      <c r="G148" s="4">
        <f t="shared" si="21"/>
        <v>3.9048574399420085E-8</v>
      </c>
    </row>
    <row r="149" spans="2:7" x14ac:dyDescent="0.25">
      <c r="B149" s="31">
        <v>2086</v>
      </c>
      <c r="C149" s="31">
        <v>66</v>
      </c>
      <c r="D149" s="30">
        <f t="shared" si="17"/>
        <v>6853.1614908178281</v>
      </c>
      <c r="E149" s="30">
        <f>(D148-D149) *(1- Rewards_SKY!$C$30)</f>
        <v>1344.5414401189155</v>
      </c>
      <c r="F149" s="30">
        <f t="shared" si="20"/>
        <v>42876810249.497795</v>
      </c>
      <c r="G149" s="4">
        <f t="shared" si="21"/>
        <v>3.1358243122450176E-8</v>
      </c>
    </row>
    <row r="150" spans="2:7" x14ac:dyDescent="0.25">
      <c r="B150" s="31">
        <v>2087</v>
      </c>
      <c r="C150" s="31">
        <v>67</v>
      </c>
      <c r="D150" s="30">
        <f t="shared" si="17"/>
        <v>5503.4816477533095</v>
      </c>
      <c r="E150" s="30">
        <f>(D149-D150) *(1- Rewards_SKY!$C$30)</f>
        <v>1079.7438744516148</v>
      </c>
      <c r="F150" s="30">
        <f t="shared" si="20"/>
        <v>42876811594.039238</v>
      </c>
      <c r="G150" s="4">
        <f t="shared" si="21"/>
        <v>2.518246656665398E-8</v>
      </c>
    </row>
    <row r="151" spans="2:7" x14ac:dyDescent="0.25">
      <c r="B151" s="31">
        <v>2088</v>
      </c>
      <c r="C151" s="31">
        <v>68</v>
      </c>
      <c r="D151" s="30">
        <f t="shared" si="17"/>
        <v>4419.61134109259</v>
      </c>
      <c r="E151" s="30">
        <f>(D150-D151) *(1- Rewards_SKY!$C$30)</f>
        <v>867.09624532857561</v>
      </c>
      <c r="F151" s="30">
        <f t="shared" si="20"/>
        <v>42876812673.783112</v>
      </c>
      <c r="G151" s="4">
        <f t="shared" si="21"/>
        <v>2.0222964144411759E-8</v>
      </c>
    </row>
    <row r="152" spans="2:7" x14ac:dyDescent="0.25">
      <c r="B152" s="31">
        <v>2089</v>
      </c>
      <c r="C152" s="31">
        <v>69</v>
      </c>
      <c r="D152" s="30">
        <f t="shared" si="17"/>
        <v>3549.2013340842523</v>
      </c>
      <c r="E152" s="30">
        <f>(D151-D152) *(1- Rewards_SKY!$C$30)</f>
        <v>696.32800560667022</v>
      </c>
      <c r="F152" s="30">
        <f t="shared" si="20"/>
        <v>42876813540.879356</v>
      </c>
      <c r="G152" s="4">
        <f t="shared" si="21"/>
        <v>1.6240199494833758E-8</v>
      </c>
    </row>
    <row r="153" spans="2:7" x14ac:dyDescent="0.25">
      <c r="B153" s="31">
        <v>2090</v>
      </c>
      <c r="C153" s="31">
        <v>70</v>
      </c>
      <c r="D153" s="30">
        <f t="shared" ref="D153:D193" si="22">$D$5 * (1-$B$1)^(73*C153)</f>
        <v>2850.2121878326352</v>
      </c>
      <c r="E153" s="30">
        <f>(D152-D153) *(1- Rewards_SKY!$C$30)</f>
        <v>559.19131700129367</v>
      </c>
      <c r="F153" s="30">
        <f t="shared" si="20"/>
        <v>42876814237.207359</v>
      </c>
      <c r="G153" s="4">
        <f t="shared" si="21"/>
        <v>1.3041811220107913E-8</v>
      </c>
    </row>
    <row r="154" spans="2:7" x14ac:dyDescent="0.25">
      <c r="B154" s="31">
        <v>2091</v>
      </c>
      <c r="C154" s="31">
        <v>71</v>
      </c>
      <c r="D154" s="30">
        <f t="shared" si="22"/>
        <v>2288.8838222996255</v>
      </c>
      <c r="E154" s="30">
        <f>(D153-D154) *(1- Rewards_SKY!$C$30)</f>
        <v>449.06269242640775</v>
      </c>
      <c r="F154" s="30">
        <f t="shared" si="20"/>
        <v>42876814796.398674</v>
      </c>
      <c r="G154" s="4">
        <f t="shared" si="21"/>
        <v>1.0473322110301104E-8</v>
      </c>
    </row>
    <row r="155" spans="2:7" x14ac:dyDescent="0.25">
      <c r="B155" s="31">
        <v>2092</v>
      </c>
      <c r="C155" s="31">
        <v>72</v>
      </c>
      <c r="D155" s="30">
        <f t="shared" si="22"/>
        <v>1838.1049573606624</v>
      </c>
      <c r="E155" s="30">
        <f>(D154-D155) *(1- Rewards_SKY!$C$30)</f>
        <v>360.62309195117052</v>
      </c>
      <c r="F155" s="30">
        <f t="shared" si="20"/>
        <v>42876815245.461365</v>
      </c>
      <c r="G155" s="4">
        <f t="shared" si="21"/>
        <v>8.4106781225861567E-9</v>
      </c>
    </row>
    <row r="156" spans="2:7" x14ac:dyDescent="0.25">
      <c r="B156" s="31">
        <v>2093</v>
      </c>
      <c r="C156" s="31">
        <v>73</v>
      </c>
      <c r="D156" s="30">
        <f t="shared" si="22"/>
        <v>1476.1036804739858</v>
      </c>
      <c r="E156" s="30">
        <f>(D155-D156) *(1- Rewards_SKY!$C$30)</f>
        <v>289.60102150934125</v>
      </c>
      <c r="F156" s="30">
        <f t="shared" si="20"/>
        <v>42876815606.084457</v>
      </c>
      <c r="G156" s="4">
        <f t="shared" si="21"/>
        <v>6.7542567566105648E-9</v>
      </c>
    </row>
    <row r="157" spans="2:7" x14ac:dyDescent="0.25">
      <c r="B157" s="31">
        <v>2094</v>
      </c>
      <c r="C157" s="31">
        <v>74</v>
      </c>
      <c r="D157" s="30">
        <f t="shared" si="22"/>
        <v>1185.3958974342286</v>
      </c>
      <c r="E157" s="30">
        <f>(D156-D157) *(1- Rewards_SKY!$C$30)</f>
        <v>232.56622643180583</v>
      </c>
      <c r="F157" s="30">
        <f t="shared" si="20"/>
        <v>42876815895.685478</v>
      </c>
      <c r="G157" s="4">
        <f t="shared" si="21"/>
        <v>5.4240554382026308E-9</v>
      </c>
    </row>
    <row r="158" spans="2:7" x14ac:dyDescent="0.25">
      <c r="B158" s="31">
        <v>2095</v>
      </c>
      <c r="C158" s="31">
        <v>75</v>
      </c>
      <c r="D158" s="30">
        <f t="shared" si="22"/>
        <v>951.94087803012167</v>
      </c>
      <c r="E158" s="30">
        <f>(D157-D158) *(1- Rewards_SKY!$C$30)</f>
        <v>186.76401552328554</v>
      </c>
      <c r="F158" s="30">
        <f t="shared" si="20"/>
        <v>42876816128.251701</v>
      </c>
      <c r="G158" s="4">
        <f t="shared" si="21"/>
        <v>4.3558275167783734E-9</v>
      </c>
    </row>
    <row r="159" spans="2:7" x14ac:dyDescent="0.25">
      <c r="B159" s="31">
        <v>2096</v>
      </c>
      <c r="C159" s="31">
        <v>76</v>
      </c>
      <c r="D159" s="30">
        <f t="shared" si="22"/>
        <v>764.46311078534734</v>
      </c>
      <c r="E159" s="30">
        <f>(D158-D159) *(1- Rewards_SKY!$C$30)</f>
        <v>149.98221379581946</v>
      </c>
      <c r="F159" s="30">
        <f t="shared" si="20"/>
        <v>42876816315.015717</v>
      </c>
      <c r="G159" s="4">
        <f t="shared" si="21"/>
        <v>3.4979792504625583E-9</v>
      </c>
    </row>
    <row r="160" spans="2:7" x14ac:dyDescent="0.25">
      <c r="B160" s="31">
        <v>2097</v>
      </c>
      <c r="C160" s="31">
        <v>77</v>
      </c>
      <c r="D160" s="30">
        <f t="shared" si="22"/>
        <v>613.907713429571</v>
      </c>
      <c r="E160" s="30">
        <f>(D159-D160) *(1- Rewards_SKY!$C$30)</f>
        <v>120.44431788462107</v>
      </c>
      <c r="F160" s="30">
        <f t="shared" si="20"/>
        <v>42876816464.997932</v>
      </c>
      <c r="G160" s="4">
        <f t="shared" si="21"/>
        <v>2.8090779077067116E-9</v>
      </c>
    </row>
    <row r="161" spans="2:7" x14ac:dyDescent="0.25">
      <c r="B161" s="31">
        <v>2098</v>
      </c>
      <c r="C161" s="31">
        <v>78</v>
      </c>
      <c r="D161" s="30">
        <f t="shared" si="22"/>
        <v>493.00309627909417</v>
      </c>
      <c r="E161" s="30">
        <f>(D160-D161) *(1- Rewards_SKY!$C$30)</f>
        <v>96.723693720381476</v>
      </c>
      <c r="F161" s="30">
        <f t="shared" si="20"/>
        <v>42876816585.442253</v>
      </c>
      <c r="G161" s="4">
        <f t="shared" si="21"/>
        <v>2.2558506303199195E-9</v>
      </c>
    </row>
    <row r="162" spans="2:7" x14ac:dyDescent="0.25">
      <c r="B162" s="31">
        <v>2099</v>
      </c>
      <c r="C162" s="31">
        <v>79</v>
      </c>
      <c r="D162" s="30">
        <f t="shared" si="22"/>
        <v>395.90975585397535</v>
      </c>
      <c r="E162" s="30">
        <f>(D161-D162) *(1- Rewards_SKY!$C$30)</f>
        <v>77.674672340095057</v>
      </c>
      <c r="F162" s="30">
        <f t="shared" si="20"/>
        <v>42876816682.165947</v>
      </c>
      <c r="G162" s="4">
        <f t="shared" si="21"/>
        <v>1.8115774059412118E-9</v>
      </c>
    </row>
    <row r="163" spans="2:7" x14ac:dyDescent="0.25">
      <c r="B163" s="31">
        <v>2100</v>
      </c>
      <c r="C163" s="31">
        <v>80</v>
      </c>
      <c r="D163" s="30">
        <f t="shared" si="22"/>
        <v>317.93823601387624</v>
      </c>
      <c r="E163" s="30">
        <f>(D162-D163) *(1- Rewards_SKY!$C$30)</f>
        <v>62.377215872079297</v>
      </c>
      <c r="F163" s="30">
        <f t="shared" si="20"/>
        <v>42876816759.840622</v>
      </c>
      <c r="G163" s="4">
        <f t="shared" si="21"/>
        <v>1.4548005329188332E-9</v>
      </c>
    </row>
    <row r="164" spans="2:7" x14ac:dyDescent="0.25">
      <c r="B164" s="31">
        <v>2101</v>
      </c>
      <c r="C164" s="31">
        <v>81</v>
      </c>
      <c r="D164" s="30">
        <f t="shared" si="22"/>
        <v>255.32263457760985</v>
      </c>
      <c r="E164" s="30">
        <f>(D163-D164) *(1- Rewards_SKY!$C$30)</f>
        <v>50.092481149013111</v>
      </c>
      <c r="F164" s="30">
        <f t="shared" si="20"/>
        <v>42876816822.217834</v>
      </c>
      <c r="G164" s="4">
        <f t="shared" si="21"/>
        <v>1.1682882466931705E-9</v>
      </c>
    </row>
    <row r="165" spans="2:7" x14ac:dyDescent="0.25">
      <c r="B165" s="31">
        <v>2102</v>
      </c>
      <c r="C165" s="31">
        <v>82</v>
      </c>
      <c r="D165" s="30">
        <f t="shared" si="22"/>
        <v>205.03871615116628</v>
      </c>
      <c r="E165" s="30">
        <f>(D164-D165) *(1- Rewards_SKY!$C$30)</f>
        <v>40.227134741154856</v>
      </c>
      <c r="F165" s="30">
        <f t="shared" si="20"/>
        <v>42876816872.310318</v>
      </c>
      <c r="G165" s="4">
        <f t="shared" si="21"/>
        <v>9.3820245241043954E-10</v>
      </c>
    </row>
    <row r="166" spans="2:7" x14ac:dyDescent="0.25">
      <c r="B166" s="31">
        <v>2103</v>
      </c>
      <c r="C166" s="31">
        <v>83</v>
      </c>
      <c r="D166" s="30">
        <f t="shared" si="22"/>
        <v>164.6578462989323</v>
      </c>
      <c r="E166" s="30">
        <f>(D165-D166) *(1- Rewards_SKY!$C$30)</f>
        <v>32.30469588178719</v>
      </c>
      <c r="F166" s="30">
        <f t="shared" si="20"/>
        <v>42876816912.537453</v>
      </c>
      <c r="G166" s="4">
        <f t="shared" si="21"/>
        <v>7.5343036652380537E-10</v>
      </c>
    </row>
    <row r="167" spans="2:7" x14ac:dyDescent="0.25">
      <c r="B167" s="31">
        <v>2104</v>
      </c>
      <c r="C167" s="31">
        <v>84</v>
      </c>
      <c r="D167" s="30">
        <f t="shared" si="22"/>
        <v>132.22969230754515</v>
      </c>
      <c r="E167" s="30">
        <f>(D166-D167) *(1- Rewards_SKY!$C$30)</f>
        <v>25.942523193109722</v>
      </c>
      <c r="F167" s="30">
        <f t="shared" si="20"/>
        <v>42876816944.842148</v>
      </c>
      <c r="G167" s="4">
        <f t="shared" si="21"/>
        <v>6.0504778669747941E-10</v>
      </c>
    </row>
    <row r="168" spans="2:7" x14ac:dyDescent="0.25">
      <c r="B168" s="31">
        <v>2105</v>
      </c>
      <c r="C168" s="31">
        <v>85</v>
      </c>
      <c r="D168" s="30">
        <f t="shared" si="22"/>
        <v>106.18802517315233</v>
      </c>
      <c r="E168" s="30">
        <f>(D167-D168) *(1- Rewards_SKY!$C$30)</f>
        <v>20.83333370751426</v>
      </c>
      <c r="F168" s="30">
        <f t="shared" si="20"/>
        <v>42876816970.784668</v>
      </c>
      <c r="G168" s="4">
        <f t="shared" si="21"/>
        <v>4.8588806677766307E-10</v>
      </c>
    </row>
    <row r="169" spans="2:7" x14ac:dyDescent="0.25">
      <c r="B169" s="31">
        <v>2106</v>
      </c>
      <c r="C169" s="31">
        <v>86</v>
      </c>
      <c r="D169" s="30">
        <f t="shared" si="22"/>
        <v>85.275073195724417</v>
      </c>
      <c r="E169" s="30">
        <f>(D168-D169) *(1- Rewards_SKY!$C$30)</f>
        <v>16.730361581942329</v>
      </c>
      <c r="F169" s="30">
        <f t="shared" si="20"/>
        <v>42876816991.618004</v>
      </c>
      <c r="G169" s="4">
        <f t="shared" si="21"/>
        <v>3.9019597898820124E-10</v>
      </c>
    </row>
    <row r="170" spans="2:7" x14ac:dyDescent="0.25">
      <c r="B170" s="31">
        <v>2107</v>
      </c>
      <c r="C170" s="31">
        <v>87</v>
      </c>
      <c r="D170" s="30">
        <f t="shared" si="22"/>
        <v>68.480773577609639</v>
      </c>
      <c r="E170" s="30">
        <f>(D169-D170) *(1- Rewards_SKY!$C$30)</f>
        <v>13.435439694491823</v>
      </c>
      <c r="F170" s="30">
        <f t="shared" si="20"/>
        <v>42876817008.348366</v>
      </c>
      <c r="G170" s="4">
        <f t="shared" si="21"/>
        <v>3.1334974543179977E-10</v>
      </c>
    </row>
    <row r="171" spans="2:7" x14ac:dyDescent="0.25">
      <c r="B171" s="31">
        <v>2108</v>
      </c>
      <c r="C171" s="31">
        <v>88</v>
      </c>
      <c r="D171" s="30">
        <f t="shared" si="22"/>
        <v>54.99398797376783</v>
      </c>
      <c r="E171" s="30">
        <f>(D170-D171) *(1- Rewards_SKY!$C$30)</f>
        <v>10.789428483073449</v>
      </c>
      <c r="F171" s="30">
        <f t="shared" si="20"/>
        <v>42876817021.783806</v>
      </c>
      <c r="G171" s="4">
        <f t="shared" si="21"/>
        <v>2.5163781345037386E-10</v>
      </c>
    </row>
    <row r="172" spans="2:7" x14ac:dyDescent="0.25">
      <c r="B172" s="31">
        <v>2109</v>
      </c>
      <c r="C172" s="31">
        <v>89</v>
      </c>
      <c r="D172" s="30">
        <f t="shared" si="22"/>
        <v>44.163325781234349</v>
      </c>
      <c r="E172" s="30">
        <f>(D171-D172) *(1- Rewards_SKY!$C$30)</f>
        <v>8.6645297540267858</v>
      </c>
      <c r="F172" s="30">
        <f t="shared" si="20"/>
        <v>42876817032.573235</v>
      </c>
      <c r="G172" s="4">
        <f t="shared" si="21"/>
        <v>2.0207959344193857E-10</v>
      </c>
    </row>
    <row r="173" spans="2:7" x14ac:dyDescent="0.25">
      <c r="B173" s="31">
        <v>2110</v>
      </c>
      <c r="C173" s="31">
        <v>90</v>
      </c>
      <c r="D173" s="30">
        <f t="shared" si="22"/>
        <v>35.465682994108022</v>
      </c>
      <c r="E173" s="30">
        <f>(D172-D173) *(1- Rewards_SKY!$C$30)</f>
        <v>6.9581142297010619</v>
      </c>
      <c r="F173" s="30">
        <f t="shared" si="20"/>
        <v>42876817041.237762</v>
      </c>
      <c r="G173" s="4">
        <f t="shared" si="21"/>
        <v>1.6228150105006478E-10</v>
      </c>
    </row>
    <row r="174" spans="2:7" x14ac:dyDescent="0.25">
      <c r="B174" s="31">
        <v>2111</v>
      </c>
      <c r="C174" s="31">
        <v>91</v>
      </c>
      <c r="D174" s="30">
        <f t="shared" si="22"/>
        <v>28.480977100076707</v>
      </c>
      <c r="E174" s="30">
        <f>(D173-D174) *(1- Rewards_SKY!$C$30)</f>
        <v>5.5877647152250525</v>
      </c>
      <c r="F174" s="30">
        <f t="shared" si="20"/>
        <v>42876817048.195877</v>
      </c>
      <c r="G174" s="4">
        <f t="shared" si="21"/>
        <v>1.3032135078833162E-10</v>
      </c>
    </row>
    <row r="175" spans="2:7" x14ac:dyDescent="0.25">
      <c r="B175" s="31">
        <v>2112</v>
      </c>
      <c r="C175" s="31">
        <v>92</v>
      </c>
      <c r="D175" s="30">
        <f t="shared" si="22"/>
        <v>22.871857753588287</v>
      </c>
      <c r="E175" s="30">
        <f>(D174-D175) *(1- Rewards_SKY!$C$30)</f>
        <v>4.4872954771907363</v>
      </c>
      <c r="F175" s="30">
        <f t="shared" si="20"/>
        <v>42876817053.783638</v>
      </c>
      <c r="G175" s="4">
        <f t="shared" si="21"/>
        <v>1.0465551749240112E-10</v>
      </c>
    </row>
    <row r="176" spans="2:7" x14ac:dyDescent="0.25">
      <c r="B176" s="31">
        <v>2113</v>
      </c>
      <c r="C176" s="31">
        <v>93</v>
      </c>
      <c r="D176" s="30">
        <f t="shared" si="22"/>
        <v>18.36741328298627</v>
      </c>
      <c r="E176" s="30">
        <f>(D175-D176) *(1- Rewards_SKY!$C$30)</f>
        <v>3.6035555764816141</v>
      </c>
      <c r="F176" s="30">
        <f t="shared" si="20"/>
        <v>42876817058.270935</v>
      </c>
      <c r="G176" s="4">
        <f t="shared" si="21"/>
        <v>8.4044381642981323E-11</v>
      </c>
    </row>
    <row r="177" spans="2:7" x14ac:dyDescent="0.25">
      <c r="B177" s="31">
        <v>2114</v>
      </c>
      <c r="C177" s="31">
        <v>94</v>
      </c>
      <c r="D177" s="30">
        <f t="shared" si="22"/>
        <v>14.750086081446222</v>
      </c>
      <c r="E177" s="30">
        <f>(D176-D177) *(1- Rewards_SKY!$C$30)</f>
        <v>2.8938617612320385</v>
      </c>
      <c r="F177" s="30">
        <f t="shared" si="20"/>
        <v>42876817061.874489</v>
      </c>
      <c r="G177" s="4">
        <f t="shared" si="21"/>
        <v>6.7492457685372899E-11</v>
      </c>
    </row>
    <row r="178" spans="2:7" x14ac:dyDescent="0.25">
      <c r="B178" s="31">
        <v>2115</v>
      </c>
      <c r="C178" s="31">
        <v>95</v>
      </c>
      <c r="D178" s="30">
        <f t="shared" si="22"/>
        <v>11.845164915606491</v>
      </c>
      <c r="E178" s="30">
        <f>(D177-D178) *(1- Rewards_SKY!$C$30)</f>
        <v>2.3239369326717849</v>
      </c>
      <c r="F178" s="30">
        <f t="shared" ref="F178:F193" si="23">F177+E177</f>
        <v>42876817064.768349</v>
      </c>
      <c r="G178" s="4">
        <f t="shared" ref="G178:G193" si="24">E178/F178</f>
        <v>5.420031363711817E-11</v>
      </c>
    </row>
    <row r="179" spans="2:7" x14ac:dyDescent="0.25">
      <c r="B179" s="31">
        <v>2116</v>
      </c>
      <c r="C179" s="31">
        <v>96</v>
      </c>
      <c r="D179" s="30">
        <f t="shared" si="22"/>
        <v>9.5123466468717659</v>
      </c>
      <c r="E179" s="30">
        <f>(D178-D179) *(1- Rewards_SKY!$C$30)</f>
        <v>1.8662546149877799</v>
      </c>
      <c r="F179" s="30">
        <f t="shared" si="23"/>
        <v>42876817067.092285</v>
      </c>
      <c r="G179" s="4">
        <f t="shared" si="24"/>
        <v>4.3525959776060893E-11</v>
      </c>
    </row>
    <row r="180" spans="2:7" x14ac:dyDescent="0.25">
      <c r="B180" s="31">
        <v>2117</v>
      </c>
      <c r="C180" s="31">
        <v>97</v>
      </c>
      <c r="D180" s="30">
        <f t="shared" si="22"/>
        <v>7.6389598097562326</v>
      </c>
      <c r="E180" s="30">
        <f>(D179-D180) *(1- Rewards_SKY!$C$30)</f>
        <v>1.4987094696924268</v>
      </c>
      <c r="F180" s="30">
        <f t="shared" si="23"/>
        <v>42876817068.958542</v>
      </c>
      <c r="G180" s="4">
        <f t="shared" si="24"/>
        <v>3.4953841542903264E-11</v>
      </c>
    </row>
    <row r="181" spans="2:7" x14ac:dyDescent="0.25">
      <c r="B181" s="31">
        <v>2118</v>
      </c>
      <c r="C181" s="31">
        <v>98</v>
      </c>
      <c r="D181" s="30">
        <f t="shared" si="22"/>
        <v>6.1345227567228315</v>
      </c>
      <c r="E181" s="30">
        <f>(D180-D181) *(1- Rewards_SKY!$C$30)</f>
        <v>1.2035496424267209</v>
      </c>
      <c r="F181" s="30">
        <f t="shared" si="23"/>
        <v>42876817070.457253</v>
      </c>
      <c r="G181" s="4">
        <f t="shared" si="24"/>
        <v>2.8069939064016577E-11</v>
      </c>
    </row>
    <row r="182" spans="2:7" x14ac:dyDescent="0.25">
      <c r="B182" s="31">
        <v>2119</v>
      </c>
      <c r="C182" s="31">
        <v>99</v>
      </c>
      <c r="D182" s="30">
        <f t="shared" si="22"/>
        <v>4.9263735364450332</v>
      </c>
      <c r="E182" s="30">
        <f>(D181-D182) *(1- Rewards_SKY!$C$30)</f>
        <v>0.96651937622223871</v>
      </c>
      <c r="F182" s="30">
        <f t="shared" si="23"/>
        <v>42876817071.660805</v>
      </c>
      <c r="G182" s="4">
        <f t="shared" si="24"/>
        <v>2.2541770640457693E-11</v>
      </c>
    </row>
    <row r="183" spans="2:7" x14ac:dyDescent="0.25">
      <c r="B183" s="31">
        <v>2120</v>
      </c>
      <c r="C183" s="31">
        <v>100</v>
      </c>
      <c r="D183" s="30">
        <f t="shared" si="22"/>
        <v>3.9561604354616398</v>
      </c>
      <c r="E183" s="30">
        <f>(D182-D183) *(1- Rewards_SKY!$C$30)</f>
        <v>0.7761704807867148</v>
      </c>
      <c r="F183" s="30">
        <f t="shared" si="23"/>
        <v>42876817072.627327</v>
      </c>
      <c r="G183" s="4">
        <f t="shared" si="24"/>
        <v>1.810233440304094E-11</v>
      </c>
    </row>
    <row r="184" spans="2:7" x14ac:dyDescent="0.25">
      <c r="B184" s="31">
        <v>2121</v>
      </c>
      <c r="C184" s="31">
        <v>101</v>
      </c>
      <c r="D184" s="30">
        <f t="shared" si="22"/>
        <v>3.1770236818879658</v>
      </c>
      <c r="E184" s="30">
        <f>(D183-D184) *(1- Rewards_SKY!$C$30)</f>
        <v>0.62330940285893921</v>
      </c>
      <c r="F184" s="30">
        <f t="shared" si="23"/>
        <v>42876817073.403496</v>
      </c>
      <c r="G184" s="4">
        <f t="shared" si="24"/>
        <v>1.453721254056375E-11</v>
      </c>
    </row>
    <row r="185" spans="2:7" x14ac:dyDescent="0.25">
      <c r="B185" s="31">
        <v>2122</v>
      </c>
      <c r="C185" s="31">
        <v>102</v>
      </c>
      <c r="D185" s="30">
        <f t="shared" si="22"/>
        <v>2.5513321918905363</v>
      </c>
      <c r="E185" s="30">
        <f>(D184-D185) *(1- Rewards_SKY!$C$30)</f>
        <v>0.50055319199794368</v>
      </c>
      <c r="F185" s="30">
        <f t="shared" si="23"/>
        <v>42876817074.026802</v>
      </c>
      <c r="G185" s="4">
        <f t="shared" si="24"/>
        <v>1.1674215255617945E-11</v>
      </c>
    </row>
    <row r="186" spans="2:7" x14ac:dyDescent="0.25">
      <c r="B186" s="31">
        <v>2123</v>
      </c>
      <c r="C186" s="31">
        <v>103</v>
      </c>
      <c r="D186" s="30">
        <f t="shared" si="22"/>
        <v>2.048866047327913</v>
      </c>
      <c r="E186" s="30">
        <f>(D185-D186) *(1- Rewards_SKY!$C$30)</f>
        <v>0.40197291565009863</v>
      </c>
      <c r="F186" s="30">
        <f t="shared" si="23"/>
        <v>42876817074.527359</v>
      </c>
      <c r="G186" s="4">
        <f t="shared" si="24"/>
        <v>9.3750642672799111E-12</v>
      </c>
    </row>
    <row r="187" spans="2:7" x14ac:dyDescent="0.25">
      <c r="B187" s="31">
        <v>2124</v>
      </c>
      <c r="C187" s="31">
        <v>104</v>
      </c>
      <c r="D187" s="30">
        <f t="shared" si="22"/>
        <v>1.645356921076788</v>
      </c>
      <c r="E187" s="30">
        <f>(D186-D187) *(1- Rewards_SKY!$C$30)</f>
        <v>0.32280730100090005</v>
      </c>
      <c r="F187" s="30">
        <f t="shared" si="23"/>
        <v>42876817074.929329</v>
      </c>
      <c r="G187" s="4">
        <f t="shared" si="24"/>
        <v>7.5287141868944829E-12</v>
      </c>
    </row>
    <row r="188" spans="2:7" x14ac:dyDescent="0.25">
      <c r="B188" s="31">
        <v>2125</v>
      </c>
      <c r="C188" s="31">
        <v>105</v>
      </c>
      <c r="D188" s="30">
        <f t="shared" si="22"/>
        <v>1.3213159548746287</v>
      </c>
      <c r="E188" s="30">
        <f>(D187-D188) *(1- Rewards_SKY!$C$30)</f>
        <v>0.25923277296172742</v>
      </c>
      <c r="F188" s="30">
        <f t="shared" si="23"/>
        <v>42876817075.252136</v>
      </c>
      <c r="G188" s="4">
        <f t="shared" si="24"/>
        <v>6.0459891998688669E-12</v>
      </c>
    </row>
    <row r="189" spans="2:7" x14ac:dyDescent="0.25">
      <c r="B189" s="31">
        <v>2126</v>
      </c>
      <c r="C189" s="31">
        <v>106</v>
      </c>
      <c r="D189" s="30">
        <f t="shared" si="22"/>
        <v>1.0610924780160651</v>
      </c>
      <c r="E189" s="30">
        <f>(D188-D189) *(1- Rewards_SKY!$C$30)</f>
        <v>0.2081787814868509</v>
      </c>
      <c r="F189" s="30">
        <f t="shared" si="23"/>
        <v>42876817075.511368</v>
      </c>
      <c r="G189" s="4">
        <f t="shared" si="24"/>
        <v>4.8552760136141255E-12</v>
      </c>
    </row>
    <row r="190" spans="2:7" x14ac:dyDescent="0.25">
      <c r="B190" s="31">
        <v>2127</v>
      </c>
      <c r="C190" s="31">
        <v>107</v>
      </c>
      <c r="D190" s="30">
        <f t="shared" si="22"/>
        <v>0.85211810449159664</v>
      </c>
      <c r="E190" s="30">
        <f>(D189-D190) *(1- Rewards_SKY!$C$30)</f>
        <v>0.16717949881957478</v>
      </c>
      <c r="F190" s="30">
        <f t="shared" si="23"/>
        <v>42876817075.719543</v>
      </c>
      <c r="G190" s="4">
        <f t="shared" si="24"/>
        <v>3.8990650477702052E-12</v>
      </c>
    </row>
    <row r="191" spans="2:7" x14ac:dyDescent="0.25">
      <c r="B191" s="31">
        <v>2128</v>
      </c>
      <c r="C191" s="31">
        <v>108</v>
      </c>
      <c r="D191" s="30">
        <f t="shared" si="22"/>
        <v>0.68429969964536763</v>
      </c>
      <c r="E191" s="30">
        <f>(D190-D191) *(1- Rewards_SKY!$C$30)</f>
        <v>0.1342547238769832</v>
      </c>
      <c r="F191" s="30">
        <f t="shared" si="23"/>
        <v>42876817075.886726</v>
      </c>
      <c r="G191" s="4">
        <f t="shared" si="24"/>
        <v>3.1311728116237906E-12</v>
      </c>
    </row>
    <row r="192" spans="2:7" x14ac:dyDescent="0.25">
      <c r="B192" s="31">
        <v>2129</v>
      </c>
      <c r="C192" s="31">
        <v>109</v>
      </c>
      <c r="D192" s="30">
        <f t="shared" si="22"/>
        <v>0.54953189759314425</v>
      </c>
      <c r="E192" s="30">
        <f>(D191-D192) *(1- Rewards_SKY!$C$30)</f>
        <v>0.10781424164177872</v>
      </c>
      <c r="F192" s="30">
        <f t="shared" si="23"/>
        <v>42876817076.020981</v>
      </c>
      <c r="G192" s="4">
        <f t="shared" si="24"/>
        <v>2.5145113139024079E-12</v>
      </c>
    </row>
    <row r="193" spans="2:7" x14ac:dyDescent="0.25">
      <c r="B193" s="31">
        <v>2130</v>
      </c>
      <c r="C193" s="31">
        <v>110</v>
      </c>
      <c r="D193" s="30">
        <f t="shared" si="22"/>
        <v>0.44130562475597046</v>
      </c>
      <c r="E193" s="30">
        <f>(D192-D193) *(1- Rewards_SKY!$C$30)</f>
        <v>8.6581018269739032E-2</v>
      </c>
      <c r="F193" s="30">
        <f t="shared" si="23"/>
        <v>42876817076.128792</v>
      </c>
      <c r="G193" s="4">
        <f t="shared" si="24"/>
        <v>2.0192967709336357E-12</v>
      </c>
    </row>
    <row r="194" spans="2:7" x14ac:dyDescent="0.25">
      <c r="D194" s="30"/>
      <c r="E194" s="30"/>
      <c r="F194" s="30"/>
      <c r="G194" s="4"/>
    </row>
    <row r="195" spans="2:7" x14ac:dyDescent="0.25">
      <c r="D195" s="30"/>
      <c r="E195" s="30"/>
      <c r="F195" s="30"/>
      <c r="G195" s="4"/>
    </row>
    <row r="196" spans="2:7" x14ac:dyDescent="0.25">
      <c r="D196" s="30"/>
      <c r="E196" s="30"/>
      <c r="F196" s="30"/>
      <c r="G196" s="4"/>
    </row>
    <row r="197" spans="2:7" x14ac:dyDescent="0.25">
      <c r="D197" s="30"/>
      <c r="E197" s="30"/>
      <c r="F197" s="30"/>
      <c r="G197" s="4"/>
    </row>
    <row r="198" spans="2:7" x14ac:dyDescent="0.25">
      <c r="D198" s="30"/>
      <c r="E198" s="30"/>
      <c r="F198" s="30"/>
      <c r="G198" s="4"/>
    </row>
    <row r="199" spans="2:7" x14ac:dyDescent="0.25">
      <c r="D199" s="30"/>
      <c r="E199" s="30"/>
      <c r="F199" s="30"/>
      <c r="G199" s="4"/>
    </row>
    <row r="200" spans="2:7" x14ac:dyDescent="0.25">
      <c r="D200" s="30"/>
      <c r="E200" s="30"/>
      <c r="F200" s="30"/>
      <c r="G200" s="4"/>
    </row>
    <row r="201" spans="2:7" x14ac:dyDescent="0.25">
      <c r="D201" s="30"/>
      <c r="E201" s="30"/>
      <c r="F201" s="30"/>
      <c r="G201" s="4"/>
    </row>
    <row r="202" spans="2:7" x14ac:dyDescent="0.25">
      <c r="D202" s="30"/>
      <c r="E202" s="30"/>
      <c r="F202" s="30"/>
      <c r="G202" s="4"/>
    </row>
    <row r="203" spans="2:7" x14ac:dyDescent="0.25">
      <c r="D203" s="30"/>
      <c r="E203" s="30"/>
      <c r="F203" s="30"/>
      <c r="G203" s="4"/>
    </row>
    <row r="204" spans="2:7" x14ac:dyDescent="0.25">
      <c r="D204" s="30"/>
      <c r="E204" s="30"/>
      <c r="F204" s="30"/>
      <c r="G204" s="4"/>
    </row>
    <row r="205" spans="2:7" x14ac:dyDescent="0.25">
      <c r="D205" s="30"/>
      <c r="E205" s="30"/>
      <c r="F205" s="30"/>
      <c r="G205" s="4"/>
    </row>
    <row r="206" spans="2:7" x14ac:dyDescent="0.25">
      <c r="D206" s="30"/>
      <c r="E206" s="30"/>
      <c r="F206" s="30"/>
      <c r="G206" s="4"/>
    </row>
    <row r="207" spans="2:7" x14ac:dyDescent="0.25">
      <c r="D207" s="30"/>
      <c r="E207" s="30"/>
      <c r="F207" s="30"/>
      <c r="G207" s="4"/>
    </row>
    <row r="208" spans="2:7" x14ac:dyDescent="0.25">
      <c r="D208" s="30"/>
      <c r="E208" s="30"/>
      <c r="F208" s="30"/>
      <c r="G208" s="4"/>
    </row>
    <row r="209" spans="4:7" x14ac:dyDescent="0.25">
      <c r="D209" s="30"/>
      <c r="E209" s="30"/>
      <c r="F209" s="30"/>
      <c r="G209" s="4"/>
    </row>
    <row r="210" spans="4:7" x14ac:dyDescent="0.25">
      <c r="D210" s="30"/>
      <c r="E210" s="30"/>
      <c r="F210" s="30"/>
      <c r="G210" s="4"/>
    </row>
    <row r="211" spans="4:7" x14ac:dyDescent="0.25">
      <c r="D211" s="30"/>
      <c r="E211" s="30"/>
      <c r="F211" s="30"/>
      <c r="G211" s="4"/>
    </row>
    <row r="212" spans="4:7" x14ac:dyDescent="0.25">
      <c r="D212" s="30"/>
      <c r="E212" s="30"/>
      <c r="F212" s="30"/>
      <c r="G212" s="4"/>
    </row>
    <row r="213" spans="4:7" x14ac:dyDescent="0.25">
      <c r="D213" s="30"/>
      <c r="E213" s="30"/>
      <c r="F213" s="30"/>
      <c r="G213" s="4"/>
    </row>
    <row r="214" spans="4:7" x14ac:dyDescent="0.25">
      <c r="D214" s="30"/>
      <c r="E214" s="30"/>
      <c r="F214" s="30"/>
      <c r="G214" s="4"/>
    </row>
    <row r="215" spans="4:7" x14ac:dyDescent="0.25">
      <c r="D215" s="30"/>
      <c r="E215" s="30"/>
      <c r="F215" s="30"/>
      <c r="G215" s="4"/>
    </row>
    <row r="216" spans="4:7" x14ac:dyDescent="0.25">
      <c r="D216" s="30"/>
      <c r="E216" s="30"/>
      <c r="F216" s="30"/>
      <c r="G216" s="4"/>
    </row>
    <row r="217" spans="4:7" x14ac:dyDescent="0.25">
      <c r="D217" s="30"/>
      <c r="E217" s="30"/>
      <c r="F217" s="30"/>
      <c r="G217" s="4"/>
    </row>
    <row r="218" spans="4:7" x14ac:dyDescent="0.25">
      <c r="D218" s="30"/>
      <c r="E218" s="30"/>
      <c r="F218" s="30"/>
      <c r="G218" s="4"/>
    </row>
    <row r="219" spans="4:7" x14ac:dyDescent="0.25">
      <c r="D219" s="30"/>
      <c r="E219" s="30"/>
      <c r="F219" s="30"/>
      <c r="G219" s="4"/>
    </row>
    <row r="220" spans="4:7" x14ac:dyDescent="0.25">
      <c r="D220" s="30"/>
      <c r="E220" s="30"/>
      <c r="F220" s="30"/>
      <c r="G220" s="4"/>
    </row>
    <row r="221" spans="4:7" x14ac:dyDescent="0.25">
      <c r="D221" s="30"/>
      <c r="E221" s="30"/>
      <c r="F221" s="30"/>
      <c r="G221" s="4"/>
    </row>
    <row r="222" spans="4:7" x14ac:dyDescent="0.25">
      <c r="D222" s="30"/>
      <c r="E222" s="30"/>
      <c r="F222" s="30"/>
      <c r="G222" s="4"/>
    </row>
    <row r="223" spans="4:7" x14ac:dyDescent="0.25">
      <c r="D223" s="30"/>
      <c r="E223" s="30"/>
      <c r="F223" s="30"/>
      <c r="G223" s="4"/>
    </row>
    <row r="224" spans="4:7" x14ac:dyDescent="0.25">
      <c r="D224" s="30"/>
      <c r="E224" s="30"/>
      <c r="F224" s="30"/>
      <c r="G224" s="4"/>
    </row>
    <row r="225" spans="4:7" x14ac:dyDescent="0.25">
      <c r="D225" s="30"/>
      <c r="E225" s="30"/>
      <c r="F225" s="30"/>
      <c r="G225" s="4"/>
    </row>
    <row r="226" spans="4:7" x14ac:dyDescent="0.25">
      <c r="D226" s="30"/>
      <c r="E226" s="30"/>
      <c r="F226" s="30"/>
      <c r="G226" s="4"/>
    </row>
    <row r="227" spans="4:7" x14ac:dyDescent="0.25">
      <c r="D227" s="30"/>
      <c r="E227" s="30"/>
      <c r="F227" s="30"/>
      <c r="G227" s="4"/>
    </row>
    <row r="228" spans="4:7" x14ac:dyDescent="0.25">
      <c r="D228" s="30"/>
      <c r="E228" s="30"/>
      <c r="F228" s="30"/>
      <c r="G228" s="4"/>
    </row>
    <row r="229" spans="4:7" x14ac:dyDescent="0.25">
      <c r="D229" s="30"/>
      <c r="E229" s="30"/>
      <c r="F229" s="30"/>
      <c r="G229" s="4"/>
    </row>
    <row r="230" spans="4:7" x14ac:dyDescent="0.25">
      <c r="D230" s="30"/>
      <c r="E230" s="30"/>
      <c r="F230" s="30"/>
      <c r="G230" s="4"/>
    </row>
    <row r="231" spans="4:7" x14ac:dyDescent="0.25">
      <c r="D231" s="30"/>
      <c r="E231" s="30"/>
      <c r="F231" s="30"/>
      <c r="G231" s="4"/>
    </row>
    <row r="232" spans="4:7" x14ac:dyDescent="0.25">
      <c r="D232" s="30"/>
      <c r="E232" s="30"/>
      <c r="F232" s="30"/>
      <c r="G232" s="4"/>
    </row>
    <row r="233" spans="4:7" x14ac:dyDescent="0.25">
      <c r="D233" s="30"/>
      <c r="E233" s="30"/>
      <c r="F233" s="30"/>
      <c r="G233" s="4"/>
    </row>
    <row r="234" spans="4:7" x14ac:dyDescent="0.25">
      <c r="D234" s="30"/>
      <c r="E234" s="30"/>
      <c r="F234" s="30"/>
      <c r="G234" s="4"/>
    </row>
    <row r="235" spans="4:7" x14ac:dyDescent="0.25">
      <c r="D235" s="30"/>
      <c r="E235" s="30"/>
      <c r="F235" s="30"/>
      <c r="G235" s="4"/>
    </row>
    <row r="236" spans="4:7" x14ac:dyDescent="0.25">
      <c r="D236" s="30"/>
      <c r="E236" s="30"/>
      <c r="F236" s="30"/>
      <c r="G236" s="4"/>
    </row>
    <row r="237" spans="4:7" x14ac:dyDescent="0.25">
      <c r="D237" s="30"/>
      <c r="E237" s="30"/>
      <c r="F237" s="30"/>
      <c r="G237" s="4"/>
    </row>
    <row r="238" spans="4:7" x14ac:dyDescent="0.25">
      <c r="D238" s="30"/>
      <c r="E238" s="30"/>
      <c r="F238" s="30"/>
      <c r="G238" s="4"/>
    </row>
    <row r="239" spans="4:7" x14ac:dyDescent="0.25">
      <c r="D239" s="30"/>
      <c r="E239" s="30"/>
      <c r="F239" s="30"/>
      <c r="G239" s="4"/>
    </row>
    <row r="240" spans="4:7" x14ac:dyDescent="0.25">
      <c r="D240" s="30"/>
      <c r="E240" s="30"/>
      <c r="F240" s="30"/>
      <c r="G240" s="4"/>
    </row>
    <row r="241" spans="4:7" x14ac:dyDescent="0.25">
      <c r="D241" s="30"/>
      <c r="E241" s="30"/>
      <c r="F241" s="30"/>
      <c r="G241" s="4"/>
    </row>
    <row r="242" spans="4:7" x14ac:dyDescent="0.25">
      <c r="D242" s="30"/>
      <c r="E242" s="30"/>
      <c r="F242" s="30"/>
      <c r="G242" s="4"/>
    </row>
    <row r="243" spans="4:7" x14ac:dyDescent="0.25">
      <c r="D243" s="30"/>
      <c r="E243" s="30"/>
      <c r="F243" s="30"/>
      <c r="G243" s="4"/>
    </row>
    <row r="244" spans="4:7" x14ac:dyDescent="0.25">
      <c r="D244" s="30"/>
      <c r="E244" s="30"/>
      <c r="F244" s="30"/>
      <c r="G244" s="4"/>
    </row>
    <row r="245" spans="4:7" x14ac:dyDescent="0.25">
      <c r="D245" s="30"/>
      <c r="E245" s="30"/>
      <c r="F245" s="30"/>
      <c r="G245" s="4"/>
    </row>
    <row r="246" spans="4:7" x14ac:dyDescent="0.25">
      <c r="D246" s="30"/>
      <c r="E246" s="30"/>
      <c r="F246" s="30"/>
      <c r="G246" s="4"/>
    </row>
    <row r="247" spans="4:7" x14ac:dyDescent="0.25">
      <c r="D247" s="30"/>
      <c r="E247" s="30"/>
      <c r="F247" s="30"/>
      <c r="G247" s="4"/>
    </row>
    <row r="248" spans="4:7" x14ac:dyDescent="0.25">
      <c r="D248" s="30"/>
      <c r="E248" s="30"/>
      <c r="F248" s="30"/>
      <c r="G248" s="4"/>
    </row>
    <row r="249" spans="4:7" x14ac:dyDescent="0.25">
      <c r="D249" s="30"/>
      <c r="E249" s="30"/>
      <c r="F249" s="30"/>
      <c r="G249" s="4"/>
    </row>
    <row r="250" spans="4:7" x14ac:dyDescent="0.25">
      <c r="D250" s="30"/>
      <c r="E250" s="30"/>
      <c r="F250" s="30"/>
      <c r="G250" s="4"/>
    </row>
    <row r="251" spans="4:7" x14ac:dyDescent="0.25">
      <c r="D251" s="30"/>
      <c r="E251" s="30"/>
      <c r="F251" s="30"/>
      <c r="G251" s="4"/>
    </row>
    <row r="252" spans="4:7" x14ac:dyDescent="0.25">
      <c r="D252" s="30"/>
      <c r="E252" s="30"/>
      <c r="F252" s="30"/>
      <c r="G252" s="4"/>
    </row>
    <row r="253" spans="4:7" x14ac:dyDescent="0.25">
      <c r="D253" s="30"/>
      <c r="E253" s="30"/>
      <c r="F253" s="30"/>
      <c r="G253" s="4"/>
    </row>
    <row r="254" spans="4:7" x14ac:dyDescent="0.25">
      <c r="D254" s="30"/>
      <c r="E254" s="30"/>
      <c r="F254" s="30"/>
      <c r="G254" s="4"/>
    </row>
    <row r="255" spans="4:7" x14ac:dyDescent="0.25">
      <c r="D255" s="30"/>
      <c r="E255" s="30"/>
      <c r="F255" s="30"/>
      <c r="G255" s="4"/>
    </row>
    <row r="256" spans="4:7" x14ac:dyDescent="0.25">
      <c r="D256" s="30"/>
      <c r="E256" s="30"/>
      <c r="F256" s="30"/>
      <c r="G256" s="4"/>
    </row>
    <row r="257" spans="4:7" x14ac:dyDescent="0.25">
      <c r="D257" s="30"/>
      <c r="E257" s="30"/>
      <c r="F257" s="30"/>
      <c r="G257" s="4"/>
    </row>
    <row r="258" spans="4:7" x14ac:dyDescent="0.25">
      <c r="D258" s="30"/>
      <c r="E258" s="30"/>
      <c r="F258" s="30"/>
      <c r="G258" s="4"/>
    </row>
    <row r="259" spans="4:7" x14ac:dyDescent="0.25">
      <c r="D259" s="30"/>
      <c r="E259" s="30"/>
      <c r="F259" s="30"/>
      <c r="G259" s="4"/>
    </row>
    <row r="260" spans="4:7" x14ac:dyDescent="0.25">
      <c r="D260" s="30"/>
      <c r="E260" s="30"/>
      <c r="F260" s="30"/>
      <c r="G260" s="4"/>
    </row>
    <row r="261" spans="4:7" x14ac:dyDescent="0.25">
      <c r="D261" s="30"/>
      <c r="E261" s="30"/>
      <c r="F261" s="30"/>
      <c r="G261" s="4"/>
    </row>
    <row r="262" spans="4:7" x14ac:dyDescent="0.25">
      <c r="D262" s="30"/>
      <c r="E262" s="30"/>
      <c r="F262" s="30"/>
      <c r="G262" s="4"/>
    </row>
    <row r="263" spans="4:7" x14ac:dyDescent="0.25">
      <c r="D263" s="30"/>
      <c r="E263" s="30"/>
      <c r="F263" s="30"/>
      <c r="G263" s="4"/>
    </row>
    <row r="264" spans="4:7" x14ac:dyDescent="0.25">
      <c r="D264" s="30"/>
      <c r="E264" s="30"/>
      <c r="F264" s="30"/>
      <c r="G264" s="4"/>
    </row>
    <row r="265" spans="4:7" x14ac:dyDescent="0.25">
      <c r="D265" s="30"/>
      <c r="E265" s="30"/>
      <c r="F265" s="30"/>
      <c r="G265" s="4"/>
    </row>
    <row r="266" spans="4:7" x14ac:dyDescent="0.25">
      <c r="D266" s="30"/>
      <c r="E266" s="30"/>
      <c r="F266" s="30"/>
      <c r="G266" s="4"/>
    </row>
    <row r="267" spans="4:7" x14ac:dyDescent="0.25">
      <c r="D267" s="30"/>
      <c r="E267" s="30"/>
      <c r="F267" s="30"/>
      <c r="G267" s="4"/>
    </row>
    <row r="268" spans="4:7" x14ac:dyDescent="0.25">
      <c r="D268" s="30"/>
      <c r="E268" s="30"/>
      <c r="F268" s="30"/>
      <c r="G268" s="4"/>
    </row>
    <row r="269" spans="4:7" x14ac:dyDescent="0.25">
      <c r="D269" s="30"/>
      <c r="E269" s="30"/>
      <c r="F269" s="30"/>
      <c r="G269" s="4"/>
    </row>
    <row r="270" spans="4:7" x14ac:dyDescent="0.25">
      <c r="D270" s="30"/>
      <c r="E270" s="30"/>
      <c r="F270" s="30"/>
      <c r="G270" s="4"/>
    </row>
    <row r="271" spans="4:7" x14ac:dyDescent="0.25">
      <c r="D271" s="30"/>
      <c r="E271" s="30"/>
      <c r="F271" s="30"/>
      <c r="G271" s="4"/>
    </row>
    <row r="272" spans="4:7" x14ac:dyDescent="0.25">
      <c r="D272" s="30"/>
      <c r="E272" s="30"/>
      <c r="F272" s="30"/>
      <c r="G272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CE86-1F0E-4166-A6F8-93105C878FF5}">
  <dimension ref="A1:AT234"/>
  <sheetViews>
    <sheetView topLeftCell="A70" zoomScale="85" zoomScaleNormal="85" workbookViewId="0">
      <selection activeCell="C93" sqref="C93"/>
    </sheetView>
  </sheetViews>
  <sheetFormatPr defaultRowHeight="15" x14ac:dyDescent="0.25"/>
  <cols>
    <col min="1" max="1" width="4" style="6" bestFit="1" customWidth="1"/>
    <col min="2" max="2" width="40.85546875" bestFit="1" customWidth="1"/>
    <col min="3" max="3" width="14.85546875" bestFit="1" customWidth="1"/>
    <col min="4" max="4" width="41" style="6" bestFit="1" customWidth="1"/>
    <col min="5" max="5" width="10.42578125" customWidth="1"/>
    <col min="6" max="6" width="12" customWidth="1"/>
    <col min="7" max="24" width="10.85546875" customWidth="1"/>
    <col min="25" max="25" width="8.140625" bestFit="1" customWidth="1"/>
    <col min="26" max="26" width="15.42578125" style="1" bestFit="1" customWidth="1"/>
    <col min="27" max="27" width="5.28515625" style="6" customWidth="1"/>
    <col min="28" max="28" width="21.140625" bestFit="1" customWidth="1"/>
    <col min="29" max="29" width="2.5703125" customWidth="1"/>
    <col min="30" max="30" width="21.7109375" bestFit="1" customWidth="1"/>
    <col min="31" max="31" width="2" style="6" customWidth="1"/>
    <col min="32" max="32" width="20.7109375" bestFit="1" customWidth="1"/>
    <col min="33" max="33" width="1.7109375" style="6" customWidth="1"/>
    <col min="34" max="34" width="20.7109375" bestFit="1" customWidth="1"/>
    <col min="35" max="35" width="6.7109375" customWidth="1"/>
    <col min="36" max="36" width="11.7109375" customWidth="1"/>
    <col min="37" max="37" width="22.28515625" customWidth="1"/>
    <col min="38" max="38" width="1.85546875" customWidth="1"/>
    <col min="39" max="39" width="20.85546875" customWidth="1"/>
    <col min="41" max="41" width="8.85546875" customWidth="1"/>
    <col min="42" max="42" width="24.85546875" customWidth="1"/>
    <col min="43" max="43" width="1.7109375" customWidth="1"/>
    <col min="44" max="44" width="20.42578125" customWidth="1"/>
    <col min="57" max="57" width="11.28515625" bestFit="1" customWidth="1"/>
  </cols>
  <sheetData>
    <row r="1" spans="1:46" x14ac:dyDescent="0.25">
      <c r="B1" s="6"/>
      <c r="C1" s="6"/>
      <c r="E1" s="17" t="s">
        <v>55</v>
      </c>
      <c r="F1" s="31">
        <f>$C$27</f>
        <v>217</v>
      </c>
      <c r="G1" s="89">
        <v>0</v>
      </c>
      <c r="H1" s="216">
        <v>7.0878172863681301E-4</v>
      </c>
      <c r="I1" s="216">
        <v>1.1813028810613551E-3</v>
      </c>
      <c r="J1" s="217">
        <v>9.4504230484908393E-3</v>
      </c>
      <c r="K1" s="217">
        <v>1.8924565042470826E-2</v>
      </c>
      <c r="L1" s="89">
        <v>0.04</v>
      </c>
      <c r="M1" s="89">
        <v>0.06</v>
      </c>
      <c r="N1" s="89">
        <v>0.08</v>
      </c>
      <c r="O1" s="89">
        <v>0.1</v>
      </c>
      <c r="P1" s="89">
        <v>0.2</v>
      </c>
      <c r="Q1" s="89">
        <v>0.3</v>
      </c>
      <c r="R1" s="89">
        <v>0.4</v>
      </c>
      <c r="S1" s="89">
        <v>0.45</v>
      </c>
      <c r="T1" s="89">
        <v>0.5</v>
      </c>
      <c r="U1" s="89">
        <v>0.75</v>
      </c>
      <c r="V1" s="89">
        <v>0.8</v>
      </c>
      <c r="W1" s="89">
        <v>0.95</v>
      </c>
      <c r="X1" s="89">
        <v>1</v>
      </c>
      <c r="AC1" s="6"/>
    </row>
    <row r="2" spans="1:46" x14ac:dyDescent="0.25">
      <c r="B2" s="6"/>
      <c r="C2" s="6"/>
      <c r="E2" s="17" t="s">
        <v>72</v>
      </c>
      <c r="F2" s="71">
        <f>$C$39</f>
        <v>9.5000000000000001E-2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Z2" s="109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</row>
    <row r="3" spans="1:46" x14ac:dyDescent="0.25">
      <c r="B3" s="6"/>
      <c r="C3" s="6"/>
      <c r="E3" s="17" t="s">
        <v>71</v>
      </c>
      <c r="F3" s="72">
        <f>$C$41</f>
        <v>0.05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Z3" s="109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/>
      <c r="AQ3" s="110"/>
      <c r="AR3" s="110"/>
      <c r="AS3" s="110"/>
      <c r="AT3" s="110"/>
    </row>
    <row r="4" spans="1:46" x14ac:dyDescent="0.25">
      <c r="B4" s="6"/>
      <c r="C4" s="6"/>
      <c r="E4" s="17" t="s">
        <v>46</v>
      </c>
      <c r="F4" s="102">
        <f>$C$42</f>
        <v>250000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Z4" s="109"/>
      <c r="AA4" s="110"/>
      <c r="AB4" s="110"/>
      <c r="AC4" s="110"/>
      <c r="AD4" s="110"/>
      <c r="AE4" s="110"/>
      <c r="AF4" s="110"/>
      <c r="AG4" s="110"/>
      <c r="AH4" s="110"/>
      <c r="AI4" s="110"/>
      <c r="AJ4" s="110"/>
      <c r="AK4" s="110"/>
      <c r="AL4" s="110"/>
      <c r="AM4" s="110"/>
      <c r="AN4" s="110"/>
      <c r="AO4" s="110"/>
      <c r="AP4" s="110"/>
      <c r="AQ4" s="110"/>
      <c r="AR4" s="110"/>
      <c r="AS4" s="110"/>
      <c r="AT4" s="110"/>
    </row>
    <row r="5" spans="1:46" ht="18.75" x14ac:dyDescent="0.3">
      <c r="B5" s="6"/>
      <c r="C5" s="6"/>
      <c r="E5" s="94" t="s">
        <v>87</v>
      </c>
      <c r="F5" s="103">
        <f>$C$28</f>
        <v>150</v>
      </c>
      <c r="G5" s="5"/>
      <c r="H5" s="5"/>
      <c r="I5" s="5"/>
      <c r="J5" s="5"/>
      <c r="K5" s="5"/>
      <c r="L5" s="5"/>
      <c r="M5" s="5"/>
      <c r="N5" s="5"/>
      <c r="O5" s="218" t="s">
        <v>127</v>
      </c>
      <c r="P5" s="5"/>
      <c r="Q5" s="5"/>
      <c r="R5" s="5"/>
      <c r="S5" s="5"/>
      <c r="T5" s="5"/>
      <c r="U5" s="5"/>
      <c r="V5" s="5"/>
      <c r="W5" s="5"/>
      <c r="X5" s="5"/>
      <c r="Z5" s="109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0"/>
    </row>
    <row r="6" spans="1:46" ht="15" customHeight="1" x14ac:dyDescent="0.25">
      <c r="B6" s="3" t="s">
        <v>26</v>
      </c>
      <c r="C6" s="3" t="s">
        <v>4</v>
      </c>
      <c r="D6" s="17" t="s">
        <v>27</v>
      </c>
      <c r="E6" s="292" t="s">
        <v>28</v>
      </c>
      <c r="F6" s="293" t="s">
        <v>31</v>
      </c>
      <c r="G6" s="293"/>
      <c r="H6" s="293"/>
      <c r="I6" s="293"/>
      <c r="J6" s="293"/>
      <c r="K6" s="293"/>
      <c r="L6" s="293"/>
      <c r="M6" s="293"/>
      <c r="N6" s="293"/>
      <c r="O6" s="293"/>
      <c r="P6" s="293"/>
      <c r="Q6" s="293"/>
      <c r="R6" s="293"/>
      <c r="S6" s="293"/>
      <c r="T6" s="293"/>
      <c r="U6" s="293"/>
      <c r="V6" s="293"/>
      <c r="W6" s="293"/>
      <c r="X6" s="293"/>
      <c r="Z6" s="111"/>
      <c r="AA6" s="110"/>
      <c r="AB6" s="111"/>
      <c r="AC6" s="111"/>
      <c r="AD6" s="112"/>
      <c r="AE6" s="112"/>
      <c r="AF6" s="112"/>
      <c r="AG6" s="112"/>
      <c r="AH6" s="112"/>
      <c r="AI6" s="112"/>
      <c r="AJ6" s="111"/>
      <c r="AK6" s="112"/>
      <c r="AL6" s="110"/>
      <c r="AM6" s="112"/>
      <c r="AN6" s="110"/>
      <c r="AO6" s="111"/>
      <c r="AP6" s="112"/>
      <c r="AQ6" s="110"/>
      <c r="AR6" s="112"/>
      <c r="AS6" s="110"/>
      <c r="AT6" s="110"/>
    </row>
    <row r="7" spans="1:46" x14ac:dyDescent="0.25">
      <c r="A7" s="6">
        <v>1</v>
      </c>
      <c r="B7" s="31" t="s">
        <v>0</v>
      </c>
      <c r="C7" s="106">
        <f>nOps</f>
        <v>150</v>
      </c>
      <c r="D7" s="6" t="s">
        <v>1</v>
      </c>
      <c r="E7" s="292"/>
      <c r="F7" s="9">
        <f>C48</f>
        <v>5.2249165140167309E-2</v>
      </c>
      <c r="G7" s="10">
        <v>100000</v>
      </c>
      <c r="H7" s="10">
        <f t="shared" ref="H7:X7" si="0">H1*saturation_point</f>
        <v>150931.57994213203</v>
      </c>
      <c r="I7" s="10">
        <f t="shared" si="0"/>
        <v>251552.63323688676</v>
      </c>
      <c r="J7" s="10">
        <f t="shared" si="0"/>
        <v>2012421.0658950936</v>
      </c>
      <c r="K7" s="10">
        <f t="shared" si="0"/>
        <v>4029892.9644691329</v>
      </c>
      <c r="L7" s="10">
        <f t="shared" si="0"/>
        <v>8517803.0891070515</v>
      </c>
      <c r="M7" s="10">
        <f t="shared" si="0"/>
        <v>12776704.633660575</v>
      </c>
      <c r="N7" s="10">
        <f t="shared" si="0"/>
        <v>17035606.178214103</v>
      </c>
      <c r="O7" s="10">
        <f t="shared" si="0"/>
        <v>21294507.722767629</v>
      </c>
      <c r="P7" s="10">
        <f t="shared" si="0"/>
        <v>42589015.445535257</v>
      </c>
      <c r="Q7" s="10">
        <f t="shared" si="0"/>
        <v>63883523.168302879</v>
      </c>
      <c r="R7" s="10">
        <f t="shared" si="0"/>
        <v>85178030.891070515</v>
      </c>
      <c r="S7" s="10">
        <f t="shared" si="0"/>
        <v>95825284.752454326</v>
      </c>
      <c r="T7" s="10">
        <f t="shared" si="0"/>
        <v>106472538.61383814</v>
      </c>
      <c r="U7" s="10">
        <f t="shared" si="0"/>
        <v>159708807.9207572</v>
      </c>
      <c r="V7" s="10">
        <f t="shared" si="0"/>
        <v>170356061.78214103</v>
      </c>
      <c r="W7" s="10">
        <f t="shared" si="0"/>
        <v>202297823.36629245</v>
      </c>
      <c r="X7" s="11">
        <f t="shared" si="0"/>
        <v>212945077.22767627</v>
      </c>
      <c r="Z7" s="113"/>
      <c r="AA7" s="114"/>
      <c r="AB7" s="115"/>
      <c r="AC7" s="115"/>
      <c r="AD7" s="115"/>
      <c r="AE7" s="116"/>
      <c r="AF7" s="115"/>
      <c r="AG7" s="115"/>
      <c r="AH7" s="115"/>
      <c r="AI7" s="116"/>
      <c r="AJ7" s="117"/>
      <c r="AK7" s="118"/>
      <c r="AL7" s="114"/>
      <c r="AM7" s="118"/>
      <c r="AN7" s="110"/>
      <c r="AO7" s="117"/>
      <c r="AP7" s="118"/>
      <c r="AQ7" s="114"/>
      <c r="AR7" s="118"/>
      <c r="AS7" s="110"/>
      <c r="AT7" s="110"/>
    </row>
    <row r="8" spans="1:46" ht="15.75" thickBot="1" x14ac:dyDescent="0.3">
      <c r="A8" s="6">
        <v>2</v>
      </c>
      <c r="B8" s="31" t="s">
        <v>37</v>
      </c>
      <c r="C8" s="107">
        <v>0.3</v>
      </c>
      <c r="D8" s="23" t="s">
        <v>35</v>
      </c>
      <c r="E8" s="292"/>
      <c r="F8" s="12">
        <v>150000</v>
      </c>
      <c r="G8" s="13">
        <f t="dataTable" ref="G8:X24" dt2D="1" dtr="1" r1="C42" r2="C43" ca="1"/>
        <v>-0.10715585477817813</v>
      </c>
      <c r="H8" s="13">
        <v>-0.10715810491777578</v>
      </c>
      <c r="I8" s="61">
        <v>-0.10716923218229757</v>
      </c>
      <c r="J8" s="63">
        <v>-0.10879874637372844</v>
      </c>
      <c r="K8" s="61">
        <v>-0.11398314908025142</v>
      </c>
      <c r="L8" s="61">
        <v>-0.13785620522487896</v>
      </c>
      <c r="M8" s="61">
        <v>-0.17515707324349361</v>
      </c>
      <c r="N8" s="61">
        <v>-0.22481520268396993</v>
      </c>
      <c r="O8" s="61">
        <v>-0.28441392547694566</v>
      </c>
      <c r="P8" s="61">
        <v>-0.63425049270931633</v>
      </c>
      <c r="Q8" s="61">
        <v>-0.8822707184854377</v>
      </c>
      <c r="R8" s="61">
        <v>-0.97665047453304588</v>
      </c>
      <c r="S8" s="61">
        <v>-0.99141195077355526</v>
      </c>
      <c r="T8" s="61">
        <v>-0.99723805687192402</v>
      </c>
      <c r="U8" s="61">
        <v>-0.99999901574187455</v>
      </c>
      <c r="V8" s="61">
        <v>-0.99999988073255774</v>
      </c>
      <c r="W8" s="61">
        <v>-0.99999999994261801</v>
      </c>
      <c r="X8" s="62">
        <v>-0.99999999999729439</v>
      </c>
      <c r="Z8" s="113"/>
      <c r="AA8" s="114"/>
      <c r="AB8" s="115"/>
      <c r="AC8" s="115"/>
      <c r="AD8" s="115"/>
      <c r="AE8" s="116"/>
      <c r="AF8" s="115"/>
      <c r="AG8" s="115"/>
      <c r="AH8" s="115"/>
      <c r="AI8" s="116"/>
      <c r="AJ8" s="117"/>
      <c r="AK8" s="118"/>
      <c r="AL8" s="114"/>
      <c r="AM8" s="118"/>
      <c r="AN8" s="110"/>
      <c r="AO8" s="117"/>
      <c r="AP8" s="118"/>
      <c r="AQ8" s="114"/>
      <c r="AR8" s="118"/>
      <c r="AS8" s="110"/>
      <c r="AT8" s="110"/>
    </row>
    <row r="9" spans="1:46" ht="15.75" thickBot="1" x14ac:dyDescent="0.3">
      <c r="A9" s="6">
        <v>3</v>
      </c>
      <c r="B9" s="31" t="s">
        <v>2</v>
      </c>
      <c r="C9" s="108">
        <v>1</v>
      </c>
      <c r="D9" s="6" t="s">
        <v>11</v>
      </c>
      <c r="E9" s="292"/>
      <c r="F9" s="12">
        <v>250000</v>
      </c>
      <c r="G9" s="13">
        <v>-4.599069012278989E-2</v>
      </c>
      <c r="H9" s="13">
        <v>-4.599069923463861E-2</v>
      </c>
      <c r="I9" s="210">
        <v>-4.5994995151815155E-2</v>
      </c>
      <c r="J9" s="63">
        <v>-4.6989193316725908E-2</v>
      </c>
      <c r="K9" s="61">
        <v>-5.0258337841489475E-2</v>
      </c>
      <c r="L9" s="61">
        <v>-6.5549705689306847E-2</v>
      </c>
      <c r="M9" s="61">
        <v>-8.9866341105628189E-2</v>
      </c>
      <c r="N9" s="61">
        <v>-0.12297440546788252</v>
      </c>
      <c r="O9" s="61">
        <v>-0.16387653804043045</v>
      </c>
      <c r="P9" s="61">
        <v>-0.43968179658628981</v>
      </c>
      <c r="Q9" s="61">
        <v>-0.71416711289239931</v>
      </c>
      <c r="R9" s="61">
        <v>-0.88984646854523586</v>
      </c>
      <c r="S9" s="61">
        <v>-0.93864757507773255</v>
      </c>
      <c r="T9" s="61">
        <v>-0.968283245476104</v>
      </c>
      <c r="U9" s="61">
        <v>-0.99964675254228696</v>
      </c>
      <c r="V9" s="61">
        <v>-0.99988924098664145</v>
      </c>
      <c r="W9" s="61">
        <v>-0.99999811150394669</v>
      </c>
      <c r="X9" s="62">
        <v>-0.99999960796514842</v>
      </c>
      <c r="Z9" s="113"/>
      <c r="AA9" s="114"/>
      <c r="AB9" s="115"/>
      <c r="AC9" s="115"/>
      <c r="AD9" s="115"/>
      <c r="AE9" s="116"/>
      <c r="AF9" s="115"/>
      <c r="AG9" s="115"/>
      <c r="AH9" s="115"/>
      <c r="AI9" s="116"/>
      <c r="AJ9" s="117"/>
      <c r="AK9" s="118"/>
      <c r="AL9" s="114"/>
      <c r="AM9" s="118"/>
      <c r="AN9" s="110"/>
      <c r="AO9" s="117"/>
      <c r="AP9" s="118"/>
      <c r="AQ9" s="114"/>
      <c r="AR9" s="118"/>
      <c r="AS9" s="110"/>
      <c r="AT9" s="110"/>
    </row>
    <row r="10" spans="1:46" x14ac:dyDescent="0.25">
      <c r="A10" s="6">
        <v>4</v>
      </c>
      <c r="B10" s="32" t="s">
        <v>3</v>
      </c>
      <c r="C10" s="129">
        <f>C42/C32</f>
        <v>7.8267442871417156E-6</v>
      </c>
      <c r="D10" s="6" t="s">
        <v>50</v>
      </c>
      <c r="E10" s="292"/>
      <c r="F10" s="12">
        <v>2000000</v>
      </c>
      <c r="G10" s="13">
        <v>4.0597488431254325E-2</v>
      </c>
      <c r="H10" s="13">
        <v>4.0600900311523302E-2</v>
      </c>
      <c r="I10" s="13">
        <v>4.0607063103049512E-2</v>
      </c>
      <c r="J10" s="13">
        <v>4.0590716408940963E-2</v>
      </c>
      <c r="K10" s="61">
        <v>4.0283216110586606E-2</v>
      </c>
      <c r="L10" s="61">
        <v>3.8494923409315263E-2</v>
      </c>
      <c r="M10" s="61">
        <v>3.5395263871655702E-2</v>
      </c>
      <c r="N10" s="61">
        <v>3.0941932697374774E-2</v>
      </c>
      <c r="O10" s="61">
        <v>2.5152246163834047E-2</v>
      </c>
      <c r="P10" s="61">
        <v>-2.2885562590688968E-2</v>
      </c>
      <c r="Q10" s="61">
        <v>-9.9004553796267603E-2</v>
      </c>
      <c r="R10" s="61">
        <v>-0.19634085895188247</v>
      </c>
      <c r="S10" s="61">
        <v>-0.25042401004139525</v>
      </c>
      <c r="T10" s="61">
        <v>-0.30669318417642966</v>
      </c>
      <c r="U10" s="61">
        <v>-0.5864649437040983</v>
      </c>
      <c r="V10" s="61">
        <v>-0.63647991433219564</v>
      </c>
      <c r="W10" s="61">
        <v>-0.76555915473569358</v>
      </c>
      <c r="X10" s="62">
        <v>-0.80095757419787927</v>
      </c>
      <c r="Z10" s="113"/>
      <c r="AA10" s="114"/>
      <c r="AB10" s="115"/>
      <c r="AC10" s="115"/>
      <c r="AD10" s="115"/>
      <c r="AE10" s="116"/>
      <c r="AF10" s="115"/>
      <c r="AG10" s="115"/>
      <c r="AH10" s="115"/>
      <c r="AI10" s="116"/>
      <c r="AJ10" s="117"/>
      <c r="AK10" s="118"/>
      <c r="AL10" s="114"/>
      <c r="AM10" s="118"/>
      <c r="AN10" s="110"/>
      <c r="AO10" s="117"/>
      <c r="AP10" s="118"/>
      <c r="AQ10" s="114"/>
      <c r="AR10" s="118"/>
      <c r="AS10" s="110"/>
      <c r="AT10" s="110"/>
    </row>
    <row r="11" spans="1:46" ht="19.5" customHeight="1" x14ac:dyDescent="0.25">
      <c r="A11" s="6">
        <v>5</v>
      </c>
      <c r="B11" s="32" t="s">
        <v>5</v>
      </c>
      <c r="C11" s="130">
        <f>C43/C32</f>
        <v>6.0735535668219719E-4</v>
      </c>
      <c r="D11" s="6" t="s">
        <v>36</v>
      </c>
      <c r="E11" s="292"/>
      <c r="F11" s="12">
        <f t="shared" ref="F11:F24" si="1">Y68*$C$36</f>
        <v>9965854.4984438159</v>
      </c>
      <c r="G11" s="13">
        <v>5.0964976046276478E-2</v>
      </c>
      <c r="H11" s="13">
        <v>5.0968816019892005E-2</v>
      </c>
      <c r="I11" s="13">
        <v>5.0976289687184817E-2</v>
      </c>
      <c r="J11" s="13">
        <v>5.1082865866837412E-2</v>
      </c>
      <c r="K11" s="13">
        <v>5.1148654019089967E-2</v>
      </c>
      <c r="L11" s="61">
        <v>5.10792573401182E-2</v>
      </c>
      <c r="M11" s="61">
        <v>5.0738191520194764E-2</v>
      </c>
      <c r="N11" s="61">
        <v>5.0129380090118358E-2</v>
      </c>
      <c r="O11" s="61">
        <v>4.9253282221025207E-2</v>
      </c>
      <c r="P11" s="61">
        <v>4.0893605060789318E-2</v>
      </c>
      <c r="Q11" s="61">
        <v>2.6035017110082714E-2</v>
      </c>
      <c r="R11" s="61">
        <v>4.9541011341647234E-3</v>
      </c>
      <c r="S11" s="61">
        <v>-7.8025334873446095E-3</v>
      </c>
      <c r="T11" s="61">
        <v>-2.1961148167755629E-2</v>
      </c>
      <c r="U11" s="61">
        <v>-0.11136845718466926</v>
      </c>
      <c r="V11" s="61">
        <v>-0.13242676406492637</v>
      </c>
      <c r="W11" s="61">
        <v>-0.20040500468442346</v>
      </c>
      <c r="X11" s="62">
        <v>-0.2243621473593792</v>
      </c>
      <c r="Z11" s="113"/>
      <c r="AA11" s="114"/>
      <c r="AB11" s="115"/>
      <c r="AC11" s="115"/>
      <c r="AD11" s="115"/>
      <c r="AE11" s="116"/>
      <c r="AF11" s="115"/>
      <c r="AG11" s="115"/>
      <c r="AH11" s="115"/>
      <c r="AI11" s="116"/>
      <c r="AJ11" s="117"/>
      <c r="AK11" s="118"/>
      <c r="AL11" s="114"/>
      <c r="AM11" s="118"/>
      <c r="AN11" s="110"/>
      <c r="AO11" s="117"/>
      <c r="AP11" s="118"/>
      <c r="AQ11" s="114"/>
      <c r="AR11" s="118"/>
      <c r="AS11" s="110"/>
      <c r="AT11" s="110"/>
    </row>
    <row r="12" spans="1:46" x14ac:dyDescent="0.25">
      <c r="A12" s="6">
        <v>6</v>
      </c>
      <c r="B12" s="31" t="s">
        <v>38</v>
      </c>
      <c r="C12" s="95">
        <f>1/C7</f>
        <v>6.6666666666666671E-3</v>
      </c>
      <c r="D12" s="6" t="s">
        <v>8</v>
      </c>
      <c r="E12" s="292"/>
      <c r="F12" s="12">
        <v>11000000</v>
      </c>
      <c r="G12" s="13">
        <v>5.1210917477136464E-2</v>
      </c>
      <c r="H12" s="13">
        <v>5.1214767652642657E-2</v>
      </c>
      <c r="I12" s="13">
        <v>5.1222272564382942E-2</v>
      </c>
      <c r="J12" s="13">
        <v>5.133177945903511E-2</v>
      </c>
      <c r="K12" s="13">
        <v>5.1406469955950218E-2</v>
      </c>
      <c r="L12" s="13">
        <v>5.1378108399577016E-2</v>
      </c>
      <c r="M12" s="61">
        <v>5.1103042640246565E-2</v>
      </c>
      <c r="N12" s="61">
        <v>5.0586510698128473E-2</v>
      </c>
      <c r="O12" s="61">
        <v>4.9828863755785768E-2</v>
      </c>
      <c r="P12" s="61">
        <v>4.2447619400824754E-2</v>
      </c>
      <c r="Q12" s="61">
        <v>2.9184348192495158E-2</v>
      </c>
      <c r="R12" s="61">
        <v>1.0261930233588012E-2</v>
      </c>
      <c r="S12" s="61">
        <v>-1.2264574849508714E-3</v>
      </c>
      <c r="T12" s="61">
        <v>-1.4004844294421392E-2</v>
      </c>
      <c r="U12" s="61">
        <v>-9.5265164097336319E-2</v>
      </c>
      <c r="V12" s="61">
        <v>-0.1145397386100081</v>
      </c>
      <c r="W12" s="61">
        <v>-0.17711409910347864</v>
      </c>
      <c r="X12" s="62">
        <v>-0.19929946132791276</v>
      </c>
      <c r="Z12" s="113"/>
      <c r="AA12" s="114"/>
      <c r="AB12" s="115"/>
      <c r="AC12" s="115"/>
      <c r="AD12" s="115"/>
      <c r="AE12" s="116"/>
      <c r="AF12" s="115"/>
      <c r="AG12" s="115"/>
      <c r="AH12" s="115"/>
      <c r="AI12" s="116"/>
      <c r="AJ12" s="117"/>
      <c r="AK12" s="118"/>
      <c r="AL12" s="114"/>
      <c r="AM12" s="118"/>
      <c r="AN12" s="110"/>
      <c r="AO12" s="117"/>
      <c r="AP12" s="118"/>
      <c r="AQ12" s="114"/>
      <c r="AR12" s="118"/>
      <c r="AS12" s="110"/>
      <c r="AT12" s="110"/>
    </row>
    <row r="13" spans="1:46" x14ac:dyDescent="0.25">
      <c r="A13" s="6">
        <v>7</v>
      </c>
      <c r="B13" s="32" t="s">
        <v>6</v>
      </c>
      <c r="C13" s="96">
        <f>MIN(C11,C12)</f>
        <v>6.0735535668219719E-4</v>
      </c>
      <c r="D13" s="6" t="s">
        <v>7</v>
      </c>
      <c r="E13" s="292"/>
      <c r="F13" s="12">
        <f t="shared" si="1"/>
        <v>31941761.584151439</v>
      </c>
      <c r="G13" s="13">
        <v>5.2766115552705495E-2</v>
      </c>
      <c r="H13" s="13">
        <v>5.2770030288905589E-2</v>
      </c>
      <c r="I13" s="13">
        <v>5.2777732931032828E-2</v>
      </c>
      <c r="J13" s="13">
        <v>5.2905787758026568E-2</v>
      </c>
      <c r="K13" s="13">
        <v>5.303682208663818E-2</v>
      </c>
      <c r="L13" s="13">
        <v>5.3268220960083434E-2</v>
      </c>
      <c r="M13" s="13">
        <v>5.3411102883896167E-2</v>
      </c>
      <c r="N13" s="61">
        <v>5.3479253303357899E-2</v>
      </c>
      <c r="O13" s="61">
        <v>5.3472657911422639E-2</v>
      </c>
      <c r="P13" s="61">
        <v>5.2319091272453155E-2</v>
      </c>
      <c r="Q13" s="61">
        <v>4.93037464583721E-2</v>
      </c>
      <c r="R13" s="61">
        <v>4.4442412973032086E-2</v>
      </c>
      <c r="S13" s="61">
        <v>4.1327066627122155E-2</v>
      </c>
      <c r="T13" s="61">
        <v>3.7760485881602746E-2</v>
      </c>
      <c r="U13" s="61">
        <v>1.3341112405553135E-2</v>
      </c>
      <c r="V13" s="61">
        <v>7.1840471386201976E-3</v>
      </c>
      <c r="W13" s="61">
        <v>-1.3696747862380954E-2</v>
      </c>
      <c r="X13" s="62">
        <v>-2.1430843945482891E-2</v>
      </c>
      <c r="Z13" s="113"/>
      <c r="AA13" s="114"/>
      <c r="AB13" s="115"/>
      <c r="AC13" s="115"/>
      <c r="AD13" s="115"/>
      <c r="AE13" s="116"/>
      <c r="AF13" s="115"/>
      <c r="AG13" s="115"/>
      <c r="AH13" s="115"/>
      <c r="AI13" s="116"/>
      <c r="AJ13" s="117"/>
      <c r="AK13" s="118"/>
      <c r="AL13" s="114"/>
      <c r="AM13" s="118"/>
      <c r="AN13" s="110"/>
      <c r="AO13" s="117"/>
      <c r="AP13" s="118"/>
      <c r="AQ13" s="114"/>
      <c r="AR13" s="118"/>
      <c r="AS13" s="110"/>
      <c r="AT13" s="110"/>
    </row>
    <row r="14" spans="1:46" x14ac:dyDescent="0.25">
      <c r="A14" s="6">
        <v>8</v>
      </c>
      <c r="B14" s="31" t="s">
        <v>9</v>
      </c>
      <c r="C14" s="97">
        <f>MIN(C10,C12)</f>
        <v>7.8267442871417156E-6</v>
      </c>
      <c r="D14" s="6" t="s">
        <v>10</v>
      </c>
      <c r="E14" s="292"/>
      <c r="F14" s="12">
        <f t="shared" si="1"/>
        <v>42589015.445535257</v>
      </c>
      <c r="G14" s="13">
        <v>5.2970507297725788E-2</v>
      </c>
      <c r="H14" s="13">
        <v>5.2974430525164928E-2</v>
      </c>
      <c r="I14" s="13">
        <v>5.2982159174201016E-2</v>
      </c>
      <c r="J14" s="13">
        <v>5.311265367650253E-2</v>
      </c>
      <c r="K14" s="13">
        <v>5.3251099442855887E-2</v>
      </c>
      <c r="L14" s="13">
        <v>5.3516672842093493E-2</v>
      </c>
      <c r="M14" s="13">
        <v>5.3714560470980111E-2</v>
      </c>
      <c r="N14" s="13">
        <v>5.3859701365232882E-2</v>
      </c>
      <c r="O14" s="61">
        <v>5.3952074018765783E-2</v>
      </c>
      <c r="P14" s="61">
        <v>5.3622208348979461E-2</v>
      </c>
      <c r="Q14" s="61">
        <v>5.1974406791996275E-2</v>
      </c>
      <c r="R14" s="61">
        <v>4.9014766763365802E-2</v>
      </c>
      <c r="S14" s="61">
        <v>4.7046237547544889E-2</v>
      </c>
      <c r="T14" s="61">
        <v>4.4754224685209065E-2</v>
      </c>
      <c r="U14" s="61">
        <v>2.8525994692454537E-2</v>
      </c>
      <c r="V14" s="61">
        <v>2.4347540541346469E-2</v>
      </c>
      <c r="W14" s="61">
        <v>1.001253475169861E-2</v>
      </c>
      <c r="X14" s="62">
        <v>4.6487367091576637E-3</v>
      </c>
      <c r="Z14" s="113"/>
      <c r="AA14" s="112"/>
      <c r="AB14" s="25"/>
      <c r="AC14" s="25"/>
      <c r="AD14" s="25"/>
      <c r="AE14" s="25"/>
      <c r="AF14" s="25"/>
      <c r="AG14" s="25"/>
      <c r="AH14" s="25"/>
      <c r="AI14" s="116"/>
      <c r="AJ14" s="117"/>
      <c r="AK14" s="119"/>
      <c r="AL14" s="112"/>
      <c r="AM14" s="119"/>
      <c r="AN14" s="110"/>
      <c r="AO14" s="117"/>
      <c r="AP14" s="119"/>
      <c r="AQ14" s="112"/>
      <c r="AR14" s="119"/>
      <c r="AS14" s="110"/>
      <c r="AT14" s="110"/>
    </row>
    <row r="15" spans="1:46" x14ac:dyDescent="0.25">
      <c r="B15" s="6"/>
      <c r="C15" s="6"/>
      <c r="E15" s="292"/>
      <c r="F15" s="12">
        <f t="shared" si="1"/>
        <v>53236269.306919068</v>
      </c>
      <c r="G15" s="13">
        <v>5.309316113068463E-2</v>
      </c>
      <c r="H15" s="13">
        <v>5.3097089454380519E-2</v>
      </c>
      <c r="I15" s="13">
        <v>5.3104833712199984E-2</v>
      </c>
      <c r="J15" s="13">
        <v>5.32367924685484E-2</v>
      </c>
      <c r="K15" s="13">
        <v>5.3379686498358447E-2</v>
      </c>
      <c r="L15" s="13">
        <v>5.3665771716103539E-2</v>
      </c>
      <c r="M15" s="13">
        <v>5.3896676407097388E-2</v>
      </c>
      <c r="N15" s="13">
        <v>5.4088035244240551E-2</v>
      </c>
      <c r="O15" s="13">
        <v>5.4239826965146731E-2</v>
      </c>
      <c r="P15" s="61">
        <v>5.4404842418744659E-2</v>
      </c>
      <c r="Q15" s="61">
        <v>5.3580019825728353E-2</v>
      </c>
      <c r="R15" s="61">
        <v>5.1767649556155426E-2</v>
      </c>
      <c r="S15" s="61">
        <v>5.0492599059277055E-2</v>
      </c>
      <c r="T15" s="61">
        <v>4.8972760206855481E-2</v>
      </c>
      <c r="U15" s="61">
        <v>3.7744419207851987E-2</v>
      </c>
      <c r="V15" s="61">
        <v>3.4783769531259612E-2</v>
      </c>
      <c r="W15" s="61">
        <v>2.4507004008635924E-2</v>
      </c>
      <c r="X15" s="62">
        <v>2.0624288326547724E-2</v>
      </c>
      <c r="Z15" s="113"/>
      <c r="AA15" s="110"/>
      <c r="AB15" s="115"/>
      <c r="AC15" s="115"/>
      <c r="AD15" s="115"/>
      <c r="AE15" s="116"/>
      <c r="AF15" s="115"/>
      <c r="AG15" s="115"/>
      <c r="AH15" s="115"/>
      <c r="AI15" s="116"/>
      <c r="AJ15" s="117"/>
      <c r="AK15" s="118"/>
      <c r="AL15" s="114"/>
      <c r="AM15" s="118"/>
      <c r="AN15" s="120"/>
      <c r="AO15" s="117"/>
      <c r="AP15" s="118"/>
      <c r="AQ15" s="114"/>
      <c r="AR15" s="118"/>
      <c r="AS15" s="110"/>
      <c r="AT15" s="110"/>
    </row>
    <row r="16" spans="1:46" x14ac:dyDescent="0.25">
      <c r="A16" s="17" t="s">
        <v>12</v>
      </c>
      <c r="B16" s="31" t="s">
        <v>42</v>
      </c>
      <c r="C16" s="33">
        <f>(1-C13/C12)</f>
        <v>0.90889669649767046</v>
      </c>
      <c r="E16" s="292"/>
      <c r="F16" s="12">
        <v>77590000</v>
      </c>
      <c r="G16" s="13">
        <v>5.3247174041726186E-2</v>
      </c>
      <c r="H16" s="13">
        <v>5.3251108765381305E-2</v>
      </c>
      <c r="I16" s="13">
        <v>5.3258872625114639E-2</v>
      </c>
      <c r="J16" s="13">
        <v>5.3392670241965146E-2</v>
      </c>
      <c r="K16" s="13">
        <v>5.3541150593308995E-2</v>
      </c>
      <c r="L16" s="13">
        <v>5.385299612316885E-2</v>
      </c>
      <c r="M16" s="13">
        <v>5.4125368512113692E-2</v>
      </c>
      <c r="N16" s="13">
        <v>5.437477951280778E-2</v>
      </c>
      <c r="O16" s="13">
        <v>5.4601213019133565E-2</v>
      </c>
      <c r="P16" s="13">
        <v>5.5388258222839326E-2</v>
      </c>
      <c r="Q16" s="61">
        <v>5.559930369508792E-2</v>
      </c>
      <c r="R16" s="61">
        <v>5.523400853769922E-2</v>
      </c>
      <c r="S16" s="61">
        <v>5.4835381268192984E-2</v>
      </c>
      <c r="T16" s="61">
        <v>5.4292962778389686E-2</v>
      </c>
      <c r="U16" s="61">
        <v>4.9433686109164876E-2</v>
      </c>
      <c r="V16" s="61">
        <v>4.803513592746067E-2</v>
      </c>
      <c r="W16" s="61">
        <v>4.2995707681133366E-2</v>
      </c>
      <c r="X16" s="62">
        <v>4.103688695785368E-2</v>
      </c>
      <c r="Z16" s="113"/>
      <c r="AA16" s="110"/>
      <c r="AB16" s="115"/>
      <c r="AC16" s="115"/>
      <c r="AD16" s="115"/>
      <c r="AE16" s="116"/>
      <c r="AF16" s="115"/>
      <c r="AG16" s="115"/>
      <c r="AH16" s="115"/>
      <c r="AI16" s="116"/>
      <c r="AJ16" s="117"/>
      <c r="AK16" s="118"/>
      <c r="AL16" s="114"/>
      <c r="AM16" s="118"/>
      <c r="AN16" s="110"/>
      <c r="AO16" s="117"/>
      <c r="AP16" s="118"/>
      <c r="AQ16" s="114"/>
      <c r="AR16" s="118"/>
      <c r="AS16" s="110"/>
      <c r="AT16" s="110"/>
    </row>
    <row r="17" spans="1:46" x14ac:dyDescent="0.25">
      <c r="A17" s="17" t="s">
        <v>13</v>
      </c>
      <c r="B17" s="31" t="s">
        <v>14</v>
      </c>
      <c r="C17" s="34">
        <f>C14 *C16</f>
        <v>7.1137020269151197E-6</v>
      </c>
      <c r="E17" s="292"/>
      <c r="F17" s="12">
        <v>25000000</v>
      </c>
      <c r="G17" s="214">
        <v>5.2539147217585125E-2</v>
      </c>
      <c r="H17" s="213">
        <v>5.2543052526321077E-2</v>
      </c>
      <c r="I17" s="213">
        <v>5.255072629438895E-2</v>
      </c>
      <c r="J17" s="215">
        <v>5.2676072514151295E-2</v>
      </c>
      <c r="K17" s="13">
        <v>5.2798878513197423E-2</v>
      </c>
      <c r="L17" s="13">
        <v>5.2992337701403214E-2</v>
      </c>
      <c r="M17" s="13">
        <v>5.3074159081418548E-2</v>
      </c>
      <c r="N17" s="13">
        <v>5.305685532514004E-2</v>
      </c>
      <c r="O17" s="13">
        <v>5.2940431251921716E-2</v>
      </c>
      <c r="P17" s="13">
        <v>5.0873605993986937E-2</v>
      </c>
      <c r="Q17" s="13">
        <v>4.6345330389613304E-2</v>
      </c>
      <c r="R17" s="61">
        <v>3.9387020766113556E-2</v>
      </c>
      <c r="S17" s="61">
        <v>3.5010998280501138E-2</v>
      </c>
      <c r="T17" s="61">
        <v>3.0046783906341412E-2</v>
      </c>
      <c r="U17" s="61">
        <v>-3.2653672053402083E-3</v>
      </c>
      <c r="V17" s="61">
        <v>-1.1546785028276219E-2</v>
      </c>
      <c r="W17" s="61">
        <v>-3.9387124424607234E-2</v>
      </c>
      <c r="X17" s="62">
        <v>-4.9614745136349003E-2</v>
      </c>
      <c r="Z17" s="113"/>
      <c r="AA17" s="110"/>
      <c r="AB17" s="115"/>
      <c r="AC17" s="115"/>
      <c r="AD17" s="115"/>
      <c r="AE17" s="116"/>
      <c r="AF17" s="115"/>
      <c r="AG17" s="115"/>
      <c r="AH17" s="115"/>
      <c r="AI17" s="116"/>
      <c r="AJ17" s="117"/>
      <c r="AK17" s="118"/>
      <c r="AL17" s="114"/>
      <c r="AM17" s="118"/>
      <c r="AN17" s="110"/>
      <c r="AO17" s="117"/>
      <c r="AP17" s="118"/>
      <c r="AQ17" s="114"/>
      <c r="AR17" s="118"/>
      <c r="AS17" s="110"/>
      <c r="AT17" s="110"/>
    </row>
    <row r="18" spans="1:46" x14ac:dyDescent="0.25">
      <c r="A18" s="17" t="s">
        <v>15</v>
      </c>
      <c r="B18" s="31" t="s">
        <v>16</v>
      </c>
      <c r="C18" s="34">
        <f>C13-C17</f>
        <v>6.0024165465528208E-4</v>
      </c>
      <c r="E18" s="292"/>
      <c r="F18" s="12">
        <f t="shared" si="1"/>
        <v>106472538.61383814</v>
      </c>
      <c r="G18" s="13">
        <v>5.333851107250398E-2</v>
      </c>
      <c r="H18" s="13">
        <v>5.3342449592048258E-2</v>
      </c>
      <c r="I18" s="13">
        <v>5.3350225077906765E-2</v>
      </c>
      <c r="J18" s="13">
        <v>5.3485113352566227E-2</v>
      </c>
      <c r="K18" s="13">
        <v>5.3636907061963557E-2</v>
      </c>
      <c r="L18" s="13">
        <v>5.3964031903319887E-2</v>
      </c>
      <c r="M18" s="13">
        <v>5.4261001417357901E-2</v>
      </c>
      <c r="N18" s="13">
        <v>5.4544849394493555E-2</v>
      </c>
      <c r="O18" s="13">
        <v>5.4815565338319328E-2</v>
      </c>
      <c r="P18" s="13">
        <v>5.5971831093728719E-2</v>
      </c>
      <c r="Q18" s="13">
        <v>5.679850048938917E-2</v>
      </c>
      <c r="R18" s="13">
        <v>5.7294808473709047E-2</v>
      </c>
      <c r="S18" s="61">
        <v>5.7418921385760102E-2</v>
      </c>
      <c r="T18" s="61">
        <v>5.7460295549632168E-2</v>
      </c>
      <c r="U18" s="61">
        <v>5.64264203023217E-2</v>
      </c>
      <c r="V18" s="61">
        <v>5.5971831093728719E-2</v>
      </c>
      <c r="W18" s="61">
        <v>5.4114156177540451E-2</v>
      </c>
      <c r="X18" s="62">
        <v>5.3330772665726611E-2</v>
      </c>
      <c r="Z18" s="113"/>
      <c r="AA18" s="110"/>
      <c r="AB18" s="115"/>
      <c r="AC18" s="115"/>
      <c r="AD18" s="115"/>
      <c r="AE18" s="116"/>
      <c r="AF18" s="115"/>
      <c r="AG18" s="115"/>
      <c r="AH18" s="115"/>
      <c r="AI18" s="116"/>
      <c r="AJ18" s="117"/>
      <c r="AK18" s="118"/>
      <c r="AL18" s="114"/>
      <c r="AM18" s="118"/>
      <c r="AN18" s="110"/>
      <c r="AO18" s="117"/>
      <c r="AP18" s="118"/>
      <c r="AQ18" s="114"/>
      <c r="AR18" s="118"/>
      <c r="AS18" s="110"/>
      <c r="AT18" s="110"/>
    </row>
    <row r="19" spans="1:46" x14ac:dyDescent="0.25">
      <c r="A19" s="17" t="s">
        <v>17</v>
      </c>
      <c r="B19" s="31" t="s">
        <v>41</v>
      </c>
      <c r="C19" s="34">
        <f>C18/C12</f>
        <v>9.0036248198292312E-2</v>
      </c>
      <c r="E19" s="292"/>
      <c r="F19" s="12">
        <f t="shared" si="1"/>
        <v>127767046.33660576</v>
      </c>
      <c r="G19" s="13">
        <v>5.3379408210370016E-2</v>
      </c>
      <c r="H19" s="13">
        <v>5.3383348429659527E-2</v>
      </c>
      <c r="I19" s="13">
        <v>5.3391129121543868E-2</v>
      </c>
      <c r="J19" s="13">
        <v>5.3526505780226774E-2</v>
      </c>
      <c r="K19" s="13">
        <v>5.3679783178310903E-2</v>
      </c>
      <c r="L19" s="13">
        <v>5.4013750029712426E-2</v>
      </c>
      <c r="M19" s="13">
        <v>5.4321734328118598E-2</v>
      </c>
      <c r="N19" s="13">
        <v>5.4621004067409551E-2</v>
      </c>
      <c r="O19" s="13">
        <v>5.4911551879093912E-2</v>
      </c>
      <c r="P19" s="13">
        <v>5.6233219084306452E-2</v>
      </c>
      <c r="Q19" s="13">
        <v>5.7335855895014554E-2</v>
      </c>
      <c r="R19" s="13">
        <v>5.821878270037506E-2</v>
      </c>
      <c r="S19" s="13">
        <v>5.8577679396291327E-2</v>
      </c>
      <c r="T19" s="61">
        <v>5.8881454983110926E-2</v>
      </c>
      <c r="U19" s="61">
        <v>5.9572173837440623E-2</v>
      </c>
      <c r="V19" s="61">
        <v>5.9544536552923244E-2</v>
      </c>
      <c r="W19" s="61">
        <v>5.913006259506437E-2</v>
      </c>
      <c r="X19" s="62">
        <v>5.8881454983110926E-2</v>
      </c>
      <c r="Z19" s="113"/>
      <c r="AA19" s="110"/>
      <c r="AB19" s="115"/>
      <c r="AC19" s="115"/>
      <c r="AD19" s="115"/>
      <c r="AE19" s="116"/>
      <c r="AF19" s="115"/>
      <c r="AG19" s="115"/>
      <c r="AH19" s="115"/>
      <c r="AI19" s="116"/>
      <c r="AJ19" s="117"/>
      <c r="AK19" s="118"/>
      <c r="AL19" s="114"/>
      <c r="AM19" s="118"/>
      <c r="AN19" s="110"/>
      <c r="AO19" s="117"/>
      <c r="AP19" s="118"/>
      <c r="AQ19" s="114"/>
      <c r="AR19" s="118"/>
      <c r="AS19" s="110"/>
      <c r="AT19" s="110"/>
    </row>
    <row r="20" spans="1:46" x14ac:dyDescent="0.25">
      <c r="A20" s="17" t="s">
        <v>18</v>
      </c>
      <c r="B20" s="31" t="s">
        <v>40</v>
      </c>
      <c r="C20" s="34">
        <f>C14 * C8 *C19</f>
        <v>2.1140720736649738E-7</v>
      </c>
      <c r="E20" s="292"/>
      <c r="F20" s="12">
        <f t="shared" si="1"/>
        <v>149061554.05937338</v>
      </c>
      <c r="G20" s="13">
        <v>5.3408621410555357E-2</v>
      </c>
      <c r="H20" s="13">
        <v>5.3412562844029399E-2</v>
      </c>
      <c r="I20" s="13">
        <v>5.3420347254730327E-2</v>
      </c>
      <c r="J20" s="13">
        <v>5.355607278207275E-2</v>
      </c>
      <c r="K20" s="13">
        <v>5.3710410029319089E-2</v>
      </c>
      <c r="L20" s="13">
        <v>5.4049264393399188E-2</v>
      </c>
      <c r="M20" s="13">
        <v>5.4365117091320858E-2</v>
      </c>
      <c r="N20" s="13">
        <v>5.4675403583292148E-2</v>
      </c>
      <c r="O20" s="13">
        <v>5.4980118968352976E-2</v>
      </c>
      <c r="P20" s="13">
        <v>5.6419963861746414E-2</v>
      </c>
      <c r="Q20" s="13">
        <v>5.7719846168944544E-2</v>
      </c>
      <c r="R20" s="13">
        <v>5.8879251839640823E-2</v>
      </c>
      <c r="S20" s="13">
        <v>5.9406130384535016E-2</v>
      </c>
      <c r="T20" s="13">
        <v>5.989772203673005E-2</v>
      </c>
      <c r="U20" s="61">
        <v>6.1824795321922865E-2</v>
      </c>
      <c r="V20" s="61">
        <v>6.2103765628339413E-2</v>
      </c>
      <c r="W20" s="61">
        <v>6.2727258334351221E-2</v>
      </c>
      <c r="X20" s="62">
        <v>6.2863881118169873E-2</v>
      </c>
      <c r="Z20" s="113"/>
      <c r="AA20" s="110"/>
      <c r="AB20" s="115"/>
      <c r="AC20" s="115"/>
      <c r="AD20" s="115"/>
      <c r="AE20" s="116"/>
      <c r="AF20" s="115"/>
      <c r="AG20" s="115"/>
      <c r="AH20" s="115"/>
      <c r="AI20" s="116"/>
      <c r="AJ20" s="117"/>
      <c r="AK20" s="118"/>
      <c r="AL20" s="114"/>
      <c r="AM20" s="118"/>
      <c r="AN20" s="110"/>
      <c r="AO20" s="117"/>
      <c r="AP20" s="118"/>
      <c r="AQ20" s="114"/>
      <c r="AR20" s="118"/>
      <c r="AS20" s="110"/>
      <c r="AT20" s="110"/>
    </row>
    <row r="21" spans="1:46" x14ac:dyDescent="0.25">
      <c r="A21" s="17" t="s">
        <v>19</v>
      </c>
      <c r="B21" s="31" t="s">
        <v>21</v>
      </c>
      <c r="C21" s="35">
        <f>C13+C20</f>
        <v>6.0756676388956372E-4</v>
      </c>
      <c r="E21" s="292"/>
      <c r="F21" s="12">
        <f t="shared" si="1"/>
        <v>170356061.78214103</v>
      </c>
      <c r="G21" s="13">
        <v>5.3430531835086059E-2</v>
      </c>
      <c r="H21" s="13">
        <v>5.3434474179218094E-2</v>
      </c>
      <c r="I21" s="13">
        <v>5.3442261379165634E-2</v>
      </c>
      <c r="J21" s="13">
        <v>5.3578248570530729E-2</v>
      </c>
      <c r="K21" s="13">
        <v>5.3733380743754555E-2</v>
      </c>
      <c r="L21" s="13">
        <v>5.4075900940685262E-2</v>
      </c>
      <c r="M21" s="13">
        <v>5.4397655319154303E-2</v>
      </c>
      <c r="N21" s="13">
        <v>5.4716205036418941E-2</v>
      </c>
      <c r="O21" s="13">
        <v>5.5031547169949846E-2</v>
      </c>
      <c r="P21" s="13">
        <v>5.6560043815043537E-2</v>
      </c>
      <c r="Q21" s="13">
        <v>5.8007929133591984E-2</v>
      </c>
      <c r="R21" s="13">
        <v>5.9374870492275189E-2</v>
      </c>
      <c r="S21" s="13">
        <v>6.0027888247165206E-2</v>
      </c>
      <c r="T21" s="13">
        <v>6.0660553586303179E-2</v>
      </c>
      <c r="U21" s="13">
        <v>6.3517360548350776E-2</v>
      </c>
      <c r="V21" s="61">
        <v>6.4027187607477165E-2</v>
      </c>
      <c r="W21" s="61">
        <v>6.5433060435321266E-2</v>
      </c>
      <c r="X21" s="62">
        <v>6.5860391805751206E-2</v>
      </c>
      <c r="Z21" s="113"/>
      <c r="AA21" s="110"/>
      <c r="AB21" s="115"/>
      <c r="AC21" s="115"/>
      <c r="AD21" s="115"/>
      <c r="AE21" s="116"/>
      <c r="AF21" s="115"/>
      <c r="AG21" s="115"/>
      <c r="AH21" s="115"/>
      <c r="AI21" s="116"/>
      <c r="AJ21" s="117"/>
      <c r="AK21" s="118"/>
      <c r="AL21" s="114"/>
      <c r="AM21" s="118"/>
      <c r="AN21" s="110"/>
      <c r="AO21" s="117"/>
      <c r="AP21" s="118"/>
      <c r="AQ21" s="114"/>
      <c r="AR21" s="118"/>
      <c r="AS21" s="110"/>
      <c r="AT21" s="110"/>
    </row>
    <row r="22" spans="1:46" ht="15.75" thickBot="1" x14ac:dyDescent="0.3">
      <c r="A22" s="17" t="s">
        <v>20</v>
      </c>
      <c r="B22" s="31" t="s">
        <v>39</v>
      </c>
      <c r="C22" s="34">
        <f>C9/(1+C8)</f>
        <v>0.76923076923076916</v>
      </c>
      <c r="E22" s="292"/>
      <c r="F22" s="12">
        <f t="shared" si="1"/>
        <v>181003315.64352483</v>
      </c>
      <c r="G22" s="13">
        <v>5.3439553905237469E-2</v>
      </c>
      <c r="H22" s="13">
        <v>5.3443496624365538E-2</v>
      </c>
      <c r="I22" s="13">
        <v>5.3451284972879654E-2</v>
      </c>
      <c r="J22" s="13">
        <v>5.3587379911375521E-2</v>
      </c>
      <c r="K22" s="13">
        <v>5.3742839416784038E-2</v>
      </c>
      <c r="L22" s="13">
        <v>5.4086869123715076E-2</v>
      </c>
      <c r="M22" s="13">
        <v>5.4411053700820888E-2</v>
      </c>
      <c r="N22" s="13">
        <v>5.4733006087265723E-2</v>
      </c>
      <c r="O22" s="13">
        <v>5.5052724206932524E-2</v>
      </c>
      <c r="P22" s="13">
        <v>5.6617729120508553E-2</v>
      </c>
      <c r="Q22" s="13">
        <v>5.8126574022974609E-2</v>
      </c>
      <c r="R22" s="13">
        <v>5.9579015257447798E-2</v>
      </c>
      <c r="S22" s="13">
        <v>6.028401078754797E-2</v>
      </c>
      <c r="T22" s="13">
        <v>6.0974818064444491E-2</v>
      </c>
      <c r="U22" s="13">
        <v>6.4215072363443371E-2</v>
      </c>
      <c r="V22" s="13">
        <v>6.4820183081611749E-2</v>
      </c>
      <c r="W22" s="61">
        <v>6.6549188188518738E-2</v>
      </c>
      <c r="X22" s="62">
        <v>6.7096669591629521E-2</v>
      </c>
      <c r="Y22" s="6"/>
      <c r="Z22" s="113"/>
      <c r="AA22" s="110"/>
      <c r="AB22" s="115"/>
      <c r="AC22" s="115"/>
      <c r="AD22" s="115"/>
      <c r="AE22" s="116"/>
      <c r="AF22" s="115"/>
      <c r="AG22" s="115"/>
      <c r="AH22" s="115"/>
      <c r="AI22" s="116"/>
      <c r="AJ22" s="117"/>
      <c r="AK22" s="118"/>
      <c r="AL22" s="114"/>
      <c r="AM22" s="118"/>
      <c r="AN22" s="110"/>
      <c r="AO22" s="117"/>
      <c r="AP22" s="118"/>
      <c r="AQ22" s="114"/>
      <c r="AR22" s="118"/>
      <c r="AS22" s="110"/>
      <c r="AT22" s="110"/>
    </row>
    <row r="23" spans="1:46" ht="15.75" customHeight="1" thickBot="1" x14ac:dyDescent="0.3">
      <c r="A23" s="125" t="s">
        <v>22</v>
      </c>
      <c r="B23" s="36" t="s">
        <v>23</v>
      </c>
      <c r="C23" s="122">
        <f>C22 * C21</f>
        <v>4.673590491458182E-4</v>
      </c>
      <c r="E23" s="292"/>
      <c r="F23" s="12">
        <f t="shared" si="1"/>
        <v>191650569.50490865</v>
      </c>
      <c r="G23" s="13">
        <v>5.344757358713581E-2</v>
      </c>
      <c r="H23" s="13">
        <v>5.3451516639601238E-2</v>
      </c>
      <c r="I23" s="13">
        <v>5.3459306009048024E-2</v>
      </c>
      <c r="J23" s="13">
        <v>5.3595496724292202E-2</v>
      </c>
      <c r="K23" s="13">
        <v>5.3751247196463181E-2</v>
      </c>
      <c r="L23" s="13">
        <v>5.4096618714244871E-2</v>
      </c>
      <c r="M23" s="13">
        <v>5.4422963514388467E-2</v>
      </c>
      <c r="N23" s="13">
        <v>5.4747940576299392E-2</v>
      </c>
      <c r="O23" s="13">
        <v>5.507154859179697E-2</v>
      </c>
      <c r="P23" s="13">
        <v>5.6669007555354645E-2</v>
      </c>
      <c r="Q23" s="13">
        <v>5.8232047163278899E-2</v>
      </c>
      <c r="R23" s="13">
        <v>5.9760509843801435E-2</v>
      </c>
      <c r="S23" s="13">
        <v>6.0511726507614716E-2</v>
      </c>
      <c r="T23" s="13">
        <v>6.125424136490043E-2</v>
      </c>
      <c r="U23" s="13">
        <v>6.483563963281691E-2</v>
      </c>
      <c r="V23" s="13">
        <v>6.5525557282344993E-2</v>
      </c>
      <c r="W23" s="210">
        <v>6.7542269829841128E-2</v>
      </c>
      <c r="X23" s="62">
        <v>6.8196770423949671E-2</v>
      </c>
      <c r="Y23" s="6"/>
      <c r="Z23" s="113"/>
      <c r="AA23" s="110"/>
      <c r="AB23" s="115"/>
      <c r="AC23" s="115"/>
      <c r="AD23" s="115"/>
      <c r="AE23" s="116"/>
      <c r="AF23" s="115"/>
      <c r="AG23" s="115"/>
      <c r="AH23" s="115"/>
      <c r="AI23" s="116"/>
      <c r="AJ23" s="117"/>
      <c r="AK23" s="118"/>
      <c r="AL23" s="114"/>
      <c r="AM23" s="118"/>
      <c r="AN23" s="110"/>
      <c r="AO23" s="117"/>
      <c r="AP23" s="118"/>
      <c r="AQ23" s="114"/>
      <c r="AR23" s="118"/>
      <c r="AS23" s="110"/>
      <c r="AT23" s="110"/>
    </row>
    <row r="24" spans="1:46" x14ac:dyDescent="0.25">
      <c r="A24" s="126"/>
      <c r="B24" s="3"/>
      <c r="C24" s="98"/>
      <c r="E24" s="292"/>
      <c r="F24" s="27">
        <f t="shared" si="1"/>
        <v>212945077.22767627</v>
      </c>
      <c r="G24" s="14">
        <v>5.3461207184555271E-2</v>
      </c>
      <c r="H24" s="14">
        <v>5.3465150803688077E-2</v>
      </c>
      <c r="I24" s="14">
        <v>5.3472941908790927E-2</v>
      </c>
      <c r="J24" s="14">
        <v>5.3609295447824667E-2</v>
      </c>
      <c r="K24" s="14">
        <v>5.3765540573729398E-2</v>
      </c>
      <c r="L24" s="14">
        <v>5.4113193222252054E-2</v>
      </c>
      <c r="M24" s="14">
        <v>5.4443210501964767E-2</v>
      </c>
      <c r="N24" s="14">
        <v>5.4773329686295114E-2</v>
      </c>
      <c r="O24" s="14">
        <v>5.5103550806279822E-2</v>
      </c>
      <c r="P24" s="14">
        <v>5.6756186527699315E-2</v>
      </c>
      <c r="Q24" s="14">
        <v>5.8411375300202018E-2</v>
      </c>
      <c r="R24" s="14">
        <v>6.0069121012986004E-2</v>
      </c>
      <c r="S24" s="28">
        <v>6.0898953938950839E-2</v>
      </c>
      <c r="T24" s="14">
        <v>6.1729427561071137E-2</v>
      </c>
      <c r="U24" s="14">
        <v>6.5891423199618382E-2</v>
      </c>
      <c r="V24" s="14">
        <v>6.6725751255154897E-2</v>
      </c>
      <c r="W24" s="14">
        <v>6.9232602094015938E-2</v>
      </c>
      <c r="X24" s="15">
        <v>7.0069509566803356E-2</v>
      </c>
      <c r="Y24" s="6"/>
      <c r="Z24" s="109"/>
      <c r="AA24" s="110"/>
      <c r="AB24" s="110"/>
      <c r="AC24" s="110"/>
      <c r="AD24" s="110"/>
      <c r="AE24" s="110"/>
      <c r="AF24" s="110"/>
      <c r="AG24" s="110"/>
      <c r="AH24" s="110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</row>
    <row r="25" spans="1:46" ht="15" customHeight="1" x14ac:dyDescent="0.25">
      <c r="B25" s="6"/>
      <c r="C25" s="100"/>
      <c r="D25" s="99"/>
      <c r="E25" s="7" t="s">
        <v>44</v>
      </c>
      <c r="F25" s="6"/>
      <c r="G25" s="8">
        <f>G24-G8</f>
        <v>0.1606170619627334</v>
      </c>
      <c r="H25" s="8">
        <f>H24-H8</f>
        <v>0.16062325572146385</v>
      </c>
      <c r="I25" s="8">
        <f>I24-I9</f>
        <v>9.9467937060606082E-2</v>
      </c>
      <c r="J25" s="8">
        <f>J24-J10</f>
        <v>1.3018579038883704E-2</v>
      </c>
      <c r="K25" s="8">
        <f>K24-K11</f>
        <v>2.6168865546394304E-3</v>
      </c>
      <c r="L25" s="8">
        <f>L24-L12</f>
        <v>2.7350848226750379E-3</v>
      </c>
      <c r="M25" s="8">
        <f>M24-M13</f>
        <v>1.0321076180686006E-3</v>
      </c>
      <c r="N25" s="8">
        <f>N24-N14</f>
        <v>9.1362832106223202E-4</v>
      </c>
      <c r="O25" s="8">
        <f>O24-O15</f>
        <v>8.6372384113309053E-4</v>
      </c>
      <c r="P25" s="8">
        <f>P24-P16</f>
        <v>1.3679283048599888E-3</v>
      </c>
      <c r="Q25" s="8">
        <f>Q24-Q17</f>
        <v>1.2066044910588714E-2</v>
      </c>
      <c r="R25" s="8">
        <f>R24-R18</f>
        <v>2.7743125392769574E-3</v>
      </c>
      <c r="S25" s="25">
        <f>S24-S19</f>
        <v>2.3212745426595127E-3</v>
      </c>
      <c r="T25" s="25">
        <f>T24-T20</f>
        <v>1.8317055243410874E-3</v>
      </c>
      <c r="U25" s="8">
        <f>U24-U21</f>
        <v>2.3740626512676055E-3</v>
      </c>
      <c r="V25" s="8">
        <f>V24-V22</f>
        <v>1.9055681735431484E-3</v>
      </c>
      <c r="W25" s="8">
        <f>W24-W23</f>
        <v>1.6903322641748098E-3</v>
      </c>
      <c r="X25" s="8">
        <f>0</f>
        <v>0</v>
      </c>
      <c r="Y25" s="6"/>
      <c r="Z25" s="109"/>
      <c r="AA25" s="110"/>
      <c r="AB25" s="110"/>
      <c r="AC25" s="110"/>
      <c r="AD25" s="110"/>
      <c r="AE25" s="110"/>
      <c r="AF25" s="110"/>
      <c r="AG25" s="110"/>
      <c r="AH25" s="110"/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0"/>
      <c r="AT25" s="110"/>
    </row>
    <row r="26" spans="1:46" ht="15.75" thickBot="1" x14ac:dyDescent="0.3">
      <c r="B26" s="19" t="s">
        <v>75</v>
      </c>
      <c r="C26" s="6"/>
      <c r="E26" s="17" t="s">
        <v>45</v>
      </c>
      <c r="F26" s="6"/>
      <c r="G26" s="24"/>
      <c r="H26" s="4">
        <f t="shared" ref="H26:X26" si="2">H7/$X$7</f>
        <v>7.0878172863681301E-4</v>
      </c>
      <c r="I26" s="4">
        <f t="shared" si="2"/>
        <v>1.1813028810613551E-3</v>
      </c>
      <c r="J26" s="4">
        <f t="shared" si="2"/>
        <v>9.4504230484908393E-3</v>
      </c>
      <c r="K26" s="4">
        <f t="shared" si="2"/>
        <v>1.8924565042470826E-2</v>
      </c>
      <c r="L26" s="4">
        <f t="shared" si="2"/>
        <v>0.04</v>
      </c>
      <c r="M26" s="4">
        <f t="shared" si="2"/>
        <v>0.06</v>
      </c>
      <c r="N26" s="4">
        <f t="shared" si="2"/>
        <v>0.08</v>
      </c>
      <c r="O26" s="4">
        <f t="shared" si="2"/>
        <v>0.1</v>
      </c>
      <c r="P26" s="4">
        <f t="shared" si="2"/>
        <v>0.2</v>
      </c>
      <c r="Q26" s="4">
        <f t="shared" si="2"/>
        <v>0.3</v>
      </c>
      <c r="R26" s="4">
        <f t="shared" si="2"/>
        <v>0.4</v>
      </c>
      <c r="S26" s="26">
        <f t="shared" si="2"/>
        <v>0.45</v>
      </c>
      <c r="T26" s="26">
        <f t="shared" si="2"/>
        <v>0.5</v>
      </c>
      <c r="U26" s="4">
        <f t="shared" si="2"/>
        <v>0.75</v>
      </c>
      <c r="V26" s="4">
        <f t="shared" si="2"/>
        <v>0.8</v>
      </c>
      <c r="W26" s="4">
        <f t="shared" si="2"/>
        <v>0.95</v>
      </c>
      <c r="X26" s="4">
        <f t="shared" si="2"/>
        <v>1</v>
      </c>
      <c r="Y26" s="6"/>
      <c r="Z26" s="109"/>
      <c r="AA26" s="110"/>
      <c r="AB26" s="110"/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</row>
    <row r="27" spans="1:46" x14ac:dyDescent="0.25">
      <c r="B27" s="6" t="s">
        <v>55</v>
      </c>
      <c r="C27" s="105">
        <v>217</v>
      </c>
      <c r="E27" s="6"/>
      <c r="F27" s="6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6"/>
    </row>
    <row r="28" spans="1:46" ht="15.75" thickBot="1" x14ac:dyDescent="0.3">
      <c r="B28" s="6" t="s">
        <v>66</v>
      </c>
      <c r="C28" s="128">
        <v>150</v>
      </c>
      <c r="E28" s="6"/>
      <c r="F28" s="6" t="s">
        <v>47</v>
      </c>
      <c r="G28" s="78"/>
      <c r="H28" s="78">
        <v>33</v>
      </c>
      <c r="I28" s="78">
        <v>25</v>
      </c>
      <c r="J28" s="78">
        <v>22</v>
      </c>
      <c r="K28" s="78">
        <v>18</v>
      </c>
      <c r="L28" s="78">
        <v>10</v>
      </c>
      <c r="M28" s="78">
        <v>8</v>
      </c>
      <c r="N28" s="78">
        <v>7</v>
      </c>
      <c r="O28" s="78">
        <v>7</v>
      </c>
      <c r="P28" s="78">
        <v>6</v>
      </c>
      <c r="Q28" s="78">
        <v>5</v>
      </c>
      <c r="R28" s="78">
        <v>4</v>
      </c>
      <c r="S28" s="78">
        <v>3</v>
      </c>
      <c r="T28" s="78">
        <v>1</v>
      </c>
      <c r="U28" s="78">
        <v>1</v>
      </c>
      <c r="V28" s="78">
        <v>0</v>
      </c>
      <c r="W28" s="78">
        <v>0</v>
      </c>
      <c r="X28" s="78">
        <v>0</v>
      </c>
      <c r="Y28" s="6"/>
    </row>
    <row r="29" spans="1:46" x14ac:dyDescent="0.25">
      <c r="B29" s="20" t="s">
        <v>65</v>
      </c>
      <c r="C29" s="124">
        <v>3.0000000000000001E-3</v>
      </c>
      <c r="E29" s="6"/>
      <c r="F29" s="6" t="s">
        <v>48</v>
      </c>
      <c r="G29" s="80">
        <f t="shared" ref="G29:X29" si="3">G24</f>
        <v>5.3461207184555271E-2</v>
      </c>
      <c r="H29" s="80">
        <f t="shared" si="3"/>
        <v>5.3465150803688077E-2</v>
      </c>
      <c r="I29" s="80">
        <f t="shared" si="3"/>
        <v>5.3472941908790927E-2</v>
      </c>
      <c r="J29" s="80">
        <f t="shared" si="3"/>
        <v>5.3609295447824667E-2</v>
      </c>
      <c r="K29" s="80">
        <f t="shared" si="3"/>
        <v>5.3765540573729398E-2</v>
      </c>
      <c r="L29" s="80">
        <f t="shared" si="3"/>
        <v>5.4113193222252054E-2</v>
      </c>
      <c r="M29" s="80">
        <f t="shared" si="3"/>
        <v>5.4443210501964767E-2</v>
      </c>
      <c r="N29" s="80">
        <f t="shared" si="3"/>
        <v>5.4773329686295114E-2</v>
      </c>
      <c r="O29" s="80">
        <f t="shared" si="3"/>
        <v>5.5103550806279822E-2</v>
      </c>
      <c r="P29" s="80">
        <f t="shared" si="3"/>
        <v>5.6756186527699315E-2</v>
      </c>
      <c r="Q29" s="80">
        <f t="shared" si="3"/>
        <v>5.8411375300202018E-2</v>
      </c>
      <c r="R29" s="80">
        <f t="shared" si="3"/>
        <v>6.0069121012986004E-2</v>
      </c>
      <c r="S29" s="80">
        <f t="shared" si="3"/>
        <v>6.0898953938950839E-2</v>
      </c>
      <c r="T29" s="80">
        <f t="shared" si="3"/>
        <v>6.1729427561071137E-2</v>
      </c>
      <c r="U29" s="80">
        <f t="shared" si="3"/>
        <v>6.5891423199618382E-2</v>
      </c>
      <c r="V29" s="80">
        <f t="shared" si="3"/>
        <v>6.6725751255154897E-2</v>
      </c>
      <c r="W29" s="80">
        <f t="shared" si="3"/>
        <v>6.9232602094015938E-2</v>
      </c>
      <c r="X29" s="77">
        <f t="shared" si="3"/>
        <v>7.0069509566803356E-2</v>
      </c>
      <c r="Y29" s="6"/>
    </row>
    <row r="30" spans="1:46" x14ac:dyDescent="0.25">
      <c r="B30" t="s">
        <v>67</v>
      </c>
      <c r="C30" s="48">
        <v>0.2</v>
      </c>
      <c r="E30" s="6"/>
      <c r="F30" s="6" t="s">
        <v>46</v>
      </c>
      <c r="G30" s="79">
        <v>0</v>
      </c>
      <c r="H30" s="81">
        <f t="shared" ref="H30:X30" si="4">H7</f>
        <v>150931.57994213203</v>
      </c>
      <c r="I30" s="81">
        <f t="shared" si="4"/>
        <v>251552.63323688676</v>
      </c>
      <c r="J30" s="81">
        <f t="shared" si="4"/>
        <v>2012421.0658950936</v>
      </c>
      <c r="K30" s="81">
        <f t="shared" si="4"/>
        <v>4029892.9644691329</v>
      </c>
      <c r="L30" s="81">
        <f t="shared" si="4"/>
        <v>8517803.0891070515</v>
      </c>
      <c r="M30" s="81">
        <f t="shared" si="4"/>
        <v>12776704.633660575</v>
      </c>
      <c r="N30" s="81">
        <f t="shared" si="4"/>
        <v>17035606.178214103</v>
      </c>
      <c r="O30" s="81">
        <f t="shared" si="4"/>
        <v>21294507.722767629</v>
      </c>
      <c r="P30" s="81">
        <f t="shared" si="4"/>
        <v>42589015.445535257</v>
      </c>
      <c r="Q30" s="81">
        <f t="shared" si="4"/>
        <v>63883523.168302879</v>
      </c>
      <c r="R30" s="81">
        <f t="shared" si="4"/>
        <v>85178030.891070515</v>
      </c>
      <c r="S30" s="81">
        <f t="shared" si="4"/>
        <v>95825284.752454326</v>
      </c>
      <c r="T30" s="81">
        <f t="shared" si="4"/>
        <v>106472538.61383814</v>
      </c>
      <c r="U30" s="81">
        <f t="shared" si="4"/>
        <v>159708807.9207572</v>
      </c>
      <c r="V30" s="81">
        <f t="shared" si="4"/>
        <v>170356061.78214103</v>
      </c>
      <c r="W30" s="81">
        <f t="shared" si="4"/>
        <v>202297823.36629245</v>
      </c>
      <c r="X30" s="81">
        <f t="shared" si="4"/>
        <v>212945077.22767627</v>
      </c>
      <c r="Y30" s="6"/>
    </row>
    <row r="31" spans="1:46" x14ac:dyDescent="0.25">
      <c r="B31" s="21" t="s">
        <v>24</v>
      </c>
      <c r="C31" s="49">
        <v>5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46" x14ac:dyDescent="0.25">
      <c r="B32" s="21" t="s">
        <v>43</v>
      </c>
      <c r="C32" s="50">
        <f>CHOOSE(C27,,,,,,,,,,,,,,,,,,,,,,,,,,,,,,,,,,,,,,,,,,,,,,,,,,,,,,,,,,,,,,,,,,,,,,,,,,,,,,,,,,,,,,,,,,,,,,,,,,,,,,,,,,,,,,,,,,,,,,,,,,,,,,,,,,,,,,,,,,,,,,,,,,,,,,,,,,,,,,,,,,,,,,,,,,,,,,,,,,,,,,,,,,,,,,,,,,,,,,,,,,,,,,,,,,,,C51,C52,C53,C54,C55,C56,C57,C58,C59,C60,C61,C62,C63,C64,C65,C66,C67,C68,C69)</f>
        <v>31941761584.15144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82"/>
    </row>
    <row r="33" spans="2:26" x14ac:dyDescent="0.25">
      <c r="B33" s="21" t="s">
        <v>32</v>
      </c>
      <c r="C33" s="219">
        <f>staked_ada/total_supply</f>
        <v>0.46240405248433258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2:26" x14ac:dyDescent="0.25">
      <c r="B34" s="21" t="s">
        <v>49</v>
      </c>
      <c r="C34" s="30">
        <f>SKY!H10</f>
        <v>14770000000</v>
      </c>
      <c r="E34" s="17" t="s">
        <v>55</v>
      </c>
      <c r="F34" s="31">
        <f>$C$27</f>
        <v>217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2:26" x14ac:dyDescent="0.25">
      <c r="B35" s="6" t="s">
        <v>101</v>
      </c>
      <c r="C35" s="29">
        <f>CHOOSE(C27,,,,,,,,,,,,,,,,,,,,,,,,,,,,,,,,,,,,,,,,,,,,,,,,,,,,,,,,,,,,,,,,,,,,,,,,,,,,,,,,,,,,,,,,,,,,,,,,,,,,,,,,,,,,,,,,,,,,,,,,,,,,,,,,,,,,,,,,,,,,,,,,,,,,,,,,,,,,,,,,,,,,,,,,,,,,,,,,,,,,,,,,,,,,,,,,,,,,,,,,,,,,,,,,,,,,C72,C73,C74,C75,C76,C77,C78,C79,C80,C81,C82,C83,C84,C85,C86,C87,C88,C89,C90)</f>
        <v>39076029.146721765</v>
      </c>
      <c r="E35" s="17" t="s">
        <v>72</v>
      </c>
      <c r="F35" s="71">
        <f>$C$39</f>
        <v>9.5000000000000001E-2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2:26" x14ac:dyDescent="0.25">
      <c r="B36" s="6" t="s">
        <v>25</v>
      </c>
      <c r="C36" s="29">
        <f>C12 * C32</f>
        <v>212945077.22767627</v>
      </c>
      <c r="E36" s="17" t="s">
        <v>71</v>
      </c>
      <c r="F36" s="72">
        <f>$C$41</f>
        <v>0.05</v>
      </c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6"/>
    </row>
    <row r="37" spans="2:26" ht="15.75" thickBot="1" x14ac:dyDescent="0.3">
      <c r="B37" s="6"/>
      <c r="C37" s="6"/>
      <c r="E37" s="17" t="s">
        <v>46</v>
      </c>
      <c r="F37" s="102">
        <f>$C$42</f>
        <v>250000</v>
      </c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6"/>
    </row>
    <row r="38" spans="2:26" x14ac:dyDescent="0.25">
      <c r="B38" t="s">
        <v>53</v>
      </c>
      <c r="C38" s="68">
        <v>340</v>
      </c>
      <c r="E38" s="94" t="s">
        <v>87</v>
      </c>
      <c r="F38" s="103">
        <f>$C$28</f>
        <v>150</v>
      </c>
      <c r="G38" s="294" t="s">
        <v>76</v>
      </c>
      <c r="H38" s="295"/>
      <c r="I38" s="295"/>
      <c r="J38" s="295"/>
      <c r="K38" s="295"/>
      <c r="L38" s="295"/>
      <c r="M38" s="295"/>
      <c r="N38" s="295"/>
      <c r="O38" s="295"/>
      <c r="P38" s="295"/>
      <c r="Q38" s="295"/>
      <c r="R38" s="295"/>
      <c r="S38" s="295"/>
      <c r="T38" s="295"/>
      <c r="U38" s="295"/>
      <c r="V38" s="295"/>
      <c r="W38" s="295"/>
      <c r="X38" s="295"/>
      <c r="Y38" s="6"/>
    </row>
    <row r="39" spans="2:26" x14ac:dyDescent="0.25">
      <c r="B39" s="20" t="s">
        <v>33</v>
      </c>
      <c r="C39" s="127">
        <v>9.5000000000000001E-2</v>
      </c>
      <c r="E39" s="296" t="s">
        <v>64</v>
      </c>
      <c r="F39" s="299" t="s">
        <v>120</v>
      </c>
      <c r="G39" s="299"/>
      <c r="H39" s="299"/>
      <c r="I39" s="299"/>
      <c r="J39" s="299"/>
      <c r="K39" s="299"/>
      <c r="L39" s="299"/>
      <c r="M39" s="299"/>
      <c r="N39" s="299"/>
      <c r="O39" s="299"/>
      <c r="P39" s="299"/>
      <c r="Q39" s="299"/>
      <c r="R39" s="299"/>
      <c r="S39" s="299"/>
      <c r="T39" s="299"/>
      <c r="U39" s="299"/>
      <c r="V39" s="299"/>
      <c r="W39" s="299"/>
      <c r="X39" s="300"/>
      <c r="Y39" s="6"/>
    </row>
    <row r="40" spans="2:26" x14ac:dyDescent="0.25">
      <c r="B40" s="22" t="s">
        <v>61</v>
      </c>
      <c r="C40" s="69">
        <v>1</v>
      </c>
      <c r="E40" s="297"/>
      <c r="F40" s="9">
        <f>C47</f>
        <v>5.6493272596603417E-2</v>
      </c>
      <c r="G40" s="10">
        <v>150</v>
      </c>
      <c r="H40" s="10">
        <v>175</v>
      </c>
      <c r="I40" s="10">
        <v>200</v>
      </c>
      <c r="J40" s="10">
        <v>225</v>
      </c>
      <c r="K40" s="10">
        <v>250</v>
      </c>
      <c r="L40" s="10">
        <v>275</v>
      </c>
      <c r="M40" s="10">
        <v>300</v>
      </c>
      <c r="N40" s="10">
        <v>325</v>
      </c>
      <c r="O40" s="10">
        <v>350</v>
      </c>
      <c r="P40" s="10">
        <v>375</v>
      </c>
      <c r="Q40" s="10">
        <v>400</v>
      </c>
      <c r="R40" s="10">
        <v>450</v>
      </c>
      <c r="S40" s="10">
        <v>500</v>
      </c>
      <c r="T40" s="10">
        <v>600</v>
      </c>
      <c r="U40" s="10">
        <v>700</v>
      </c>
      <c r="V40" s="10">
        <v>800</v>
      </c>
      <c r="W40" s="10">
        <v>900</v>
      </c>
      <c r="X40" s="11">
        <v>1000</v>
      </c>
      <c r="Y40" s="6"/>
    </row>
    <row r="41" spans="2:26" x14ac:dyDescent="0.25">
      <c r="B41" s="20" t="s">
        <v>34</v>
      </c>
      <c r="C41" s="69">
        <v>0.05</v>
      </c>
      <c r="E41" s="297"/>
      <c r="F41" s="12">
        <v>500000</v>
      </c>
      <c r="G41" s="13">
        <f t="dataTable" ref="G41:X57" dt2D="1" dtr="1" r1="C28" r2="C42" ca="1"/>
        <v>5.6512988823944177E-2</v>
      </c>
      <c r="H41" s="13">
        <v>5.6519659420046775E-2</v>
      </c>
      <c r="I41" s="41">
        <v>5.6526335388950466E-2</v>
      </c>
      <c r="J41" s="41">
        <v>5.6533016730735408E-2</v>
      </c>
      <c r="K41" s="41">
        <v>5.6539703445467993E-2</v>
      </c>
      <c r="L41" s="41">
        <v>5.6546395533289662E-2</v>
      </c>
      <c r="M41" s="41">
        <v>5.6553092994277021E-2</v>
      </c>
      <c r="N41" s="41">
        <v>5.6559795828551973E-2</v>
      </c>
      <c r="O41" s="41">
        <v>5.656650403620378E-2</v>
      </c>
      <c r="P41" s="41">
        <v>5.6573217617315041E-2</v>
      </c>
      <c r="Q41" s="41">
        <v>5.6579936572015432E-2</v>
      </c>
      <c r="R41" s="41">
        <v>5.6593390602531324E-2</v>
      </c>
      <c r="S41" s="41">
        <v>5.6606866128569022E-2</v>
      </c>
      <c r="T41" s="41">
        <v>5.6633881670412167E-2</v>
      </c>
      <c r="U41" s="41">
        <v>5.6660983204005255E-2</v>
      </c>
      <c r="V41" s="41">
        <v>5.6688170735831545E-2</v>
      </c>
      <c r="W41" s="41">
        <v>5.671544427242603E-2</v>
      </c>
      <c r="X41" s="42">
        <v>5.6742803820306387E-2</v>
      </c>
      <c r="Y41" s="6"/>
    </row>
    <row r="42" spans="2:26" x14ac:dyDescent="0.25">
      <c r="B42" s="6" t="s">
        <v>30</v>
      </c>
      <c r="C42" s="70">
        <v>250000</v>
      </c>
      <c r="E42" s="297"/>
      <c r="F42" s="12">
        <v>1000000</v>
      </c>
      <c r="G42" s="13">
        <v>5.6550986275335946E-2</v>
      </c>
      <c r="H42" s="13">
        <v>5.6564046167063342E-2</v>
      </c>
      <c r="I42" s="41">
        <v>5.6577127543956385E-2</v>
      </c>
      <c r="J42" s="41">
        <v>5.6590230406804665E-2</v>
      </c>
      <c r="K42" s="41">
        <v>5.6603354756380231E-2</v>
      </c>
      <c r="L42" s="41">
        <v>5.6616500593489771E-2</v>
      </c>
      <c r="M42" s="41">
        <v>5.662966791891022E-2</v>
      </c>
      <c r="N42" s="41">
        <v>5.6642856733407188E-2</v>
      </c>
      <c r="O42" s="41">
        <v>5.6656067037817559E-2</v>
      </c>
      <c r="P42" s="41">
        <v>5.6669298832905834E-2</v>
      </c>
      <c r="Q42" s="41">
        <v>5.6682552119470042E-2</v>
      </c>
      <c r="R42" s="41">
        <v>5.6709123170166631E-2</v>
      </c>
      <c r="S42" s="41">
        <v>5.6735780196291108E-2</v>
      </c>
      <c r="T42" s="41">
        <v>5.6789352200382837E-2</v>
      </c>
      <c r="U42" s="41">
        <v>5.6843268183041529E-2</v>
      </c>
      <c r="V42" s="41">
        <v>5.6897528195956948E-2</v>
      </c>
      <c r="W42" s="41">
        <v>5.6952132291099966E-2</v>
      </c>
      <c r="X42" s="42">
        <v>5.7007080520764308E-2</v>
      </c>
      <c r="Y42" s="6"/>
    </row>
    <row r="43" spans="2:26" ht="15.75" thickBot="1" x14ac:dyDescent="0.3">
      <c r="B43" s="6" t="s">
        <v>29</v>
      </c>
      <c r="C43" s="131">
        <v>19400000</v>
      </c>
      <c r="E43" s="297"/>
      <c r="F43" s="12">
        <v>1500000</v>
      </c>
      <c r="G43" s="13">
        <v>5.6587070220383007E-2</v>
      </c>
      <c r="H43" s="13">
        <v>5.6606238037923751E-2</v>
      </c>
      <c r="I43" s="41">
        <v>5.6625454183975243E-2</v>
      </c>
      <c r="J43" s="41">
        <v>5.6644718661128746E-2</v>
      </c>
      <c r="K43" s="41">
        <v>5.6664031471983289E-2</v>
      </c>
      <c r="L43" s="41">
        <v>5.6683392619125472E-2</v>
      </c>
      <c r="M43" s="41">
        <v>5.6702802105198957E-2</v>
      </c>
      <c r="N43" s="41">
        <v>5.6722259932789232E-2</v>
      </c>
      <c r="O43" s="41">
        <v>5.6741766104514424E-2</v>
      </c>
      <c r="P43" s="41">
        <v>5.6761320623014422E-2</v>
      </c>
      <c r="Q43" s="41">
        <v>5.6780923490918234E-2</v>
      </c>
      <c r="R43" s="41">
        <v>5.6820274285511285E-2</v>
      </c>
      <c r="S43" s="41">
        <v>5.685981850950661E-2</v>
      </c>
      <c r="T43" s="41">
        <v>5.6939487331010952E-2</v>
      </c>
      <c r="U43" s="41">
        <v>5.7019930127133911E-2</v>
      </c>
      <c r="V43" s="41">
        <v>5.710114707132119E-2</v>
      </c>
      <c r="W43" s="41">
        <v>5.7183138338598782E-2</v>
      </c>
      <c r="X43" s="42">
        <v>5.7265904105741949E-2</v>
      </c>
      <c r="Y43" s="6"/>
      <c r="Z43" s="31"/>
    </row>
    <row r="44" spans="2:26" ht="15" customHeight="1" x14ac:dyDescent="0.25">
      <c r="B44" s="6" t="s">
        <v>70</v>
      </c>
      <c r="C44" s="2">
        <f>C23 * C35 * (1-C30) *C40</f>
        <v>14610.02866112493</v>
      </c>
      <c r="E44" s="297"/>
      <c r="F44" s="12">
        <v>3000000</v>
      </c>
      <c r="G44" s="13">
        <v>5.6683839134054281E-2</v>
      </c>
      <c r="H44" s="13">
        <v>5.67196418662268E-2</v>
      </c>
      <c r="I44" s="41">
        <v>5.6755637760369737E-2</v>
      </c>
      <c r="J44" s="41">
        <v>5.6791826835872694E-2</v>
      </c>
      <c r="K44" s="41">
        <v>5.6828209112226746E-2</v>
      </c>
      <c r="L44" s="41">
        <v>5.6864784609035546E-2</v>
      </c>
      <c r="M44" s="41">
        <v>5.6901553346001998E-2</v>
      </c>
      <c r="N44" s="41">
        <v>5.6938515342905616E-2</v>
      </c>
      <c r="O44" s="41">
        <v>5.6975670619691554E-2</v>
      </c>
      <c r="P44" s="41">
        <v>5.7013019196350712E-2</v>
      </c>
      <c r="Q44" s="41">
        <v>5.7050561093004548E-2</v>
      </c>
      <c r="R44" s="41">
        <v>5.7126224927341651E-2</v>
      </c>
      <c r="S44" s="41">
        <v>5.7202662285734229E-2</v>
      </c>
      <c r="T44" s="41">
        <v>5.7357858235269843E-2</v>
      </c>
      <c r="U44" s="41">
        <v>5.751615027947321E-2</v>
      </c>
      <c r="V44" s="41">
        <v>5.7677539783078657E-2</v>
      </c>
      <c r="W44" s="41">
        <v>5.7842028137610857E-2</v>
      </c>
      <c r="X44" s="42">
        <v>5.800961676150318E-2</v>
      </c>
      <c r="Y44" s="6"/>
      <c r="Z44" s="31"/>
    </row>
    <row r="45" spans="2:26" x14ac:dyDescent="0.25">
      <c r="B45" s="22" t="s">
        <v>157</v>
      </c>
      <c r="C45" s="180">
        <f>fixed_opex+pool_rewards_AT*performance_fee</f>
        <v>1070.5014330562467</v>
      </c>
      <c r="D45" s="18"/>
      <c r="E45" s="297"/>
      <c r="F45" s="12">
        <v>5000000</v>
      </c>
      <c r="G45" s="13">
        <v>5.6786064699667627E-2</v>
      </c>
      <c r="H45" s="13">
        <v>5.6840104505653244E-2</v>
      </c>
      <c r="I45" s="41">
        <v>5.6894680343831494E-2</v>
      </c>
      <c r="J45" s="41">
        <v>5.694979229582775E-2</v>
      </c>
      <c r="K45" s="41">
        <v>5.700544044403566E-2</v>
      </c>
      <c r="L45" s="41">
        <v>5.7061624871736383E-2</v>
      </c>
      <c r="M45" s="41">
        <v>5.7118345662932501E-2</v>
      </c>
      <c r="N45" s="41">
        <v>5.7175602902473699E-2</v>
      </c>
      <c r="O45" s="41">
        <v>5.723339667603855E-2</v>
      </c>
      <c r="P45" s="41">
        <v>5.7291727070046594E-2</v>
      </c>
      <c r="Q45" s="41">
        <v>5.7350594171773128E-2</v>
      </c>
      <c r="R45" s="41">
        <v>5.7469938851445246E-2</v>
      </c>
      <c r="S45" s="41">
        <v>5.7591431429280249E-2</v>
      </c>
      <c r="T45" s="41">
        <v>5.7840863200721682E-2</v>
      </c>
      <c r="U45" s="41">
        <v>5.8098895458079225E-2</v>
      </c>
      <c r="V45" s="41">
        <v>5.836553438005776E-2</v>
      </c>
      <c r="W45" s="41">
        <v>5.8640786352561314E-2</v>
      </c>
      <c r="X45" s="42">
        <v>5.8924657968782324E-2</v>
      </c>
      <c r="Y45" s="6"/>
      <c r="Z45" s="31"/>
    </row>
    <row r="46" spans="2:26" ht="15.75" thickBot="1" x14ac:dyDescent="0.3">
      <c r="B46" s="22" t="s">
        <v>158</v>
      </c>
      <c r="C46" s="180">
        <f>pool_rewards_AT-C45</f>
        <v>13539.527228068684</v>
      </c>
      <c r="D46" s="18"/>
      <c r="E46" s="297"/>
      <c r="F46" s="12">
        <v>10000000</v>
      </c>
      <c r="G46" s="13">
        <v>5.6907583122055794E-2</v>
      </c>
      <c r="H46" s="13">
        <v>5.6987484680317113E-2</v>
      </c>
      <c r="I46" s="41">
        <v>5.7069525769467111E-2</v>
      </c>
      <c r="J46" s="41">
        <v>5.7153706879958577E-2</v>
      </c>
      <c r="K46" s="41">
        <v>5.724002851499943E-2</v>
      </c>
      <c r="L46" s="41">
        <v>5.7328491190698383E-2</v>
      </c>
      <c r="M46" s="41">
        <v>5.7419095435965906E-2</v>
      </c>
      <c r="N46" s="41">
        <v>5.7511841792564411E-2</v>
      </c>
      <c r="O46" s="41">
        <v>5.7606730815038976E-2</v>
      </c>
      <c r="P46" s="41">
        <v>5.7703763070857672E-2</v>
      </c>
      <c r="Q46" s="41">
        <v>5.7802939140274789E-2</v>
      </c>
      <c r="R46" s="41">
        <v>5.8007725105290842E-2</v>
      </c>
      <c r="S46" s="41">
        <v>5.8221093609525987E-2</v>
      </c>
      <c r="T46" s="41">
        <v>5.8673598863463239E-2</v>
      </c>
      <c r="U46" s="41">
        <v>5.916049822067837E-2</v>
      </c>
      <c r="V46" s="41">
        <v>5.9681838305390533E-2</v>
      </c>
      <c r="W46" s="41">
        <v>6.023766905483896E-2</v>
      </c>
      <c r="X46" s="42">
        <v>6.0828043727131798E-2</v>
      </c>
      <c r="Y46" s="6"/>
      <c r="Z46" s="31"/>
    </row>
    <row r="47" spans="2:26" x14ac:dyDescent="0.25">
      <c r="B47" s="37" t="s">
        <v>51</v>
      </c>
      <c r="C47" s="66">
        <f>(1+C44 /(C43*(C43&gt;=C42)) ) ^ 73 -1</f>
        <v>5.6493272596603417E-2</v>
      </c>
      <c r="D47" s="18"/>
      <c r="E47" s="297"/>
      <c r="F47" s="12">
        <v>15000000</v>
      </c>
      <c r="G47" s="13">
        <v>5.6837568181236753E-2</v>
      </c>
      <c r="H47" s="13">
        <v>5.6915127943147903E-2</v>
      </c>
      <c r="I47" s="41">
        <v>5.6997493529976184E-2</v>
      </c>
      <c r="J47" s="41">
        <v>5.7084666049006749E-2</v>
      </c>
      <c r="K47" s="41">
        <v>5.7176646672169928E-2</v>
      </c>
      <c r="L47" s="41">
        <v>5.7273436636138042E-2</v>
      </c>
      <c r="M47" s="41">
        <v>5.7375037242289206E-2</v>
      </c>
      <c r="N47" s="41">
        <v>5.748144985679815E-2</v>
      </c>
      <c r="O47" s="41">
        <v>5.7592675910570934E-2</v>
      </c>
      <c r="P47" s="41">
        <v>5.7708716899440127E-2</v>
      </c>
      <c r="Q47" s="41">
        <v>5.782957438397629E-2</v>
      </c>
      <c r="R47" s="41">
        <v>5.8085745407174372E-2</v>
      </c>
      <c r="S47" s="41">
        <v>5.8361202763716813E-2</v>
      </c>
      <c r="T47" s="41">
        <v>5.8970036812685978E-2</v>
      </c>
      <c r="U47" s="41">
        <v>5.9656207625108371E-2</v>
      </c>
      <c r="V47" s="41">
        <v>6.0419863004641527E-2</v>
      </c>
      <c r="W47" s="41">
        <v>6.1261167516625026E-2</v>
      </c>
      <c r="X47" s="42">
        <v>6.2180302546422928E-2</v>
      </c>
      <c r="Y47" s="6"/>
      <c r="Z47" s="31"/>
    </row>
    <row r="48" spans="2:26" x14ac:dyDescent="0.25">
      <c r="B48" s="38" t="s">
        <v>52</v>
      </c>
      <c r="C48" s="67">
        <f>(C46/$C$43 +1)^ 73 -1</f>
        <v>5.2249165140167309E-2</v>
      </c>
      <c r="D48" s="18"/>
      <c r="E48" s="297"/>
      <c r="F48" s="12">
        <v>20000000</v>
      </c>
      <c r="G48" s="13" t="e">
        <v>#DIV/0!</v>
      </c>
      <c r="H48" s="13" t="e">
        <v>#DIV/0!</v>
      </c>
      <c r="I48" s="13" t="e">
        <v>#DIV/0!</v>
      </c>
      <c r="J48" s="13" t="e">
        <v>#DIV/0!</v>
      </c>
      <c r="K48" s="13" t="e">
        <v>#DIV/0!</v>
      </c>
      <c r="L48" s="13" t="e">
        <v>#DIV/0!</v>
      </c>
      <c r="M48" s="13" t="e">
        <v>#DIV/0!</v>
      </c>
      <c r="N48" s="13" t="e">
        <v>#DIV/0!</v>
      </c>
      <c r="O48" s="13" t="e">
        <v>#DIV/0!</v>
      </c>
      <c r="P48" s="13" t="e">
        <v>#DIV/0!</v>
      </c>
      <c r="Q48" s="13" t="e">
        <v>#DIV/0!</v>
      </c>
      <c r="R48" s="13" t="e">
        <v>#DIV/0!</v>
      </c>
      <c r="S48" s="13" t="e">
        <v>#DIV/0!</v>
      </c>
      <c r="T48" s="13" t="e">
        <v>#DIV/0!</v>
      </c>
      <c r="U48" s="13" t="e">
        <v>#DIV/0!</v>
      </c>
      <c r="V48" s="13" t="e">
        <v>#DIV/0!</v>
      </c>
      <c r="W48" s="13" t="e">
        <v>#DIV/0!</v>
      </c>
      <c r="X48" s="16" t="e">
        <v>#DIV/0!</v>
      </c>
      <c r="Y48" s="6"/>
      <c r="Z48" s="31"/>
    </row>
    <row r="49" spans="1:26" ht="15.75" thickBot="1" x14ac:dyDescent="0.3">
      <c r="B49" s="39" t="s">
        <v>94</v>
      </c>
      <c r="C49" s="40">
        <f>C47-C48</f>
        <v>4.2441074564361081E-3</v>
      </c>
      <c r="D49" s="18"/>
      <c r="E49" s="297"/>
      <c r="F49" s="12">
        <v>32000000</v>
      </c>
      <c r="G49" s="13" t="e">
        <v>#DIV/0!</v>
      </c>
      <c r="H49" s="13" t="e">
        <v>#DIV/0!</v>
      </c>
      <c r="I49" s="13" t="e">
        <v>#DIV/0!</v>
      </c>
      <c r="J49" s="13" t="e">
        <v>#DIV/0!</v>
      </c>
      <c r="K49" s="13" t="e">
        <v>#DIV/0!</v>
      </c>
      <c r="L49" s="13" t="e">
        <v>#DIV/0!</v>
      </c>
      <c r="M49" s="13" t="e">
        <v>#DIV/0!</v>
      </c>
      <c r="N49" s="13" t="e">
        <v>#DIV/0!</v>
      </c>
      <c r="O49" s="13" t="e">
        <v>#DIV/0!</v>
      </c>
      <c r="P49" s="13" t="e">
        <v>#DIV/0!</v>
      </c>
      <c r="Q49" s="13" t="e">
        <v>#DIV/0!</v>
      </c>
      <c r="R49" s="13" t="e">
        <v>#DIV/0!</v>
      </c>
      <c r="S49" s="13" t="e">
        <v>#DIV/0!</v>
      </c>
      <c r="T49" s="13" t="e">
        <v>#DIV/0!</v>
      </c>
      <c r="U49" s="13" t="e">
        <v>#DIV/0!</v>
      </c>
      <c r="V49" s="13" t="e">
        <v>#DIV/0!</v>
      </c>
      <c r="W49" s="13" t="e">
        <v>#DIV/0!</v>
      </c>
      <c r="X49" s="46" t="e">
        <v>#DIV/0!</v>
      </c>
      <c r="Y49" s="6"/>
      <c r="Z49" s="31"/>
    </row>
    <row r="50" spans="1:26" x14ac:dyDescent="0.25">
      <c r="B50" s="17" t="s">
        <v>68</v>
      </c>
      <c r="C50" s="203"/>
      <c r="E50" s="297"/>
      <c r="F50" s="12">
        <v>50000000</v>
      </c>
      <c r="G50" s="13" t="e">
        <v>#DIV/0!</v>
      </c>
      <c r="H50" s="13" t="e">
        <v>#DIV/0!</v>
      </c>
      <c r="I50" s="13" t="e">
        <v>#DIV/0!</v>
      </c>
      <c r="J50" s="13" t="e">
        <v>#DIV/0!</v>
      </c>
      <c r="K50" s="13" t="e">
        <v>#DIV/0!</v>
      </c>
      <c r="L50" s="13" t="e">
        <v>#DIV/0!</v>
      </c>
      <c r="M50" s="13" t="e">
        <v>#DIV/0!</v>
      </c>
      <c r="N50" s="13" t="e">
        <v>#DIV/0!</v>
      </c>
      <c r="O50" s="13" t="e">
        <v>#DIV/0!</v>
      </c>
      <c r="P50" s="13" t="e">
        <v>#DIV/0!</v>
      </c>
      <c r="Q50" s="13" t="e">
        <v>#DIV/0!</v>
      </c>
      <c r="R50" s="13" t="e">
        <v>#DIV/0!</v>
      </c>
      <c r="S50" s="13" t="e">
        <v>#DIV/0!</v>
      </c>
      <c r="T50" s="13" t="e">
        <v>#DIV/0!</v>
      </c>
      <c r="U50" s="43" t="e">
        <v>#DIV/0!</v>
      </c>
      <c r="V50" s="43" t="e">
        <v>#DIV/0!</v>
      </c>
      <c r="W50" s="43" t="e">
        <v>#DIV/0!</v>
      </c>
      <c r="X50" s="46" t="e">
        <v>#DIV/0!</v>
      </c>
      <c r="Y50" s="6"/>
      <c r="Z50" s="31"/>
    </row>
    <row r="51" spans="1:26" x14ac:dyDescent="0.25">
      <c r="A51" s="6">
        <v>212</v>
      </c>
      <c r="B51" s="47" t="s">
        <v>122</v>
      </c>
      <c r="C51" s="204">
        <f>SKY!E5</f>
        <v>31744610633.902542</v>
      </c>
      <c r="E51" s="297"/>
      <c r="F51" s="12">
        <v>76000000</v>
      </c>
      <c r="G51" s="13" t="e">
        <v>#DIV/0!</v>
      </c>
      <c r="H51" s="13" t="e">
        <v>#DIV/0!</v>
      </c>
      <c r="I51" s="13" t="e">
        <v>#DIV/0!</v>
      </c>
      <c r="J51" s="13" t="e">
        <v>#DIV/0!</v>
      </c>
      <c r="K51" s="13" t="e">
        <v>#DIV/0!</v>
      </c>
      <c r="L51" s="13" t="e">
        <v>#DIV/0!</v>
      </c>
      <c r="M51" s="13" t="e">
        <v>#DIV/0!</v>
      </c>
      <c r="N51" s="13" t="e">
        <v>#DIV/0!</v>
      </c>
      <c r="O51" s="13" t="e">
        <v>#DIV/0!</v>
      </c>
      <c r="P51" s="13" t="e">
        <v>#DIV/0!</v>
      </c>
      <c r="Q51" s="13" t="e">
        <v>#DIV/0!</v>
      </c>
      <c r="R51" s="43" t="e">
        <v>#DIV/0!</v>
      </c>
      <c r="S51" s="43" t="e">
        <v>#DIV/0!</v>
      </c>
      <c r="T51" s="43" t="e">
        <v>#DIV/0!</v>
      </c>
      <c r="U51" s="43" t="e">
        <v>#DIV/0!</v>
      </c>
      <c r="V51" s="43" t="e">
        <v>#DIV/0!</v>
      </c>
      <c r="W51" s="43" t="e">
        <v>#DIV/0!</v>
      </c>
      <c r="X51" s="46" t="e">
        <v>#DIV/0!</v>
      </c>
      <c r="Y51" s="6"/>
      <c r="Z51" s="31"/>
    </row>
    <row r="52" spans="1:26" x14ac:dyDescent="0.25">
      <c r="A52" s="6">
        <v>213</v>
      </c>
      <c r="B52" s="47" t="s">
        <v>123</v>
      </c>
      <c r="C52" s="204">
        <f>SKY!E6</f>
        <v>31784278115.900009</v>
      </c>
      <c r="E52" s="297"/>
      <c r="F52" s="12">
        <v>83000000</v>
      </c>
      <c r="G52" s="13" t="e">
        <v>#DIV/0!</v>
      </c>
      <c r="H52" s="13" t="e">
        <v>#DIV/0!</v>
      </c>
      <c r="I52" s="13" t="e">
        <v>#DIV/0!</v>
      </c>
      <c r="J52" s="13" t="e">
        <v>#DIV/0!</v>
      </c>
      <c r="K52" s="13" t="e">
        <v>#DIV/0!</v>
      </c>
      <c r="L52" s="13" t="e">
        <v>#DIV/0!</v>
      </c>
      <c r="M52" s="13" t="e">
        <v>#DIV/0!</v>
      </c>
      <c r="N52" s="43" t="e">
        <v>#DIV/0!</v>
      </c>
      <c r="O52" s="43" t="e">
        <v>#DIV/0!</v>
      </c>
      <c r="P52" s="43" t="e">
        <v>#DIV/0!</v>
      </c>
      <c r="Q52" s="43" t="e">
        <v>#DIV/0!</v>
      </c>
      <c r="R52" s="43" t="e">
        <v>#DIV/0!</v>
      </c>
      <c r="S52" s="43" t="e">
        <v>#DIV/0!</v>
      </c>
      <c r="T52" s="43" t="e">
        <v>#DIV/0!</v>
      </c>
      <c r="U52" s="43" t="e">
        <v>#DIV/0!</v>
      </c>
      <c r="V52" s="43" t="e">
        <v>#DIV/0!</v>
      </c>
      <c r="W52" s="43" t="e">
        <v>#DIV/0!</v>
      </c>
      <c r="X52" s="46" t="e">
        <v>#DIV/0!</v>
      </c>
      <c r="Y52" s="6"/>
      <c r="Z52" s="31"/>
    </row>
    <row r="53" spans="1:26" x14ac:dyDescent="0.25">
      <c r="A53" s="6">
        <v>214</v>
      </c>
      <c r="B53" s="47" t="s">
        <v>124</v>
      </c>
      <c r="C53" s="204">
        <f>SKY!E7</f>
        <v>31823826595.451485</v>
      </c>
      <c r="E53" s="297"/>
      <c r="F53" s="12">
        <v>150000000</v>
      </c>
      <c r="G53" s="13" t="e">
        <v>#DIV/0!</v>
      </c>
      <c r="H53" s="13" t="e">
        <v>#DIV/0!</v>
      </c>
      <c r="I53" s="13" t="e">
        <v>#DIV/0!</v>
      </c>
      <c r="J53" s="43" t="e">
        <v>#DIV/0!</v>
      </c>
      <c r="K53" s="43" t="e">
        <v>#DIV/0!</v>
      </c>
      <c r="L53" s="43" t="e">
        <v>#DIV/0!</v>
      </c>
      <c r="M53" s="43" t="e">
        <v>#DIV/0!</v>
      </c>
      <c r="N53" s="43" t="e">
        <v>#DIV/0!</v>
      </c>
      <c r="O53" s="43" t="e">
        <v>#DIV/0!</v>
      </c>
      <c r="P53" s="43" t="e">
        <v>#DIV/0!</v>
      </c>
      <c r="Q53" s="43" t="e">
        <v>#DIV/0!</v>
      </c>
      <c r="R53" s="43" t="e">
        <v>#DIV/0!</v>
      </c>
      <c r="S53" s="43" t="e">
        <v>#DIV/0!</v>
      </c>
      <c r="T53" s="43" t="e">
        <v>#DIV/0!</v>
      </c>
      <c r="U53" s="43" t="e">
        <v>#DIV/0!</v>
      </c>
      <c r="V53" s="43" t="e">
        <v>#DIV/0!</v>
      </c>
      <c r="W53" s="43" t="e">
        <v>#DIV/0!</v>
      </c>
      <c r="X53" s="46" t="e">
        <v>#DIV/0!</v>
      </c>
      <c r="Y53" s="6"/>
      <c r="Z53" s="31"/>
    </row>
    <row r="54" spans="1:26" x14ac:dyDescent="0.25">
      <c r="A54" s="6">
        <v>215</v>
      </c>
      <c r="B54" s="47" t="s">
        <v>125</v>
      </c>
      <c r="C54" s="204">
        <f>SKY!E8</f>
        <v>31863256429.564308</v>
      </c>
      <c r="E54" s="297"/>
      <c r="F54" s="12">
        <v>175000000</v>
      </c>
      <c r="G54" s="13" t="e">
        <v>#DIV/0!</v>
      </c>
      <c r="H54" s="13" t="e">
        <v>#DIV/0!</v>
      </c>
      <c r="I54" s="43" t="e">
        <v>#DIV/0!</v>
      </c>
      <c r="J54" s="43" t="e">
        <v>#DIV/0!</v>
      </c>
      <c r="K54" s="43" t="e">
        <v>#DIV/0!</v>
      </c>
      <c r="L54" s="43" t="e">
        <v>#DIV/0!</v>
      </c>
      <c r="M54" s="43" t="e">
        <v>#DIV/0!</v>
      </c>
      <c r="N54" s="43" t="e">
        <v>#DIV/0!</v>
      </c>
      <c r="O54" s="43" t="e">
        <v>#DIV/0!</v>
      </c>
      <c r="P54" s="43" t="e">
        <v>#DIV/0!</v>
      </c>
      <c r="Q54" s="43" t="e">
        <v>#DIV/0!</v>
      </c>
      <c r="R54" s="43" t="e">
        <v>#DIV/0!</v>
      </c>
      <c r="S54" s="43" t="e">
        <v>#DIV/0!</v>
      </c>
      <c r="T54" s="43" t="e">
        <v>#DIV/0!</v>
      </c>
      <c r="U54" s="43" t="e">
        <v>#DIV/0!</v>
      </c>
      <c r="V54" s="43" t="e">
        <v>#DIV/0!</v>
      </c>
      <c r="W54" s="43" t="e">
        <v>#DIV/0!</v>
      </c>
      <c r="X54" s="46" t="e">
        <v>#DIV/0!</v>
      </c>
      <c r="Y54" s="6"/>
      <c r="Z54" s="31"/>
    </row>
    <row r="55" spans="1:26" x14ac:dyDescent="0.25">
      <c r="A55" s="6">
        <v>216</v>
      </c>
      <c r="B55" s="47" t="s">
        <v>126</v>
      </c>
      <c r="C55" s="204">
        <f>SKY!E9</f>
        <v>31902567974.174789</v>
      </c>
      <c r="E55" s="297"/>
      <c r="F55" s="12">
        <v>185000000</v>
      </c>
      <c r="G55" s="13" t="e">
        <v>#DIV/0!</v>
      </c>
      <c r="H55" s="43" t="e">
        <v>#DIV/0!</v>
      </c>
      <c r="I55" s="43" t="e">
        <v>#DIV/0!</v>
      </c>
      <c r="J55" s="43" t="e">
        <v>#DIV/0!</v>
      </c>
      <c r="K55" s="43" t="e">
        <v>#DIV/0!</v>
      </c>
      <c r="L55" s="43" t="e">
        <v>#DIV/0!</v>
      </c>
      <c r="M55" s="43" t="e">
        <v>#DIV/0!</v>
      </c>
      <c r="N55" s="43" t="e">
        <v>#DIV/0!</v>
      </c>
      <c r="O55" s="43" t="e">
        <v>#DIV/0!</v>
      </c>
      <c r="P55" s="43" t="e">
        <v>#DIV/0!</v>
      </c>
      <c r="Q55" s="43" t="e">
        <v>#DIV/0!</v>
      </c>
      <c r="R55" s="43" t="e">
        <v>#DIV/0!</v>
      </c>
      <c r="S55" s="43" t="e">
        <v>#DIV/0!</v>
      </c>
      <c r="T55" s="43" t="e">
        <v>#DIV/0!</v>
      </c>
      <c r="U55" s="43" t="e">
        <v>#DIV/0!</v>
      </c>
      <c r="V55" s="43" t="e">
        <v>#DIV/0!</v>
      </c>
      <c r="W55" s="43" t="e">
        <v>#DIV/0!</v>
      </c>
      <c r="X55" s="46" t="e">
        <v>#DIV/0!</v>
      </c>
      <c r="Y55" s="6"/>
      <c r="Z55" s="31"/>
    </row>
    <row r="56" spans="1:26" x14ac:dyDescent="0.25">
      <c r="A56" s="6">
        <v>217</v>
      </c>
      <c r="B56" s="47" t="s">
        <v>141</v>
      </c>
      <c r="C56" s="204">
        <f>SKY!E10</f>
        <v>31941761584.15144</v>
      </c>
      <c r="D56" s="74"/>
      <c r="E56" s="297"/>
      <c r="F56" s="12">
        <v>195000000</v>
      </c>
      <c r="G56" s="13" t="e">
        <v>#DIV/0!</v>
      </c>
      <c r="H56" s="43" t="e">
        <v>#DIV/0!</v>
      </c>
      <c r="I56" s="43" t="e">
        <v>#DIV/0!</v>
      </c>
      <c r="J56" s="43" t="e">
        <v>#DIV/0!</v>
      </c>
      <c r="K56" s="43" t="e">
        <v>#DIV/0!</v>
      </c>
      <c r="L56" s="43" t="e">
        <v>#DIV/0!</v>
      </c>
      <c r="M56" s="43" t="e">
        <v>#DIV/0!</v>
      </c>
      <c r="N56" s="43" t="e">
        <v>#DIV/0!</v>
      </c>
      <c r="O56" s="43" t="e">
        <v>#DIV/0!</v>
      </c>
      <c r="P56" s="43" t="e">
        <v>#DIV/0!</v>
      </c>
      <c r="Q56" s="43" t="e">
        <v>#DIV/0!</v>
      </c>
      <c r="R56" s="43" t="e">
        <v>#DIV/0!</v>
      </c>
      <c r="S56" s="43" t="e">
        <v>#DIV/0!</v>
      </c>
      <c r="T56" s="43" t="e">
        <v>#DIV/0!</v>
      </c>
      <c r="U56" s="43" t="e">
        <v>#DIV/0!</v>
      </c>
      <c r="V56" s="43" t="e">
        <v>#DIV/0!</v>
      </c>
      <c r="W56" s="43" t="e">
        <v>#DIV/0!</v>
      </c>
      <c r="X56" s="46" t="e">
        <v>#DIV/0!</v>
      </c>
      <c r="Y56" s="79">
        <f>SUM(G28:X28)</f>
        <v>150</v>
      </c>
      <c r="Z56" s="31"/>
    </row>
    <row r="57" spans="1:26" x14ac:dyDescent="0.25">
      <c r="A57" s="6">
        <v>218</v>
      </c>
      <c r="B57" s="47" t="s">
        <v>142</v>
      </c>
      <c r="C57" s="204">
        <f>SKY!E11</f>
        <v>31980837613.298161</v>
      </c>
      <c r="E57" s="298"/>
      <c r="F57" s="27">
        <v>209968861</v>
      </c>
      <c r="G57" s="14" t="e">
        <v>#DIV/0!</v>
      </c>
      <c r="H57" s="44" t="e">
        <v>#DIV/0!</v>
      </c>
      <c r="I57" s="44" t="e">
        <v>#DIV/0!</v>
      </c>
      <c r="J57" s="44" t="e">
        <v>#DIV/0!</v>
      </c>
      <c r="K57" s="44" t="e">
        <v>#DIV/0!</v>
      </c>
      <c r="L57" s="44" t="e">
        <v>#DIV/0!</v>
      </c>
      <c r="M57" s="44" t="e">
        <v>#DIV/0!</v>
      </c>
      <c r="N57" s="44" t="e">
        <v>#DIV/0!</v>
      </c>
      <c r="O57" s="44" t="e">
        <v>#DIV/0!</v>
      </c>
      <c r="P57" s="44" t="e">
        <v>#DIV/0!</v>
      </c>
      <c r="Q57" s="44" t="e">
        <v>#DIV/0!</v>
      </c>
      <c r="R57" s="44" t="e">
        <v>#DIV/0!</v>
      </c>
      <c r="S57" s="44" t="e">
        <v>#DIV/0!</v>
      </c>
      <c r="T57" s="44" t="e">
        <v>#DIV/0!</v>
      </c>
      <c r="U57" s="44" t="e">
        <v>#DIV/0!</v>
      </c>
      <c r="V57" s="44" t="e">
        <v>#DIV/0!</v>
      </c>
      <c r="W57" s="44" t="e">
        <v>#DIV/0!</v>
      </c>
      <c r="X57" s="45" t="e">
        <v>#DIV/0!</v>
      </c>
      <c r="Y57" s="6"/>
      <c r="Z57" s="31"/>
    </row>
    <row r="58" spans="1:26" x14ac:dyDescent="0.25">
      <c r="A58" s="6">
        <v>219</v>
      </c>
      <c r="B58" s="47" t="s">
        <v>143</v>
      </c>
      <c r="C58" s="204">
        <f>SKY!E12</f>
        <v>32019796414.357441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31"/>
    </row>
    <row r="59" spans="1:26" x14ac:dyDescent="0.25">
      <c r="A59" s="6">
        <v>220</v>
      </c>
      <c r="B59" s="47" t="s">
        <v>144</v>
      </c>
      <c r="C59" s="204">
        <f>SKY!E13</f>
        <v>32058638339.013546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31"/>
    </row>
    <row r="60" spans="1:26" x14ac:dyDescent="0.25">
      <c r="A60" s="6">
        <v>221</v>
      </c>
      <c r="B60" s="47" t="s">
        <v>145</v>
      </c>
      <c r="C60" s="204">
        <f>SKY!E14</f>
        <v>32097363737.895683</v>
      </c>
      <c r="E60" s="17" t="s">
        <v>55</v>
      </c>
      <c r="F60" s="31">
        <f>$C$27</f>
        <v>217</v>
      </c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5"/>
      <c r="T60" s="65"/>
      <c r="U60" s="64"/>
      <c r="V60" s="64"/>
      <c r="W60" s="64"/>
      <c r="X60" s="64"/>
      <c r="Y60" s="6"/>
      <c r="Z60" s="31"/>
    </row>
    <row r="61" spans="1:26" x14ac:dyDescent="0.25">
      <c r="A61" s="6">
        <v>222</v>
      </c>
      <c r="B61" s="47" t="s">
        <v>146</v>
      </c>
      <c r="C61" s="204">
        <f>SKY!E15</f>
        <v>32135972960.581173</v>
      </c>
      <c r="E61" s="17" t="s">
        <v>72</v>
      </c>
      <c r="F61" s="71">
        <f>$C$39</f>
        <v>9.5000000000000001E-2</v>
      </c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5"/>
      <c r="T61" s="65"/>
      <c r="U61" s="64"/>
      <c r="V61" s="64"/>
      <c r="W61" s="64"/>
      <c r="X61" s="64"/>
      <c r="Y61" s="6"/>
      <c r="Z61" s="31"/>
    </row>
    <row r="62" spans="1:26" x14ac:dyDescent="0.25">
      <c r="A62" s="6">
        <v>223</v>
      </c>
      <c r="B62" s="47" t="s">
        <v>147</v>
      </c>
      <c r="C62" s="204">
        <f>SKY!E16</f>
        <v>32174466355.598606</v>
      </c>
      <c r="E62" s="17" t="s">
        <v>71</v>
      </c>
      <c r="F62" s="72">
        <f>$C$41</f>
        <v>0.05</v>
      </c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5"/>
      <c r="T62" s="65"/>
      <c r="U62" s="64"/>
      <c r="V62" s="64"/>
      <c r="W62" s="64"/>
      <c r="X62" s="64"/>
      <c r="Y62" s="6"/>
      <c r="Z62" s="31"/>
    </row>
    <row r="63" spans="1:26" x14ac:dyDescent="0.25">
      <c r="A63" s="6">
        <v>224</v>
      </c>
      <c r="B63" s="47" t="s">
        <v>148</v>
      </c>
      <c r="C63" s="204">
        <f>SKY!E17</f>
        <v>32212844270.430984</v>
      </c>
      <c r="E63" s="17" t="s">
        <v>46</v>
      </c>
      <c r="F63" s="102">
        <f>$C$42</f>
        <v>250000</v>
      </c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5"/>
      <c r="T63" s="65"/>
      <c r="U63" s="64"/>
      <c r="V63" s="64"/>
      <c r="W63" s="64"/>
      <c r="X63" s="64"/>
      <c r="Y63" s="6"/>
      <c r="Z63" s="31"/>
    </row>
    <row r="64" spans="1:26" x14ac:dyDescent="0.25">
      <c r="A64" s="6">
        <v>225</v>
      </c>
      <c r="B64" s="47" t="s">
        <v>149</v>
      </c>
      <c r="C64" s="204">
        <f>SKY!E18</f>
        <v>32251107051.518867</v>
      </c>
      <c r="E64" s="94" t="s">
        <v>87</v>
      </c>
      <c r="F64" s="103">
        <f>$C$28</f>
        <v>150</v>
      </c>
      <c r="G64" s="291" t="s">
        <v>74</v>
      </c>
      <c r="H64" s="291"/>
      <c r="I64" s="291"/>
      <c r="J64" s="291"/>
      <c r="K64" s="291"/>
      <c r="L64" s="291"/>
      <c r="M64" s="291"/>
      <c r="N64" s="291"/>
      <c r="O64" s="291"/>
      <c r="P64" s="291"/>
      <c r="Q64" s="291"/>
      <c r="R64" s="291"/>
      <c r="S64" s="291"/>
      <c r="T64" s="291"/>
      <c r="U64" s="291"/>
      <c r="V64" s="291"/>
      <c r="W64" s="291"/>
      <c r="X64" s="291"/>
      <c r="Y64" s="88">
        <v>0</v>
      </c>
      <c r="Z64" s="31"/>
    </row>
    <row r="65" spans="1:26" x14ac:dyDescent="0.25">
      <c r="A65" s="6">
        <v>226</v>
      </c>
      <c r="B65" s="47" t="s">
        <v>150</v>
      </c>
      <c r="C65" s="204">
        <f>SKY!E19</f>
        <v>32289255044.263489</v>
      </c>
      <c r="E65" s="296" t="s">
        <v>28</v>
      </c>
      <c r="F65" s="299" t="s">
        <v>120</v>
      </c>
      <c r="G65" s="299"/>
      <c r="H65" s="299"/>
      <c r="I65" s="299"/>
      <c r="J65" s="299"/>
      <c r="K65" s="299"/>
      <c r="L65" s="299"/>
      <c r="M65" s="299"/>
      <c r="N65" s="299"/>
      <c r="O65" s="299"/>
      <c r="P65" s="299"/>
      <c r="Q65" s="299"/>
      <c r="R65" s="299"/>
      <c r="S65" s="299"/>
      <c r="T65" s="299"/>
      <c r="U65" s="299"/>
      <c r="V65" s="299"/>
      <c r="W65" s="299"/>
      <c r="X65" s="300"/>
      <c r="Y65" s="88">
        <v>3.1200077904872279E-3</v>
      </c>
      <c r="Z65" s="31"/>
    </row>
    <row r="66" spans="1:26" x14ac:dyDescent="0.25">
      <c r="A66" s="6">
        <v>227</v>
      </c>
      <c r="B66" s="47" t="s">
        <v>151</v>
      </c>
      <c r="C66" s="204">
        <f>SKY!E20</f>
        <v>32327288593.029873</v>
      </c>
      <c r="E66" s="297"/>
      <c r="F66" s="52">
        <f>C44</f>
        <v>14610.02866112493</v>
      </c>
      <c r="G66" s="10">
        <f t="shared" ref="G66:X66" si="5">G40</f>
        <v>150</v>
      </c>
      <c r="H66" s="10">
        <f t="shared" si="5"/>
        <v>175</v>
      </c>
      <c r="I66" s="10">
        <f t="shared" si="5"/>
        <v>200</v>
      </c>
      <c r="J66" s="10">
        <f t="shared" si="5"/>
        <v>225</v>
      </c>
      <c r="K66" s="10">
        <f t="shared" si="5"/>
        <v>250</v>
      </c>
      <c r="L66" s="10">
        <f t="shared" si="5"/>
        <v>275</v>
      </c>
      <c r="M66" s="10">
        <f t="shared" si="5"/>
        <v>300</v>
      </c>
      <c r="N66" s="10">
        <f t="shared" si="5"/>
        <v>325</v>
      </c>
      <c r="O66" s="10">
        <f t="shared" si="5"/>
        <v>350</v>
      </c>
      <c r="P66" s="10">
        <f t="shared" si="5"/>
        <v>375</v>
      </c>
      <c r="Q66" s="10">
        <f t="shared" si="5"/>
        <v>400</v>
      </c>
      <c r="R66" s="10">
        <f t="shared" si="5"/>
        <v>450</v>
      </c>
      <c r="S66" s="10">
        <f t="shared" si="5"/>
        <v>500</v>
      </c>
      <c r="T66" s="10">
        <f t="shared" si="5"/>
        <v>600</v>
      </c>
      <c r="U66" s="10">
        <f t="shared" si="5"/>
        <v>700</v>
      </c>
      <c r="V66" s="10">
        <f t="shared" si="5"/>
        <v>800</v>
      </c>
      <c r="W66" s="10">
        <f t="shared" si="5"/>
        <v>900</v>
      </c>
      <c r="X66" s="11">
        <f t="shared" si="5"/>
        <v>1000</v>
      </c>
      <c r="Y66" s="88">
        <v>7.8000194762180711E-3</v>
      </c>
      <c r="Z66" s="31"/>
    </row>
    <row r="67" spans="1:26" ht="15.75" thickBot="1" x14ac:dyDescent="0.3">
      <c r="A67" s="6">
        <v>228</v>
      </c>
      <c r="B67" s="47" t="s">
        <v>152</v>
      </c>
      <c r="C67" s="204">
        <f>SKY!E21</f>
        <v>32365208041.14996</v>
      </c>
      <c r="E67" s="297"/>
      <c r="F67" s="12">
        <v>500000</v>
      </c>
      <c r="G67" s="53">
        <f t="dataTable" ref="G67:X83" dt2D="1" dtr="1" r1="C28" r2="C43" ca="1"/>
        <v>376.48255134891843</v>
      </c>
      <c r="H67" s="53">
        <v>376.49365547628031</v>
      </c>
      <c r="I67" s="54">
        <v>376.5047682505683</v>
      </c>
      <c r="J67" s="54">
        <v>376.51588967178282</v>
      </c>
      <c r="K67" s="54">
        <v>376.52701973992345</v>
      </c>
      <c r="L67" s="54">
        <v>376.53815845499048</v>
      </c>
      <c r="M67" s="54">
        <v>376.5493058169838</v>
      </c>
      <c r="N67" s="54">
        <v>376.56046182590336</v>
      </c>
      <c r="O67" s="54">
        <v>376.57162648174926</v>
      </c>
      <c r="P67" s="54">
        <v>376.58279978452157</v>
      </c>
      <c r="Q67" s="54">
        <v>376.59398173422005</v>
      </c>
      <c r="R67" s="54">
        <v>376.61637157439606</v>
      </c>
      <c r="S67" s="54">
        <v>376.63879600227733</v>
      </c>
      <c r="T67" s="54">
        <v>376.68374862115542</v>
      </c>
      <c r="U67" s="54">
        <v>376.72883959085442</v>
      </c>
      <c r="V67" s="54">
        <v>376.77406891137434</v>
      </c>
      <c r="W67" s="54">
        <v>376.81943658271524</v>
      </c>
      <c r="X67" s="55">
        <v>376.86494260487694</v>
      </c>
      <c r="Y67" s="88">
        <v>3.1200077904872284E-2</v>
      </c>
      <c r="Z67" s="31"/>
    </row>
    <row r="68" spans="1:26" ht="15.75" thickBot="1" x14ac:dyDescent="0.3">
      <c r="A68" s="6">
        <v>229</v>
      </c>
      <c r="B68" s="47" t="s">
        <v>153</v>
      </c>
      <c r="C68" s="204">
        <f>SKY!E22</f>
        <v>32403013730.925686</v>
      </c>
      <c r="E68" s="297"/>
      <c r="F68" s="90">
        <v>544000</v>
      </c>
      <c r="G68" s="91">
        <v>409.61884917061934</v>
      </c>
      <c r="H68" s="91">
        <v>409.631902678355</v>
      </c>
      <c r="I68" s="92">
        <v>409.64496559394632</v>
      </c>
      <c r="J68" s="92">
        <v>409.65803791739359</v>
      </c>
      <c r="K68" s="92">
        <v>409.67111964869667</v>
      </c>
      <c r="L68" s="92">
        <v>409.68421078785559</v>
      </c>
      <c r="M68" s="92">
        <v>409.69731133487022</v>
      </c>
      <c r="N68" s="92">
        <v>409.71042128974079</v>
      </c>
      <c r="O68" s="92">
        <v>409.72354065246719</v>
      </c>
      <c r="P68" s="92">
        <v>409.73666942304931</v>
      </c>
      <c r="Q68" s="92">
        <v>409.7498076014873</v>
      </c>
      <c r="R68" s="92">
        <v>409.77611218193078</v>
      </c>
      <c r="S68" s="92">
        <v>409.80245439379752</v>
      </c>
      <c r="T68" s="92">
        <v>409.8552517118008</v>
      </c>
      <c r="U68" s="92">
        <v>409.90819955549733</v>
      </c>
      <c r="V68" s="92">
        <v>409.96129792488705</v>
      </c>
      <c r="W68" s="92">
        <v>410.01454681996978</v>
      </c>
      <c r="X68" s="93">
        <v>410.06794624074564</v>
      </c>
      <c r="Y68" s="88">
        <v>4.6800116857308421E-2</v>
      </c>
      <c r="Z68" s="31"/>
    </row>
    <row r="69" spans="1:26" x14ac:dyDescent="0.25">
      <c r="A69" s="6">
        <v>230</v>
      </c>
      <c r="B69" s="47" t="s">
        <v>154</v>
      </c>
      <c r="C69" s="204">
        <f>SKY!E23</f>
        <v>32440706003.632084</v>
      </c>
      <c r="E69" s="297"/>
      <c r="F69" s="12">
        <v>1000000</v>
      </c>
      <c r="G69" s="53">
        <v>753.03139023188169</v>
      </c>
      <c r="H69" s="53">
        <v>753.06464640894603</v>
      </c>
      <c r="I69" s="54">
        <v>753.09791987986296</v>
      </c>
      <c r="J69" s="54">
        <v>753.13121064463257</v>
      </c>
      <c r="K69" s="54">
        <v>753.16451870325477</v>
      </c>
      <c r="L69" s="54">
        <v>753.19784405572955</v>
      </c>
      <c r="M69" s="54">
        <v>753.23118670205702</v>
      </c>
      <c r="N69" s="54">
        <v>753.26454664223695</v>
      </c>
      <c r="O69" s="54">
        <v>753.29792387626958</v>
      </c>
      <c r="P69" s="54">
        <v>753.3313184041549</v>
      </c>
      <c r="Q69" s="54">
        <v>753.3647302258928</v>
      </c>
      <c r="R69" s="54">
        <v>753.43160575092634</v>
      </c>
      <c r="S69" s="54">
        <v>753.49855045137019</v>
      </c>
      <c r="T69" s="54">
        <v>753.63264737848954</v>
      </c>
      <c r="U69" s="54">
        <v>753.76702100725072</v>
      </c>
      <c r="V69" s="54">
        <v>753.90167133765385</v>
      </c>
      <c r="W69" s="54">
        <v>754.03659836969871</v>
      </c>
      <c r="X69" s="55">
        <v>754.17180210338529</v>
      </c>
      <c r="Y69" s="88">
        <v>9.3600233714616843E-2</v>
      </c>
      <c r="Z69" s="31"/>
    </row>
    <row r="70" spans="1:26" x14ac:dyDescent="0.25">
      <c r="A70" s="47"/>
      <c r="E70" s="297"/>
      <c r="F70" s="12">
        <v>1458717</v>
      </c>
      <c r="G70" s="53">
        <v>1098.4900976836341</v>
      </c>
      <c r="H70" s="53">
        <v>1098.5436769042651</v>
      </c>
      <c r="I70" s="54">
        <v>1098.5972813517333</v>
      </c>
      <c r="J70" s="54">
        <v>1098.6509110260379</v>
      </c>
      <c r="K70" s="54">
        <v>1098.7045659271796</v>
      </c>
      <c r="L70" s="54">
        <v>1098.758246055158</v>
      </c>
      <c r="M70" s="54">
        <v>1098.8119514099733</v>
      </c>
      <c r="N70" s="54">
        <v>1098.865681991625</v>
      </c>
      <c r="O70" s="54">
        <v>1098.9194378001139</v>
      </c>
      <c r="P70" s="54">
        <v>1098.9732188354394</v>
      </c>
      <c r="Q70" s="54">
        <v>1099.0270250976018</v>
      </c>
      <c r="R70" s="54">
        <v>1099.1347133024371</v>
      </c>
      <c r="S70" s="54">
        <v>1099.2425024146194</v>
      </c>
      <c r="T70" s="54">
        <v>1099.4583833610257</v>
      </c>
      <c r="U70" s="54">
        <v>1099.6746679368209</v>
      </c>
      <c r="V70" s="54">
        <v>1099.8913561420047</v>
      </c>
      <c r="W70" s="54">
        <v>1100.108447976578</v>
      </c>
      <c r="X70" s="55">
        <v>1100.3259434405397</v>
      </c>
      <c r="Y70" s="88">
        <v>0.15</v>
      </c>
      <c r="Z70" s="31"/>
    </row>
    <row r="71" spans="1:26" x14ac:dyDescent="0.25">
      <c r="B71" s="17" t="s">
        <v>69</v>
      </c>
      <c r="C71" s="31"/>
      <c r="E71" s="297"/>
      <c r="F71" s="12">
        <v>5000000</v>
      </c>
      <c r="G71" s="53">
        <v>3765.4221012955877</v>
      </c>
      <c r="H71" s="53">
        <v>3765.6325738702722</v>
      </c>
      <c r="I71" s="54">
        <v>3765.8431329142204</v>
      </c>
      <c r="J71" s="54">
        <v>3766.0537784274311</v>
      </c>
      <c r="K71" s="54">
        <v>3766.2645104099051</v>
      </c>
      <c r="L71" s="54">
        <v>3766.4753288616421</v>
      </c>
      <c r="M71" s="54">
        <v>3766.6862337826419</v>
      </c>
      <c r="N71" s="54">
        <v>3766.8972251729051</v>
      </c>
      <c r="O71" s="54">
        <v>3767.1083030324316</v>
      </c>
      <c r="P71" s="54">
        <v>3767.3194673612215</v>
      </c>
      <c r="Q71" s="54">
        <v>3767.5307181592734</v>
      </c>
      <c r="R71" s="54">
        <v>3767.9534791631677</v>
      </c>
      <c r="S71" s="54">
        <v>3768.3765860441144</v>
      </c>
      <c r="T71" s="54">
        <v>3769.2238374371636</v>
      </c>
      <c r="U71" s="54">
        <v>3770.0724723384214</v>
      </c>
      <c r="V71" s="54">
        <v>3770.9224907478892</v>
      </c>
      <c r="W71" s="54">
        <v>3771.7738926655657</v>
      </c>
      <c r="X71" s="55">
        <v>3772.6266780914516</v>
      </c>
      <c r="Y71" s="88">
        <v>0.2</v>
      </c>
      <c r="Z71" s="31"/>
    </row>
    <row r="72" spans="1:26" x14ac:dyDescent="0.25">
      <c r="B72" s="47" t="s">
        <v>122</v>
      </c>
      <c r="C72" s="74">
        <f>rho!F9</f>
        <v>39667481.997468472</v>
      </c>
      <c r="D72" s="23"/>
      <c r="E72" s="297"/>
      <c r="F72" s="12">
        <v>10000000</v>
      </c>
      <c r="G72" s="53">
        <v>7530.9104901252185</v>
      </c>
      <c r="H72" s="53">
        <v>7531.3424831969305</v>
      </c>
      <c r="I72" s="54">
        <v>7531.7746492071665</v>
      </c>
      <c r="J72" s="54">
        <v>7532.2069881559291</v>
      </c>
      <c r="K72" s="54">
        <v>7532.6395000432185</v>
      </c>
      <c r="L72" s="54">
        <v>7533.0721848690337</v>
      </c>
      <c r="M72" s="54">
        <v>7533.5050426333737</v>
      </c>
      <c r="N72" s="54">
        <v>7533.9380733362414</v>
      </c>
      <c r="O72" s="54">
        <v>7534.3712769776357</v>
      </c>
      <c r="P72" s="54">
        <v>7534.8046535575531</v>
      </c>
      <c r="Q72" s="54">
        <v>7535.238203076</v>
      </c>
      <c r="R72" s="54">
        <v>7536.1058209284711</v>
      </c>
      <c r="S72" s="54">
        <v>7536.9741305350435</v>
      </c>
      <c r="T72" s="54">
        <v>7538.7128250105052</v>
      </c>
      <c r="U72" s="54">
        <v>7540.4542865023868</v>
      </c>
      <c r="V72" s="54">
        <v>7542.1985150106848</v>
      </c>
      <c r="W72" s="54">
        <v>7543.9455105353991</v>
      </c>
      <c r="X72" s="55">
        <v>7545.6952730765333</v>
      </c>
      <c r="Y72" s="88">
        <v>0.25</v>
      </c>
      <c r="Z72" s="31"/>
    </row>
    <row r="73" spans="1:26" ht="14.25" customHeight="1" x14ac:dyDescent="0.25">
      <c r="B73" s="47" t="s">
        <v>123</v>
      </c>
      <c r="C73" s="74">
        <f>rho!F10</f>
        <v>39548479.551476061</v>
      </c>
      <c r="E73" s="297"/>
      <c r="F73" s="12">
        <v>15000000</v>
      </c>
      <c r="G73" s="53">
        <v>11296.398878954853</v>
      </c>
      <c r="H73" s="53">
        <v>11297.052392523588</v>
      </c>
      <c r="I73" s="54">
        <v>11297.706165500114</v>
      </c>
      <c r="J73" s="54">
        <v>11298.360197884427</v>
      </c>
      <c r="K73" s="54">
        <v>11299.014489676531</v>
      </c>
      <c r="L73" s="54">
        <v>11299.669040876426</v>
      </c>
      <c r="M73" s="54">
        <v>11300.323851484107</v>
      </c>
      <c r="N73" s="54">
        <v>11300.978921499578</v>
      </c>
      <c r="O73" s="54">
        <v>11301.63425092284</v>
      </c>
      <c r="P73" s="54">
        <v>11302.289839753888</v>
      </c>
      <c r="Q73" s="54">
        <v>11302.945687992726</v>
      </c>
      <c r="R73" s="54">
        <v>11304.258162693772</v>
      </c>
      <c r="S73" s="54">
        <v>11305.571675025974</v>
      </c>
      <c r="T73" s="54">
        <v>11308.201812583848</v>
      </c>
      <c r="U73" s="54">
        <v>11310.836100666349</v>
      </c>
      <c r="V73" s="54">
        <v>11313.47453927348</v>
      </c>
      <c r="W73" s="54">
        <v>11316.117128405234</v>
      </c>
      <c r="X73" s="55">
        <v>11318.763868061618</v>
      </c>
      <c r="Y73" s="88">
        <v>0.3</v>
      </c>
      <c r="Z73" s="31"/>
    </row>
    <row r="74" spans="1:26" x14ac:dyDescent="0.25">
      <c r="B74" s="47" t="s">
        <v>124</v>
      </c>
      <c r="C74" s="74">
        <f>rho!F11</f>
        <v>39429834.112821639</v>
      </c>
      <c r="E74" s="297"/>
      <c r="F74" s="12">
        <v>20000000</v>
      </c>
      <c r="G74" s="53">
        <v>15061.887267784485</v>
      </c>
      <c r="H74" s="53">
        <v>15062.762301850244</v>
      </c>
      <c r="I74" s="53">
        <v>15063.637681793061</v>
      </c>
      <c r="J74" s="53">
        <v>15064.513407612925</v>
      </c>
      <c r="K74" s="53">
        <v>15065.389479309844</v>
      </c>
      <c r="L74" s="53">
        <v>15066.265896883815</v>
      </c>
      <c r="M74" s="53">
        <v>15067.142660334837</v>
      </c>
      <c r="N74" s="53">
        <v>15068.019769662911</v>
      </c>
      <c r="O74" s="53">
        <v>15068.89722486804</v>
      </c>
      <c r="P74" s="53">
        <v>15069.775025950219</v>
      </c>
      <c r="Q74" s="53">
        <v>15070.653172909451</v>
      </c>
      <c r="R74" s="53">
        <v>15072.410504459072</v>
      </c>
      <c r="S74" s="53">
        <v>15074.169219516905</v>
      </c>
      <c r="T74" s="53">
        <v>15077.69080015719</v>
      </c>
      <c r="U74" s="53">
        <v>15081.217914830315</v>
      </c>
      <c r="V74" s="53">
        <v>15084.75056353627</v>
      </c>
      <c r="W74" s="53">
        <v>15088.28874627507</v>
      </c>
      <c r="X74" s="56">
        <v>15091.8324630467</v>
      </c>
      <c r="Y74" s="88">
        <v>0.4</v>
      </c>
      <c r="Z74" s="31"/>
    </row>
    <row r="75" spans="1:26" x14ac:dyDescent="0.25">
      <c r="B75" s="47" t="s">
        <v>125</v>
      </c>
      <c r="C75" s="74">
        <f>rho!F12</f>
        <v>39311544.61048317</v>
      </c>
      <c r="E75" s="297"/>
      <c r="F75" s="12">
        <v>32000000</v>
      </c>
      <c r="G75" s="53">
        <v>24099.059400975602</v>
      </c>
      <c r="H75" s="53">
        <v>24100.466084234227</v>
      </c>
      <c r="I75" s="53">
        <v>24101.873320896131</v>
      </c>
      <c r="J75" s="53">
        <v>24103.281110961321</v>
      </c>
      <c r="K75" s="53">
        <v>24104.689454429797</v>
      </c>
      <c r="L75" s="53">
        <v>24106.098351301553</v>
      </c>
      <c r="M75" s="53">
        <v>24107.507801576594</v>
      </c>
      <c r="N75" s="53">
        <v>24108.917805254918</v>
      </c>
      <c r="O75" s="53">
        <v>24110.328362336528</v>
      </c>
      <c r="P75" s="53">
        <v>24111.73947282142</v>
      </c>
      <c r="Q75" s="53">
        <v>24113.151136709595</v>
      </c>
      <c r="R75" s="53">
        <v>24115.976124695793</v>
      </c>
      <c r="S75" s="53">
        <v>24118.803326295136</v>
      </c>
      <c r="T75" s="53">
        <v>24124.464370333215</v>
      </c>
      <c r="U75" s="53">
        <v>24130.134268823826</v>
      </c>
      <c r="V75" s="53">
        <v>24135.813021766982</v>
      </c>
      <c r="W75" s="53">
        <v>24141.500629162671</v>
      </c>
      <c r="X75" s="56">
        <v>24103.249583438923</v>
      </c>
      <c r="Y75" s="88">
        <v>0.5</v>
      </c>
      <c r="Z75" s="31"/>
    </row>
    <row r="76" spans="1:26" x14ac:dyDescent="0.25">
      <c r="B76" s="47" t="s">
        <v>126</v>
      </c>
      <c r="C76" s="74">
        <f>rho!F13</f>
        <v>39193609.976651721</v>
      </c>
      <c r="E76" s="297"/>
      <c r="F76" s="12">
        <v>50000000</v>
      </c>
      <c r="G76" s="57">
        <v>37654.817600762282</v>
      </c>
      <c r="H76" s="57">
        <v>37657.021757810195</v>
      </c>
      <c r="I76" s="57">
        <v>37659.226779550743</v>
      </c>
      <c r="J76" s="57">
        <v>37661.432665983913</v>
      </c>
      <c r="K76" s="57">
        <v>37663.63941710972</v>
      </c>
      <c r="L76" s="57">
        <v>37665.847032928163</v>
      </c>
      <c r="M76" s="57">
        <v>37668.055513439227</v>
      </c>
      <c r="N76" s="57">
        <v>37670.264858642935</v>
      </c>
      <c r="O76" s="57">
        <v>37672.475068539257</v>
      </c>
      <c r="P76" s="57">
        <v>37674.686143128223</v>
      </c>
      <c r="Q76" s="57">
        <v>37676.898082409811</v>
      </c>
      <c r="R76" s="57">
        <v>37681.324555050895</v>
      </c>
      <c r="S76" s="57">
        <v>37685.754486462487</v>
      </c>
      <c r="T76" s="57">
        <v>37694.624725597241</v>
      </c>
      <c r="U76" s="57">
        <v>34409.015512244659</v>
      </c>
      <c r="V76" s="57">
        <v>30114.946375242267</v>
      </c>
      <c r="W76" s="57">
        <v>26775.114824240412</v>
      </c>
      <c r="X76" s="58">
        <v>24103.249583438923</v>
      </c>
      <c r="Y76" s="88">
        <v>0.6</v>
      </c>
      <c r="Z76" s="31"/>
    </row>
    <row r="77" spans="1:26" x14ac:dyDescent="0.25">
      <c r="B77" s="47" t="s">
        <v>141</v>
      </c>
      <c r="C77" s="74">
        <f>rho!F14</f>
        <v>39076029.146721765</v>
      </c>
      <c r="E77" s="297"/>
      <c r="F77" s="12">
        <v>75000000</v>
      </c>
      <c r="G77" s="57">
        <v>56482.259544910448</v>
      </c>
      <c r="H77" s="57">
        <v>56485.571304443481</v>
      </c>
      <c r="I77" s="57">
        <v>56488.884361015487</v>
      </c>
      <c r="J77" s="57">
        <v>56492.198714626407</v>
      </c>
      <c r="K77" s="57">
        <v>56495.5143652763</v>
      </c>
      <c r="L77" s="57">
        <v>56498.831312965129</v>
      </c>
      <c r="M77" s="57">
        <v>56502.149557692901</v>
      </c>
      <c r="N77" s="57">
        <v>56505.469099459617</v>
      </c>
      <c r="O77" s="57">
        <v>56508.789938265283</v>
      </c>
      <c r="P77" s="57">
        <v>56512.112074109893</v>
      </c>
      <c r="Q77" s="57">
        <v>56515.435506993439</v>
      </c>
      <c r="R77" s="57">
        <v>53493.767232255304</v>
      </c>
      <c r="S77" s="57">
        <v>48150.036750652318</v>
      </c>
      <c r="T77" s="57">
        <v>40134.441028247857</v>
      </c>
      <c r="U77" s="57">
        <v>34409.015512244659</v>
      </c>
      <c r="V77" s="57">
        <v>30114.946375242267</v>
      </c>
      <c r="W77" s="57">
        <v>26775.114824240412</v>
      </c>
      <c r="X77" s="58">
        <v>24103.249583438923</v>
      </c>
      <c r="Y77" s="88">
        <v>0.7</v>
      </c>
      <c r="Z77" s="31"/>
    </row>
    <row r="78" spans="1:26" x14ac:dyDescent="0.25">
      <c r="B78" s="47" t="s">
        <v>142</v>
      </c>
      <c r="C78" s="74">
        <f>rho!F15</f>
        <v>38958801.059281603</v>
      </c>
      <c r="E78" s="297"/>
      <c r="F78" s="12">
        <v>100000000</v>
      </c>
      <c r="G78" s="57">
        <v>75309.7014890586</v>
      </c>
      <c r="H78" s="57">
        <v>75314.120851076776</v>
      </c>
      <c r="I78" s="57">
        <v>75318.541942480195</v>
      </c>
      <c r="J78" s="57">
        <v>75322.964763268901</v>
      </c>
      <c r="K78" s="57">
        <v>75327.389313442851</v>
      </c>
      <c r="L78" s="57">
        <v>75331.815593002073</v>
      </c>
      <c r="M78" s="57">
        <v>75336.243601946553</v>
      </c>
      <c r="N78" s="57">
        <v>74046.576776882124</v>
      </c>
      <c r="O78" s="57">
        <v>68761.568608263784</v>
      </c>
      <c r="P78" s="57">
        <v>64181.228195461241</v>
      </c>
      <c r="Q78" s="57">
        <v>60173.430334259014</v>
      </c>
      <c r="R78" s="57">
        <v>53493.767232255304</v>
      </c>
      <c r="S78" s="57">
        <v>48150.036750652318</v>
      </c>
      <c r="T78" s="57">
        <v>40134.441028247857</v>
      </c>
      <c r="U78" s="57">
        <v>34409.015512244659</v>
      </c>
      <c r="V78" s="57">
        <v>30114.946375242267</v>
      </c>
      <c r="W78" s="57">
        <v>26775.114824240412</v>
      </c>
      <c r="X78" s="58">
        <v>24103.249583438923</v>
      </c>
      <c r="Y78" s="88">
        <v>0.8</v>
      </c>
      <c r="Z78" s="31"/>
    </row>
    <row r="79" spans="1:26" x14ac:dyDescent="0.25">
      <c r="B79" s="47" t="s">
        <v>143</v>
      </c>
      <c r="C79" s="74">
        <f>rho!F16</f>
        <v>38841924.65610376</v>
      </c>
      <c r="E79" s="297"/>
      <c r="F79" s="12">
        <v>150000000</v>
      </c>
      <c r="G79" s="57">
        <v>112964.58537735493</v>
      </c>
      <c r="H79" s="57">
        <v>112971.21994434338</v>
      </c>
      <c r="I79" s="57">
        <v>112977.85710540968</v>
      </c>
      <c r="J79" s="57">
        <v>106931.07204828504</v>
      </c>
      <c r="K79" s="57">
        <v>96243.611085079101</v>
      </c>
      <c r="L79" s="57">
        <v>87499.324842456044</v>
      </c>
      <c r="M79" s="57">
        <v>80212.419640270178</v>
      </c>
      <c r="N79" s="57">
        <v>74046.576776882124</v>
      </c>
      <c r="O79" s="57">
        <v>68761.568608263784</v>
      </c>
      <c r="P79" s="57">
        <v>64181.228195461241</v>
      </c>
      <c r="Q79" s="57">
        <v>60173.430334259014</v>
      </c>
      <c r="R79" s="57">
        <v>53493.767232255304</v>
      </c>
      <c r="S79" s="57">
        <v>48150.036750652318</v>
      </c>
      <c r="T79" s="57">
        <v>40134.441028247857</v>
      </c>
      <c r="U79" s="57">
        <v>34409.015512244659</v>
      </c>
      <c r="V79" s="57">
        <v>30114.946375242267</v>
      </c>
      <c r="W79" s="57">
        <v>26775.114824240412</v>
      </c>
      <c r="X79" s="58">
        <v>24103.249583438923</v>
      </c>
      <c r="Y79" s="88">
        <v>0.85</v>
      </c>
      <c r="Z79" s="31"/>
    </row>
    <row r="80" spans="1:26" x14ac:dyDescent="0.25">
      <c r="B80" s="47" t="s">
        <v>144</v>
      </c>
      <c r="C80" s="74">
        <f>rho!F17</f>
        <v>38725398.882135451</v>
      </c>
      <c r="E80" s="297"/>
      <c r="F80" s="12">
        <v>175000000</v>
      </c>
      <c r="G80" s="57">
        <v>131792.02732150309</v>
      </c>
      <c r="H80" s="57">
        <v>131799.76949097664</v>
      </c>
      <c r="I80" s="57">
        <v>120290.39825229249</v>
      </c>
      <c r="J80" s="57">
        <v>106931.07204828504</v>
      </c>
      <c r="K80" s="57">
        <v>96243.611085079101</v>
      </c>
      <c r="L80" s="57">
        <v>87499.324842456044</v>
      </c>
      <c r="M80" s="57">
        <v>80212.419640270178</v>
      </c>
      <c r="N80" s="57">
        <v>74046.576776882124</v>
      </c>
      <c r="O80" s="57">
        <v>68761.568608263784</v>
      </c>
      <c r="P80" s="57">
        <v>64181.228195461241</v>
      </c>
      <c r="Q80" s="57">
        <v>60173.430334259014</v>
      </c>
      <c r="R80" s="57">
        <v>53493.767232255304</v>
      </c>
      <c r="S80" s="57">
        <v>48150.036750652318</v>
      </c>
      <c r="T80" s="57">
        <v>40134.441028247857</v>
      </c>
      <c r="U80" s="57">
        <v>34409.015512244659</v>
      </c>
      <c r="V80" s="57">
        <v>30114.946375242267</v>
      </c>
      <c r="W80" s="57">
        <v>26775.114824240412</v>
      </c>
      <c r="X80" s="58">
        <v>24103.249583438923</v>
      </c>
      <c r="Y80" s="88">
        <v>0.9</v>
      </c>
      <c r="Z80" s="31"/>
    </row>
    <row r="81" spans="1:26" x14ac:dyDescent="0.25">
      <c r="B81" s="47" t="s">
        <v>145</v>
      </c>
      <c r="C81" s="74">
        <f>rho!F18</f>
        <v>38609222.685489044</v>
      </c>
      <c r="E81" s="297"/>
      <c r="F81" s="12">
        <v>185000000</v>
      </c>
      <c r="G81" s="57">
        <v>139323.00409916232</v>
      </c>
      <c r="H81" s="57">
        <v>137466.67480030208</v>
      </c>
      <c r="I81" s="57">
        <v>120290.39825229249</v>
      </c>
      <c r="J81" s="57">
        <v>106931.07204828504</v>
      </c>
      <c r="K81" s="57">
        <v>96243.611085079101</v>
      </c>
      <c r="L81" s="57">
        <v>87499.324842456044</v>
      </c>
      <c r="M81" s="57">
        <v>80212.419640270178</v>
      </c>
      <c r="N81" s="57">
        <v>74046.576776882124</v>
      </c>
      <c r="O81" s="57">
        <v>68761.568608263784</v>
      </c>
      <c r="P81" s="57">
        <v>64181.228195461241</v>
      </c>
      <c r="Q81" s="57">
        <v>60173.430334259014</v>
      </c>
      <c r="R81" s="57">
        <v>53493.767232255304</v>
      </c>
      <c r="S81" s="57">
        <v>48150.036750652318</v>
      </c>
      <c r="T81" s="57">
        <v>40134.441028247857</v>
      </c>
      <c r="U81" s="57">
        <v>34409.015512244659</v>
      </c>
      <c r="V81" s="57">
        <v>30114.946375242267</v>
      </c>
      <c r="W81" s="57">
        <v>26775.114824240412</v>
      </c>
      <c r="X81" s="58">
        <v>24103.249583438923</v>
      </c>
      <c r="Y81" s="89">
        <v>1</v>
      </c>
      <c r="Z81" s="31"/>
    </row>
    <row r="82" spans="1:26" x14ac:dyDescent="0.25">
      <c r="B82" s="47" t="s">
        <v>146</v>
      </c>
      <c r="C82" s="74">
        <f>rho!F19</f>
        <v>38493395.01743257</v>
      </c>
      <c r="E82" s="297"/>
      <c r="F82" s="12">
        <v>195000000</v>
      </c>
      <c r="G82" s="57">
        <v>146853.98087682159</v>
      </c>
      <c r="H82" s="57">
        <v>137466.67480030208</v>
      </c>
      <c r="I82" s="57">
        <v>120290.39825229249</v>
      </c>
      <c r="J82" s="57">
        <v>106931.07204828504</v>
      </c>
      <c r="K82" s="57">
        <v>96243.611085079101</v>
      </c>
      <c r="L82" s="57">
        <v>87499.324842456044</v>
      </c>
      <c r="M82" s="57">
        <v>80212.419640270178</v>
      </c>
      <c r="N82" s="57">
        <v>74046.576776882124</v>
      </c>
      <c r="O82" s="57">
        <v>68761.568608263784</v>
      </c>
      <c r="P82" s="57">
        <v>64181.228195461241</v>
      </c>
      <c r="Q82" s="57">
        <v>60173.430334259014</v>
      </c>
      <c r="R82" s="57">
        <v>53493.767232255304</v>
      </c>
      <c r="S82" s="57">
        <v>48150.036750652318</v>
      </c>
      <c r="T82" s="57">
        <v>40134.441028247857</v>
      </c>
      <c r="U82" s="57">
        <v>34409.015512244659</v>
      </c>
      <c r="V82" s="57">
        <v>30114.946375242267</v>
      </c>
      <c r="W82" s="57">
        <v>26775.114824240412</v>
      </c>
      <c r="X82" s="58">
        <v>24103.249583438923</v>
      </c>
      <c r="Y82" s="6"/>
      <c r="Z82" s="31"/>
    </row>
    <row r="83" spans="1:26" x14ac:dyDescent="0.25">
      <c r="B83" s="47" t="s">
        <v>147</v>
      </c>
      <c r="C83" s="74">
        <f>rho!F20</f>
        <v>38377914.832380272</v>
      </c>
      <c r="E83" s="298"/>
      <c r="F83" s="27">
        <v>220000000</v>
      </c>
      <c r="G83" s="59">
        <v>160368.37686431484</v>
      </c>
      <c r="H83" s="59">
        <v>137466.67480030208</v>
      </c>
      <c r="I83" s="59">
        <v>120290.39825229249</v>
      </c>
      <c r="J83" s="59">
        <v>106931.07204828504</v>
      </c>
      <c r="K83" s="59">
        <v>96243.611085079101</v>
      </c>
      <c r="L83" s="59">
        <v>87499.324842456044</v>
      </c>
      <c r="M83" s="59">
        <v>80212.419640270178</v>
      </c>
      <c r="N83" s="59">
        <v>74046.576776882124</v>
      </c>
      <c r="O83" s="59">
        <v>68761.568608263784</v>
      </c>
      <c r="P83" s="59">
        <v>64181.228195461241</v>
      </c>
      <c r="Q83" s="59">
        <v>60173.430334259014</v>
      </c>
      <c r="R83" s="59">
        <v>53493.767232255304</v>
      </c>
      <c r="S83" s="59">
        <v>48150.036750652318</v>
      </c>
      <c r="T83" s="59">
        <v>40134.441028247857</v>
      </c>
      <c r="U83" s="59">
        <v>34409.015512244659</v>
      </c>
      <c r="V83" s="59">
        <v>30114.946375242267</v>
      </c>
      <c r="W83" s="59">
        <v>26775.114824240412</v>
      </c>
      <c r="X83" s="60">
        <v>24103.249583438923</v>
      </c>
      <c r="Y83" s="6"/>
      <c r="Z83" s="31"/>
    </row>
    <row r="84" spans="1:26" s="145" customFormat="1" x14ac:dyDescent="0.25">
      <c r="A84" s="162"/>
      <c r="B84" s="47" t="s">
        <v>148</v>
      </c>
      <c r="C84" s="74">
        <f>rho!F21</f>
        <v>38262781.08788313</v>
      </c>
      <c r="Z84" s="146"/>
    </row>
    <row r="85" spans="1:26" s="145" customFormat="1" x14ac:dyDescent="0.25">
      <c r="B85" s="47" t="s">
        <v>149</v>
      </c>
      <c r="C85" s="74">
        <f>rho!F22</f>
        <v>38147992.744619481</v>
      </c>
      <c r="Z85" s="146"/>
    </row>
    <row r="86" spans="1:26" s="145" customFormat="1" x14ac:dyDescent="0.25">
      <c r="B86" s="47" t="s">
        <v>150</v>
      </c>
      <c r="C86" s="74">
        <f>rho!F23</f>
        <v>38033548.766385622</v>
      </c>
      <c r="E86" s="17" t="s">
        <v>55</v>
      </c>
      <c r="F86" s="31">
        <f>$C$27</f>
        <v>217</v>
      </c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5"/>
      <c r="T86" s="65"/>
      <c r="U86" s="64"/>
      <c r="V86" s="64"/>
      <c r="W86" s="64"/>
      <c r="X86" s="64"/>
      <c r="Z86" s="146"/>
    </row>
    <row r="87" spans="1:26" s="145" customFormat="1" x14ac:dyDescent="0.25">
      <c r="B87" s="47" t="s">
        <v>151</v>
      </c>
      <c r="C87" s="74">
        <f>rho!F24</f>
        <v>37919448.120086469</v>
      </c>
      <c r="E87" s="17" t="s">
        <v>72</v>
      </c>
      <c r="F87" s="71">
        <f>$C$39</f>
        <v>9.5000000000000001E-2</v>
      </c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5"/>
      <c r="T87" s="65"/>
      <c r="U87" s="64"/>
      <c r="V87" s="64"/>
      <c r="W87" s="64"/>
      <c r="X87" s="64"/>
      <c r="Z87" s="146"/>
    </row>
    <row r="88" spans="1:26" s="145" customFormat="1" x14ac:dyDescent="0.25">
      <c r="B88" s="47" t="s">
        <v>152</v>
      </c>
      <c r="C88" s="74">
        <f>rho!F25</f>
        <v>37805689.775726207</v>
      </c>
      <c r="E88" s="17" t="s">
        <v>71</v>
      </c>
      <c r="F88" s="72">
        <f>$C$41</f>
        <v>0.05</v>
      </c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5"/>
      <c r="T88" s="65"/>
      <c r="U88" s="64"/>
      <c r="V88" s="64"/>
      <c r="W88" s="64"/>
      <c r="X88" s="64"/>
      <c r="Z88" s="146"/>
    </row>
    <row r="89" spans="1:26" s="145" customFormat="1" x14ac:dyDescent="0.25">
      <c r="B89" s="47" t="s">
        <v>153</v>
      </c>
      <c r="C89" s="74">
        <f>rho!F26</f>
        <v>37692272.706399031</v>
      </c>
      <c r="E89" s="17" t="s">
        <v>46</v>
      </c>
      <c r="F89" s="102">
        <f>$C$42</f>
        <v>250000</v>
      </c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5"/>
      <c r="T89" s="65"/>
      <c r="U89" s="64"/>
      <c r="V89" s="64"/>
      <c r="W89" s="64"/>
      <c r="X89" s="64"/>
      <c r="Z89" s="146"/>
    </row>
    <row r="90" spans="1:26" s="145" customFormat="1" x14ac:dyDescent="0.25">
      <c r="B90" s="47" t="s">
        <v>154</v>
      </c>
      <c r="C90" s="74">
        <f>rho!F27</f>
        <v>37579195.888279825</v>
      </c>
      <c r="E90" s="94" t="s">
        <v>87</v>
      </c>
      <c r="F90" s="103">
        <f>$C$28</f>
        <v>150</v>
      </c>
      <c r="G90" s="291" t="s">
        <v>134</v>
      </c>
      <c r="H90" s="291"/>
      <c r="I90" s="291"/>
      <c r="J90" s="291"/>
      <c r="K90" s="291"/>
      <c r="L90" s="291"/>
      <c r="M90" s="291"/>
      <c r="N90" s="291"/>
      <c r="O90" s="291"/>
      <c r="P90" s="291"/>
      <c r="Q90" s="291"/>
      <c r="R90" s="291"/>
      <c r="S90" s="291"/>
      <c r="T90" s="291"/>
      <c r="U90" s="291"/>
      <c r="V90" s="291"/>
      <c r="W90" s="291"/>
      <c r="X90" s="291"/>
      <c r="Z90" s="146"/>
    </row>
    <row r="91" spans="1:26" s="145" customFormat="1" ht="15.75" thickBot="1" x14ac:dyDescent="0.3">
      <c r="C91" s="166"/>
      <c r="D91" s="167"/>
      <c r="E91" s="296" t="s">
        <v>28</v>
      </c>
      <c r="F91" s="299" t="s">
        <v>135</v>
      </c>
      <c r="G91" s="299"/>
      <c r="H91" s="299"/>
      <c r="I91" s="299"/>
      <c r="J91" s="299"/>
      <c r="K91" s="299"/>
      <c r="L91" s="299"/>
      <c r="M91" s="299"/>
      <c r="N91" s="299"/>
      <c r="O91" s="299"/>
      <c r="P91" s="299"/>
      <c r="Q91" s="299"/>
      <c r="R91" s="299"/>
      <c r="S91" s="299"/>
      <c r="T91" s="299"/>
      <c r="U91" s="299"/>
      <c r="V91" s="299"/>
      <c r="W91" s="299"/>
      <c r="X91" s="300"/>
      <c r="Z91" s="146"/>
    </row>
    <row r="92" spans="1:26" s="145" customFormat="1" ht="15.75" thickBot="1" x14ac:dyDescent="0.3">
      <c r="B92" s="6" t="s">
        <v>100</v>
      </c>
      <c r="C92" s="75">
        <v>21600</v>
      </c>
      <c r="E92" s="297"/>
      <c r="F92" s="52">
        <f>C48</f>
        <v>5.2249165140167309E-2</v>
      </c>
      <c r="G92" s="254">
        <v>0.01</v>
      </c>
      <c r="H92" s="255">
        <v>1.4999999999999999E-2</v>
      </c>
      <c r="I92" s="255">
        <v>0.02</v>
      </c>
      <c r="J92" s="255">
        <v>2.5000000000000001E-2</v>
      </c>
      <c r="K92" s="255">
        <v>3.0000000000000002E-2</v>
      </c>
      <c r="L92" s="255">
        <v>3.5000000000000003E-2</v>
      </c>
      <c r="M92" s="255">
        <v>0.04</v>
      </c>
      <c r="N92" s="255">
        <v>4.4999999999999998E-2</v>
      </c>
      <c r="O92" s="255">
        <v>4.9999999999999996E-2</v>
      </c>
      <c r="P92" s="255">
        <v>5.4999999999999993E-2</v>
      </c>
      <c r="Q92" s="255">
        <v>5.9999999999999991E-2</v>
      </c>
      <c r="R92" s="255">
        <v>6.4999999999999988E-2</v>
      </c>
      <c r="S92" s="255">
        <v>6.9999999999999993E-2</v>
      </c>
      <c r="T92" s="255">
        <v>7.4999999999999997E-2</v>
      </c>
      <c r="U92" s="255">
        <v>0.08</v>
      </c>
      <c r="V92" s="255">
        <v>8.5000000000000006E-2</v>
      </c>
      <c r="W92" s="255">
        <v>9.0000000000000011E-2</v>
      </c>
      <c r="X92" s="256">
        <v>9.5000000000000015E-2</v>
      </c>
      <c r="Z92" s="146"/>
    </row>
    <row r="93" spans="1:26" s="145" customFormat="1" x14ac:dyDescent="0.25">
      <c r="C93" s="164">
        <f>C92*0.3</f>
        <v>6480</v>
      </c>
      <c r="E93" s="297"/>
      <c r="F93" s="12">
        <v>500000</v>
      </c>
      <c r="G93" s="13">
        <f t="dataTable" ref="G93:X109" dt2D="1" dtr="1" r1="C41" r2="C43"/>
        <v>4.7880579841350634E-3</v>
      </c>
      <c r="H93" s="13">
        <v>4.5119652966973955E-3</v>
      </c>
      <c r="I93" s="41">
        <v>4.2359474342381631E-3</v>
      </c>
      <c r="J93" s="41">
        <v>3.9600043767729076E-3</v>
      </c>
      <c r="K93" s="41">
        <v>3.6841361042840859E-3</v>
      </c>
      <c r="L93" s="41">
        <v>3.4083425968061132E-3</v>
      </c>
      <c r="M93" s="41">
        <v>3.1326238343611923E-3</v>
      </c>
      <c r="N93" s="41">
        <v>2.8569797969524302E-3</v>
      </c>
      <c r="O93" s="41">
        <v>2.5814104646237901E-3</v>
      </c>
      <c r="P93" s="41">
        <v>2.3059158174245642E-3</v>
      </c>
      <c r="Q93" s="41">
        <v>2.0304958353574154E-3</v>
      </c>
      <c r="R93" s="41">
        <v>1.7551504984876232E-3</v>
      </c>
      <c r="S93" s="41">
        <v>1.4798797868822433E-3</v>
      </c>
      <c r="T93" s="41">
        <v>1.2046836805590377E-3</v>
      </c>
      <c r="U93" s="41">
        <v>9.2956215960549038E-4</v>
      </c>
      <c r="V93" s="41">
        <v>6.5451520409931518E-4</v>
      </c>
      <c r="W93" s="41">
        <v>3.7954279407403924E-4</v>
      </c>
      <c r="X93" s="42">
        <v>1.0464490962180939E-4</v>
      </c>
      <c r="Z93" s="146"/>
    </row>
    <row r="94" spans="1:26" s="145" customFormat="1" x14ac:dyDescent="0.25">
      <c r="B94" s="168"/>
      <c r="C94" s="169"/>
      <c r="E94" s="297"/>
      <c r="F94" s="12">
        <v>544000</v>
      </c>
      <c r="G94" s="257">
        <v>8.8307968956666816E-3</v>
      </c>
      <c r="H94" s="257">
        <v>8.5536046547278755E-3</v>
      </c>
      <c r="I94" s="258">
        <v>8.2764875337189014E-3</v>
      </c>
      <c r="J94" s="258">
        <v>7.9994455125249608E-3</v>
      </c>
      <c r="K94" s="258">
        <v>7.7224785711071942E-3</v>
      </c>
      <c r="L94" s="258">
        <v>7.4455866893901046E-3</v>
      </c>
      <c r="M94" s="258">
        <v>7.1687698473144046E-3</v>
      </c>
      <c r="N94" s="258">
        <v>6.8920280248487842E-3</v>
      </c>
      <c r="O94" s="258">
        <v>6.6153612019121955E-3</v>
      </c>
      <c r="P94" s="258">
        <v>6.3387693584757709E-3</v>
      </c>
      <c r="Q94" s="258">
        <v>6.0622524745017614E-3</v>
      </c>
      <c r="R94" s="258">
        <v>5.7858105299530838E-3</v>
      </c>
      <c r="S94" s="258">
        <v>5.5094435048139712E-3</v>
      </c>
      <c r="T94" s="258">
        <v>5.2331513790488948E-3</v>
      </c>
      <c r="U94" s="258">
        <v>4.9569341326403116E-3</v>
      </c>
      <c r="V94" s="258">
        <v>4.6807917455788939E-3</v>
      </c>
      <c r="W94" s="258">
        <v>4.404724197879295E-3</v>
      </c>
      <c r="X94" s="259">
        <v>4.1287314695062083E-3</v>
      </c>
      <c r="Z94" s="146"/>
    </row>
    <row r="95" spans="1:26" s="145" customFormat="1" x14ac:dyDescent="0.25">
      <c r="C95" s="146"/>
      <c r="E95" s="297"/>
      <c r="F95" s="12">
        <v>1000000</v>
      </c>
      <c r="G95" s="13">
        <v>3.0037880199541567E-2</v>
      </c>
      <c r="H95" s="13">
        <v>2.9754920732843138E-2</v>
      </c>
      <c r="I95" s="41">
        <v>2.9472037932801953E-2</v>
      </c>
      <c r="J95" s="41">
        <v>2.9189231778916858E-2</v>
      </c>
      <c r="K95" s="41">
        <v>2.8906502250749311E-2</v>
      </c>
      <c r="L95" s="41">
        <v>2.8623849327794826E-2</v>
      </c>
      <c r="M95" s="41">
        <v>2.8341272989601096E-2</v>
      </c>
      <c r="N95" s="41">
        <v>2.8058773215698052E-2</v>
      </c>
      <c r="O95" s="41">
        <v>2.7776349985617621E-2</v>
      </c>
      <c r="P95" s="41">
        <v>2.7494003278926371E-2</v>
      </c>
      <c r="Q95" s="41">
        <v>2.7211733075176658E-2</v>
      </c>
      <c r="R95" s="41">
        <v>2.6929539353911514E-2</v>
      </c>
      <c r="S95" s="41">
        <v>2.6647422094707274E-2</v>
      </c>
      <c r="T95" s="41">
        <v>2.6365381277136279E-2</v>
      </c>
      <c r="U95" s="41">
        <v>2.6083416880775756E-2</v>
      </c>
      <c r="V95" s="41">
        <v>2.5801528885194935E-2</v>
      </c>
      <c r="W95" s="41">
        <v>2.5519717269976372E-2</v>
      </c>
      <c r="X95" s="42">
        <v>2.5237982014736593E-2</v>
      </c>
      <c r="Z95" s="146"/>
    </row>
    <row r="96" spans="1:26" s="145" customFormat="1" x14ac:dyDescent="0.25">
      <c r="C96" s="164"/>
      <c r="E96" s="297"/>
      <c r="F96" s="12">
        <v>1458717</v>
      </c>
      <c r="G96" s="13">
        <v>3.8106677302433223E-2</v>
      </c>
      <c r="H96" s="13">
        <v>3.7821523858500461E-2</v>
      </c>
      <c r="I96" s="41">
        <v>3.753644766955877E-2</v>
      </c>
      <c r="J96" s="41">
        <v>3.7251448714959334E-2</v>
      </c>
      <c r="K96" s="41">
        <v>3.6966526974072433E-2</v>
      </c>
      <c r="L96" s="41">
        <v>3.668168242627079E-2</v>
      </c>
      <c r="M96" s="41">
        <v>3.6396915050939116E-2</v>
      </c>
      <c r="N96" s="41">
        <v>3.6112224827441031E-2</v>
      </c>
      <c r="O96" s="41">
        <v>3.5827611735179232E-2</v>
      </c>
      <c r="P96" s="41">
        <v>3.5543075753541542E-2</v>
      </c>
      <c r="Q96" s="41">
        <v>3.5258616861941539E-2</v>
      </c>
      <c r="R96" s="41">
        <v>3.4974235039758605E-2</v>
      </c>
      <c r="S96" s="41">
        <v>3.4689930266405877E-2</v>
      </c>
      <c r="T96" s="41">
        <v>3.4405702521312032E-2</v>
      </c>
      <c r="U96" s="41">
        <v>3.4121551783878212E-2</v>
      </c>
      <c r="V96" s="41">
        <v>3.3837478033540647E-2</v>
      </c>
      <c r="W96" s="41">
        <v>3.3553481249736006E-2</v>
      </c>
      <c r="X96" s="42">
        <v>3.3269561411891635E-2</v>
      </c>
      <c r="Z96" s="146"/>
    </row>
    <row r="97" spans="2:26" s="145" customFormat="1" x14ac:dyDescent="0.25">
      <c r="C97" s="164"/>
      <c r="E97" s="297"/>
      <c r="F97" s="12">
        <v>5000000</v>
      </c>
      <c r="G97" s="13">
        <v>5.0687447915402473E-2</v>
      </c>
      <c r="H97" s="13">
        <v>5.0398873992315796E-2</v>
      </c>
      <c r="I97" s="41">
        <v>5.0110378241383202E-2</v>
      </c>
      <c r="J97" s="41">
        <v>4.9821960641681207E-2</v>
      </c>
      <c r="K97" s="41">
        <v>4.9533621172344722E-2</v>
      </c>
      <c r="L97" s="41">
        <v>4.9245359812469358E-2</v>
      </c>
      <c r="M97" s="41">
        <v>4.8957176541245984E-2</v>
      </c>
      <c r="N97" s="41">
        <v>4.8669071337787306E-2</v>
      </c>
      <c r="O97" s="41">
        <v>4.8381044181228017E-2</v>
      </c>
      <c r="P97" s="41">
        <v>4.8093095050738333E-2</v>
      </c>
      <c r="Q97" s="41">
        <v>4.7805223925467821E-2</v>
      </c>
      <c r="R97" s="41">
        <v>4.7517430784583148E-2</v>
      </c>
      <c r="S97" s="41">
        <v>4.7229715607227218E-2</v>
      </c>
      <c r="T97" s="41">
        <v>4.6942078372600449E-2</v>
      </c>
      <c r="U97" s="41">
        <v>4.6654519059879052E-2</v>
      </c>
      <c r="V97" s="41">
        <v>4.6367037648214371E-2</v>
      </c>
      <c r="W97" s="41">
        <v>4.6079634116839463E-2</v>
      </c>
      <c r="X97" s="42">
        <v>4.5792308444935648E-2</v>
      </c>
      <c r="Z97" s="146"/>
    </row>
    <row r="98" spans="2:26" s="145" customFormat="1" ht="15.75" thickBot="1" x14ac:dyDescent="0.3">
      <c r="C98" s="164"/>
      <c r="E98" s="297"/>
      <c r="F98" s="12">
        <v>10000000</v>
      </c>
      <c r="G98" s="13">
        <v>5.3297182861262726E-2</v>
      </c>
      <c r="H98" s="13">
        <v>5.3007899451514628E-2</v>
      </c>
      <c r="I98" s="41">
        <v>5.2718694404094713E-2</v>
      </c>
      <c r="J98" s="41">
        <v>5.2429567698101698E-2</v>
      </c>
      <c r="K98" s="41">
        <v>5.2140519312565026E-2</v>
      </c>
      <c r="L98" s="41">
        <v>5.1851549226592963E-2</v>
      </c>
      <c r="M98" s="41">
        <v>5.1562657419290003E-2</v>
      </c>
      <c r="N98" s="41">
        <v>5.1273843869699576E-2</v>
      </c>
      <c r="O98" s="41">
        <v>5.098510855695082E-2</v>
      </c>
      <c r="P98" s="41">
        <v>5.069645146012447E-2</v>
      </c>
      <c r="Q98" s="41">
        <v>5.0407872558342559E-2</v>
      </c>
      <c r="R98" s="41">
        <v>5.0119371830700254E-2</v>
      </c>
      <c r="S98" s="41">
        <v>4.9830949256332691E-2</v>
      </c>
      <c r="T98" s="41">
        <v>4.9542604814341917E-2</v>
      </c>
      <c r="U98" s="41">
        <v>4.9254338483883719E-2</v>
      </c>
      <c r="V98" s="41">
        <v>4.8966150244058371E-2</v>
      </c>
      <c r="W98" s="41">
        <v>4.8678040074018769E-2</v>
      </c>
      <c r="X98" s="42">
        <v>4.8390007952933134E-2</v>
      </c>
      <c r="Z98" s="146"/>
    </row>
    <row r="99" spans="2:26" s="145" customFormat="1" ht="15.75" thickBot="1" x14ac:dyDescent="0.3">
      <c r="B99" s="7"/>
      <c r="C99" s="170"/>
      <c r="E99" s="297"/>
      <c r="F99" s="90">
        <v>16550000</v>
      </c>
      <c r="G99" s="221">
        <v>5.4331803627038822E-2</v>
      </c>
      <c r="H99" s="221">
        <v>5.4042238948574184E-2</v>
      </c>
      <c r="I99" s="263">
        <v>5.3752752707842966E-2</v>
      </c>
      <c r="J99" s="263">
        <v>5.3463344883907027E-2</v>
      </c>
      <c r="K99" s="263">
        <v>5.3174015455847767E-2</v>
      </c>
      <c r="L99" s="263">
        <v>5.2884764402678419E-2</v>
      </c>
      <c r="M99" s="263">
        <v>5.2595591703475719E-2</v>
      </c>
      <c r="N99" s="263">
        <v>5.2306497337328839E-2</v>
      </c>
      <c r="O99" s="263">
        <v>5.201748128332051E-2</v>
      </c>
      <c r="P99" s="263">
        <v>5.1728543520482395E-2</v>
      </c>
      <c r="Q99" s="263">
        <v>5.143968402794008E-2</v>
      </c>
      <c r="R99" s="263">
        <v>5.115090278478851E-2</v>
      </c>
      <c r="S99" s="263">
        <v>5.0862199770099981E-2</v>
      </c>
      <c r="T99" s="263">
        <v>5.0573574962994083E-2</v>
      </c>
      <c r="U99" s="263">
        <v>5.0285028342570204E-2</v>
      </c>
      <c r="V99" s="263">
        <v>4.9996559887964587E-2</v>
      </c>
      <c r="W99" s="263">
        <v>4.9708169578267958E-2</v>
      </c>
      <c r="X99" s="264">
        <v>4.9419857392609456E-2</v>
      </c>
      <c r="Z99" s="146"/>
    </row>
    <row r="100" spans="2:26" s="145" customFormat="1" x14ac:dyDescent="0.25">
      <c r="E100" s="297"/>
      <c r="F100" s="12">
        <v>20000000</v>
      </c>
      <c r="G100" s="13">
        <v>5.4604446796829187E-2</v>
      </c>
      <c r="H100" s="13">
        <v>5.4314807998906423E-2</v>
      </c>
      <c r="I100" s="13">
        <v>5.4025247658619158E-2</v>
      </c>
      <c r="J100" s="13">
        <v>5.3735765754981291E-2</v>
      </c>
      <c r="K100" s="13">
        <v>5.3446362267049796E-2</v>
      </c>
      <c r="L100" s="13">
        <v>5.315703717390674E-2</v>
      </c>
      <c r="M100" s="13">
        <v>5.2867790454578012E-2</v>
      </c>
      <c r="N100" s="13">
        <v>5.2578622088130578E-2</v>
      </c>
      <c r="O100" s="13">
        <v>5.2289532053669818E-2</v>
      </c>
      <c r="P100" s="13">
        <v>5.2000520330219846E-2</v>
      </c>
      <c r="Q100" s="13">
        <v>5.1711586896890038E-2</v>
      </c>
      <c r="R100" s="13">
        <v>5.1422731732762017E-2</v>
      </c>
      <c r="S100" s="13">
        <v>5.1133954816949601E-2</v>
      </c>
      <c r="T100" s="13">
        <v>5.0845256128508876E-2</v>
      </c>
      <c r="U100" s="13">
        <v>5.0556635646563208E-2</v>
      </c>
      <c r="V100" s="13">
        <v>5.0268093350239296E-2</v>
      </c>
      <c r="W100" s="13">
        <v>4.9979629218618093E-2</v>
      </c>
      <c r="X100" s="16">
        <v>4.9691243230831406E-2</v>
      </c>
      <c r="Z100" s="146"/>
    </row>
    <row r="101" spans="2:26" s="145" customFormat="1" x14ac:dyDescent="0.25">
      <c r="B101" s="7"/>
      <c r="C101" s="171"/>
      <c r="E101" s="297"/>
      <c r="F101" s="12">
        <v>32000000</v>
      </c>
      <c r="G101" s="13">
        <v>5.5095083223972496E-2</v>
      </c>
      <c r="H101" s="13">
        <v>5.4805311044518135E-2</v>
      </c>
      <c r="I101" s="13">
        <v>5.4515617358442015E-2</v>
      </c>
      <c r="J101" s="13">
        <v>5.4226002144775798E-2</v>
      </c>
      <c r="K101" s="13">
        <v>5.393646538256891E-2</v>
      </c>
      <c r="L101" s="13">
        <v>5.3647007050864115E-2</v>
      </c>
      <c r="M101" s="13">
        <v>5.3357627128702623E-2</v>
      </c>
      <c r="N101" s="13">
        <v>5.306832559512431E-2</v>
      </c>
      <c r="O101" s="13">
        <v>5.2779102429235891E-2</v>
      </c>
      <c r="P101" s="13">
        <v>5.2489957610067695E-2</v>
      </c>
      <c r="Q101" s="13">
        <v>5.2200891116706227E-2</v>
      </c>
      <c r="R101" s="13">
        <v>5.1911902928220233E-2</v>
      </c>
      <c r="S101" s="13">
        <v>5.1622993023695329E-2</v>
      </c>
      <c r="T101" s="13">
        <v>5.1334161382216248E-2</v>
      </c>
      <c r="U101" s="13">
        <v>5.1045407982879487E-2</v>
      </c>
      <c r="V101" s="13">
        <v>5.0756732804791982E-2</v>
      </c>
      <c r="W101" s="13">
        <v>5.04681358270469E-2</v>
      </c>
      <c r="X101" s="16">
        <v>5.0179617028762946E-2</v>
      </c>
      <c r="Z101" s="146"/>
    </row>
    <row r="102" spans="2:26" s="145" customFormat="1" x14ac:dyDescent="0.25">
      <c r="B102" s="172"/>
      <c r="C102" s="173"/>
      <c r="E102" s="297"/>
      <c r="F102" s="12">
        <v>50000000</v>
      </c>
      <c r="G102" s="210">
        <v>5.5389573137017312E-2</v>
      </c>
      <c r="H102" s="210">
        <v>5.5099720899546734E-2</v>
      </c>
      <c r="I102" s="210">
        <v>5.4809947176947205E-2</v>
      </c>
      <c r="J102" s="210">
        <v>5.4520251948199538E-2</v>
      </c>
      <c r="K102" s="210">
        <v>5.4230635192378251E-2</v>
      </c>
      <c r="L102" s="210">
        <v>5.3941096888479256E-2</v>
      </c>
      <c r="M102" s="210">
        <v>5.3651637015570408E-2</v>
      </c>
      <c r="N102" s="210">
        <v>5.3362255552729554E-2</v>
      </c>
      <c r="O102" s="210">
        <v>5.3072952478945057E-2</v>
      </c>
      <c r="P102" s="210">
        <v>5.2783727773344724E-2</v>
      </c>
      <c r="Q102" s="210">
        <v>5.2494581414939567E-2</v>
      </c>
      <c r="R102" s="210">
        <v>5.2205513382846513E-2</v>
      </c>
      <c r="S102" s="210">
        <v>5.1916523656102331E-2</v>
      </c>
      <c r="T102" s="210">
        <v>5.1627612213830831E-2</v>
      </c>
      <c r="U102" s="210">
        <v>5.1338779035074111E-2</v>
      </c>
      <c r="V102" s="210">
        <v>5.1050024098949764E-2</v>
      </c>
      <c r="W102" s="210">
        <v>5.0761347384572941E-2</v>
      </c>
      <c r="X102" s="260">
        <v>5.0472748871021267E-2</v>
      </c>
      <c r="Z102" s="146"/>
    </row>
    <row r="103" spans="2:26" s="145" customFormat="1" x14ac:dyDescent="0.25">
      <c r="B103" s="174"/>
      <c r="C103" s="175"/>
      <c r="E103" s="297"/>
      <c r="F103" s="12">
        <v>75000000</v>
      </c>
      <c r="G103" s="210">
        <v>5.5564123931655107E-2</v>
      </c>
      <c r="H103" s="210">
        <v>5.5274224242116476E-2</v>
      </c>
      <c r="I103" s="210">
        <v>5.4984403080152067E-2</v>
      </c>
      <c r="J103" s="210">
        <v>5.4694660424800867E-2</v>
      </c>
      <c r="K103" s="210">
        <v>5.4404996255045468E-2</v>
      </c>
      <c r="L103" s="210">
        <v>5.4115410549974596E-2</v>
      </c>
      <c r="M103" s="210">
        <v>5.3825903288572841E-2</v>
      </c>
      <c r="N103" s="210">
        <v>5.3536474449913385E-2</v>
      </c>
      <c r="O103" s="210">
        <v>5.3247124013071412E-2</v>
      </c>
      <c r="P103" s="210">
        <v>5.2957851957063262E-2</v>
      </c>
      <c r="Q103" s="210">
        <v>5.2668658260971224E-2</v>
      </c>
      <c r="R103" s="210">
        <v>5.2379542903879805E-2</v>
      </c>
      <c r="S103" s="210">
        <v>5.2090505864827996E-2</v>
      </c>
      <c r="T103" s="210">
        <v>5.1801547122904523E-2</v>
      </c>
      <c r="U103" s="210">
        <v>5.1512666657226092E-2</v>
      </c>
      <c r="V103" s="210">
        <v>5.1223864446833023E-2</v>
      </c>
      <c r="W103" s="210">
        <v>5.0935140470871998E-2</v>
      </c>
      <c r="X103" s="260">
        <v>5.064649470839222E-2</v>
      </c>
      <c r="Z103" s="146"/>
    </row>
    <row r="104" spans="2:26" s="145" customFormat="1" x14ac:dyDescent="0.25">
      <c r="B104" s="174"/>
      <c r="C104" s="176"/>
      <c r="E104" s="297"/>
      <c r="F104" s="12">
        <v>100000000</v>
      </c>
      <c r="G104" s="210">
        <v>5.5651410006219759E-2</v>
      </c>
      <c r="H104" s="210">
        <v>5.5361486587773401E-2</v>
      </c>
      <c r="I104" s="210">
        <v>5.5071641703266172E-2</v>
      </c>
      <c r="J104" s="210">
        <v>5.47818753317173E-2</v>
      </c>
      <c r="K104" s="210">
        <v>5.4492187452153118E-2</v>
      </c>
      <c r="L104" s="210">
        <v>5.4202578043590854E-2</v>
      </c>
      <c r="M104" s="210">
        <v>5.3913047085087928E-2</v>
      </c>
      <c r="N104" s="210">
        <v>5.362359455565846E-2</v>
      </c>
      <c r="O104" s="210">
        <v>5.3334220434396284E-2</v>
      </c>
      <c r="P104" s="210">
        <v>5.3044924700347273E-2</v>
      </c>
      <c r="Q104" s="210">
        <v>5.2755707332548196E-2</v>
      </c>
      <c r="R104" s="210">
        <v>5.2466568310079342E-2</v>
      </c>
      <c r="S104" s="210">
        <v>5.2177507612011675E-2</v>
      </c>
      <c r="T104" s="210">
        <v>5.18885252174075E-2</v>
      </c>
      <c r="U104" s="210">
        <v>5.1599621105377524E-2</v>
      </c>
      <c r="V104" s="210">
        <v>5.1310795255002928E-2</v>
      </c>
      <c r="W104" s="210">
        <v>5.102204764536955E-2</v>
      </c>
      <c r="X104" s="260">
        <v>5.073337825558033E-2</v>
      </c>
      <c r="Z104" s="146"/>
    </row>
    <row r="105" spans="2:26" s="145" customFormat="1" x14ac:dyDescent="0.25">
      <c r="B105" s="172"/>
      <c r="C105" s="173"/>
      <c r="E105" s="297"/>
      <c r="F105" s="12">
        <v>150000000</v>
      </c>
      <c r="G105" s="210">
        <v>5.5738703199705864E-2</v>
      </c>
      <c r="H105" s="210">
        <v>5.544875605044175E-2</v>
      </c>
      <c r="I105" s="210">
        <v>5.515888744147146E-2</v>
      </c>
      <c r="J105" s="210">
        <v>5.4869097351814E-2</v>
      </c>
      <c r="K105" s="210">
        <v>5.4579385760511689E-2</v>
      </c>
      <c r="L105" s="210">
        <v>5.4289752646571099E-2</v>
      </c>
      <c r="M105" s="210">
        <v>5.4000197989028775E-2</v>
      </c>
      <c r="N105" s="210">
        <v>5.371072176695213E-2</v>
      </c>
      <c r="O105" s="210">
        <v>5.3421323959359279E-2</v>
      </c>
      <c r="P105" s="210">
        <v>5.3132004545326073E-2</v>
      </c>
      <c r="Q105" s="210">
        <v>5.2842763503894608E-2</v>
      </c>
      <c r="R105" s="210">
        <v>5.2553600814158496E-2</v>
      </c>
      <c r="S105" s="210">
        <v>5.2264516455158061E-2</v>
      </c>
      <c r="T105" s="210">
        <v>5.197551040596804E-2</v>
      </c>
      <c r="U105" s="210">
        <v>5.1686582645709134E-2</v>
      </c>
      <c r="V105" s="210">
        <v>5.1397733153428771E-2</v>
      </c>
      <c r="W105" s="210">
        <v>5.1108961908213679E-2</v>
      </c>
      <c r="X105" s="260">
        <v>5.0820268889188336E-2</v>
      </c>
      <c r="Z105" s="146"/>
    </row>
    <row r="106" spans="2:26" s="145" customFormat="1" x14ac:dyDescent="0.25">
      <c r="B106" s="172"/>
      <c r="C106" s="177"/>
      <c r="E106" s="297"/>
      <c r="F106" s="12">
        <v>175000000</v>
      </c>
      <c r="G106" s="210">
        <v>5.5763645419764973E-2</v>
      </c>
      <c r="H106" s="210">
        <v>5.5473691489931642E-2</v>
      </c>
      <c r="I106" s="210">
        <v>5.5183816102179373E-2</v>
      </c>
      <c r="J106" s="210">
        <v>5.4894019235580016E-2</v>
      </c>
      <c r="K106" s="210">
        <v>5.4604300869137701E-2</v>
      </c>
      <c r="L106" s="210">
        <v>5.4314660981860552E-2</v>
      </c>
      <c r="M106" s="210">
        <v>5.4025099552831968E-2</v>
      </c>
      <c r="N106" s="210">
        <v>5.3735616561058963E-2</v>
      </c>
      <c r="O106" s="210">
        <v>5.3446211985609393E-2</v>
      </c>
      <c r="P106" s="210">
        <v>5.3156885805508258E-2</v>
      </c>
      <c r="Q106" s="210">
        <v>5.2867637999845174E-2</v>
      </c>
      <c r="R106" s="210">
        <v>5.2578468547675561E-2</v>
      </c>
      <c r="S106" s="210">
        <v>5.2289377428045958E-2</v>
      </c>
      <c r="T106" s="210">
        <v>5.2000364620070627E-2</v>
      </c>
      <c r="U106" s="210">
        <v>5.171143010280832E-2</v>
      </c>
      <c r="V106" s="210">
        <v>5.1422573855331777E-2</v>
      </c>
      <c r="W106" s="210">
        <v>5.1133795856770359E-2</v>
      </c>
      <c r="X106" s="260">
        <v>5.0845096086191033E-2</v>
      </c>
      <c r="Z106" s="146"/>
    </row>
    <row r="107" spans="2:26" s="145" customFormat="1" x14ac:dyDescent="0.25">
      <c r="E107" s="297"/>
      <c r="F107" s="12">
        <v>185000000</v>
      </c>
      <c r="G107" s="210">
        <v>5.5771734913260262E-2</v>
      </c>
      <c r="H107" s="210">
        <v>5.5481778784250979E-2</v>
      </c>
      <c r="I107" s="210">
        <v>5.5191901197977566E-2</v>
      </c>
      <c r="J107" s="210">
        <v>5.4902102133412622E-2</v>
      </c>
      <c r="K107" s="210">
        <v>5.4612381569581148E-2</v>
      </c>
      <c r="L107" s="210">
        <v>5.432273948553501E-2</v>
      </c>
      <c r="M107" s="210">
        <v>5.4033175860289662E-2</v>
      </c>
      <c r="N107" s="210">
        <v>5.3743690672918065E-2</v>
      </c>
      <c r="O107" s="210">
        <v>5.3454283902443889E-2</v>
      </c>
      <c r="P107" s="210">
        <v>5.3164955527911228E-2</v>
      </c>
      <c r="Q107" s="210">
        <v>5.2875705528414585E-2</v>
      </c>
      <c r="R107" s="210">
        <v>5.2586533882984066E-2</v>
      </c>
      <c r="S107" s="210">
        <v>5.2297440570690856E-2</v>
      </c>
      <c r="T107" s="210">
        <v>5.2008425570637673E-2</v>
      </c>
      <c r="U107" s="210">
        <v>5.1719488861887486E-2</v>
      </c>
      <c r="V107" s="210">
        <v>5.1430630423509482E-2</v>
      </c>
      <c r="W107" s="210">
        <v>5.1141850234635244E-2</v>
      </c>
      <c r="X107" s="260">
        <v>5.0853148274334181E-2</v>
      </c>
      <c r="Z107" s="146"/>
    </row>
    <row r="108" spans="2:26" s="145" customFormat="1" x14ac:dyDescent="0.25">
      <c r="B108" s="172"/>
      <c r="C108" s="176"/>
      <c r="E108" s="297"/>
      <c r="F108" s="12">
        <v>195000000</v>
      </c>
      <c r="G108" s="210">
        <v>5.5778994767136325E-2</v>
      </c>
      <c r="H108" s="210">
        <v>5.5489036664548186E-2</v>
      </c>
      <c r="I108" s="210">
        <v>5.5199157105181973E-2</v>
      </c>
      <c r="J108" s="210">
        <v>5.4909356068076454E-2</v>
      </c>
      <c r="K108" s="210">
        <v>5.4619633532234424E-2</v>
      </c>
      <c r="L108" s="210">
        <v>5.4329989476705753E-2</v>
      </c>
      <c r="M108" s="210">
        <v>5.4040423880506117E-2</v>
      </c>
      <c r="N108" s="210">
        <v>5.375093672270248E-2</v>
      </c>
      <c r="O108" s="210">
        <v>5.3461527982325396E-2</v>
      </c>
      <c r="P108" s="210">
        <v>5.3172197638414298E-2</v>
      </c>
      <c r="Q108" s="210">
        <v>5.2882945670064574E-2</v>
      </c>
      <c r="R108" s="210">
        <v>5.2593772056315213E-2</v>
      </c>
      <c r="S108" s="210">
        <v>5.2304676776242953E-2</v>
      </c>
      <c r="T108" s="210">
        <v>5.2015659808919867E-2</v>
      </c>
      <c r="U108" s="210">
        <v>5.1726721133425579E-2</v>
      </c>
      <c r="V108" s="210">
        <v>5.14378607288557E-2</v>
      </c>
      <c r="W108" s="210">
        <v>5.1149078574289408E-2</v>
      </c>
      <c r="X108" s="260">
        <v>5.0860374648817874E-2</v>
      </c>
      <c r="Z108" s="146"/>
    </row>
    <row r="109" spans="2:26" s="145" customFormat="1" x14ac:dyDescent="0.25">
      <c r="E109" s="298"/>
      <c r="F109" s="27">
        <v>220000000</v>
      </c>
      <c r="G109" s="261">
        <v>5.3954494617502569E-2</v>
      </c>
      <c r="H109" s="261">
        <v>5.3674311987587764E-2</v>
      </c>
      <c r="I109" s="261">
        <v>5.339420282118601E-2</v>
      </c>
      <c r="J109" s="261">
        <v>5.3114167099328258E-2</v>
      </c>
      <c r="K109" s="261">
        <v>5.2834204803008378E-2</v>
      </c>
      <c r="L109" s="261">
        <v>5.2554315913247773E-2</v>
      </c>
      <c r="M109" s="261">
        <v>5.2274500411068292E-2</v>
      </c>
      <c r="N109" s="261">
        <v>5.1994758277490893E-2</v>
      </c>
      <c r="O109" s="261">
        <v>5.171508949354453E-2</v>
      </c>
      <c r="P109" s="261">
        <v>5.1435494040262375E-2</v>
      </c>
      <c r="Q109" s="261">
        <v>5.1155971898679153E-2</v>
      </c>
      <c r="R109" s="261">
        <v>5.0876523049858458E-2</v>
      </c>
      <c r="S109" s="261">
        <v>5.0597147474807036E-2</v>
      </c>
      <c r="T109" s="261">
        <v>5.0317845154637775E-2</v>
      </c>
      <c r="U109" s="261">
        <v>5.003861607036586E-2</v>
      </c>
      <c r="V109" s="261">
        <v>4.9759460203079309E-2</v>
      </c>
      <c r="W109" s="261">
        <v>4.9480377533833941E-2</v>
      </c>
      <c r="X109" s="262">
        <v>4.9201368043698457E-2</v>
      </c>
      <c r="Z109" s="146"/>
    </row>
    <row r="110" spans="2:26" s="145" customFormat="1" x14ac:dyDescent="0.25">
      <c r="Z110" s="146"/>
    </row>
    <row r="111" spans="2:26" s="145" customFormat="1" x14ac:dyDescent="0.25">
      <c r="Z111" s="146"/>
    </row>
    <row r="112" spans="2:26" s="145" customFormat="1" x14ac:dyDescent="0.25">
      <c r="Z112" s="146"/>
    </row>
    <row r="113" spans="11:26" s="145" customFormat="1" x14ac:dyDescent="0.25">
      <c r="Z113" s="146"/>
    </row>
    <row r="114" spans="11:26" s="145" customFormat="1" x14ac:dyDescent="0.25">
      <c r="Z114" s="146"/>
    </row>
    <row r="115" spans="11:26" s="145" customFormat="1" x14ac:dyDescent="0.25">
      <c r="Z115" s="146"/>
    </row>
    <row r="116" spans="11:26" s="145" customFormat="1" x14ac:dyDescent="0.25">
      <c r="Z116" s="146"/>
    </row>
    <row r="117" spans="11:26" s="145" customFormat="1" x14ac:dyDescent="0.25">
      <c r="Z117" s="146"/>
    </row>
    <row r="118" spans="11:26" s="145" customFormat="1" x14ac:dyDescent="0.25">
      <c r="Z118" s="146"/>
    </row>
    <row r="119" spans="11:26" s="145" customFormat="1" x14ac:dyDescent="0.25">
      <c r="Z119" s="146"/>
    </row>
    <row r="120" spans="11:26" s="145" customFormat="1" x14ac:dyDescent="0.25">
      <c r="Z120" s="146"/>
    </row>
    <row r="121" spans="11:26" s="145" customFormat="1" x14ac:dyDescent="0.25">
      <c r="Z121" s="146"/>
    </row>
    <row r="122" spans="11:26" s="145" customFormat="1" x14ac:dyDescent="0.25">
      <c r="Z122" s="146"/>
    </row>
    <row r="123" spans="11:26" s="145" customFormat="1" x14ac:dyDescent="0.25">
      <c r="Z123" s="146"/>
    </row>
    <row r="124" spans="11:26" s="145" customFormat="1" x14ac:dyDescent="0.25">
      <c r="Z124" s="146"/>
    </row>
    <row r="125" spans="11:26" s="145" customFormat="1" x14ac:dyDescent="0.25">
      <c r="Z125" s="146"/>
    </row>
    <row r="126" spans="11:26" s="145" customFormat="1" x14ac:dyDescent="0.25">
      <c r="K126" s="147"/>
      <c r="Z126" s="146"/>
    </row>
    <row r="127" spans="11:26" s="145" customFormat="1" x14ac:dyDescent="0.25">
      <c r="Z127" s="146"/>
    </row>
    <row r="128" spans="11:26" s="145" customFormat="1" ht="15" customHeight="1" x14ac:dyDescent="0.25">
      <c r="Z128" s="146"/>
    </row>
    <row r="129" spans="5:26" s="145" customFormat="1" ht="15" customHeight="1" x14ac:dyDescent="0.25">
      <c r="Z129" s="146"/>
    </row>
    <row r="130" spans="5:26" s="145" customFormat="1" x14ac:dyDescent="0.25">
      <c r="Z130" s="146"/>
    </row>
    <row r="131" spans="5:26" s="145" customFormat="1" x14ac:dyDescent="0.25">
      <c r="Z131" s="146"/>
    </row>
    <row r="132" spans="5:26" s="145" customFormat="1" x14ac:dyDescent="0.25">
      <c r="Z132" s="146"/>
    </row>
    <row r="133" spans="5:26" s="145" customFormat="1" x14ac:dyDescent="0.25">
      <c r="Z133" s="146"/>
    </row>
    <row r="134" spans="5:26" s="145" customFormat="1" x14ac:dyDescent="0.25">
      <c r="Z134" s="146"/>
    </row>
    <row r="135" spans="5:26" s="145" customFormat="1" x14ac:dyDescent="0.25">
      <c r="Z135" s="146"/>
    </row>
    <row r="136" spans="5:26" s="145" customFormat="1" x14ac:dyDescent="0.25">
      <c r="Z136" s="146"/>
    </row>
    <row r="137" spans="5:26" s="145" customFormat="1" x14ac:dyDescent="0.25">
      <c r="Z137" s="146"/>
    </row>
    <row r="138" spans="5:26" s="145" customFormat="1" x14ac:dyDescent="0.25">
      <c r="Z138" s="146"/>
    </row>
    <row r="139" spans="5:26" s="110" customFormat="1" x14ac:dyDescent="0.25">
      <c r="Z139" s="109"/>
    </row>
    <row r="140" spans="5:26" s="110" customFormat="1" x14ac:dyDescent="0.25">
      <c r="E140" s="112"/>
      <c r="F140" s="109"/>
      <c r="Z140" s="109"/>
    </row>
    <row r="141" spans="5:26" s="110" customFormat="1" x14ac:dyDescent="0.25">
      <c r="E141" s="112"/>
      <c r="F141" s="153"/>
      <c r="G141" s="154"/>
      <c r="Z141" s="109"/>
    </row>
    <row r="142" spans="5:26" s="110" customFormat="1" x14ac:dyDescent="0.25">
      <c r="E142" s="112"/>
      <c r="F142" s="155"/>
      <c r="G142" s="154"/>
      <c r="Z142" s="109"/>
    </row>
    <row r="143" spans="5:26" s="110" customFormat="1" x14ac:dyDescent="0.25">
      <c r="E143" s="112"/>
      <c r="F143" s="156"/>
      <c r="G143" s="154"/>
      <c r="Z143" s="109"/>
    </row>
    <row r="144" spans="5:26" s="110" customFormat="1" x14ac:dyDescent="0.25">
      <c r="E144" s="112"/>
      <c r="F144" s="157"/>
      <c r="G144" s="179"/>
      <c r="H144" s="179"/>
      <c r="I144" s="179"/>
      <c r="J144" s="179"/>
      <c r="K144" s="179"/>
      <c r="L144" s="179"/>
      <c r="M144" s="179"/>
      <c r="N144" s="179"/>
      <c r="O144" s="179"/>
      <c r="P144" s="179"/>
      <c r="Q144" s="179"/>
      <c r="R144" s="179"/>
      <c r="S144" s="179"/>
      <c r="T144" s="179"/>
      <c r="U144" s="179"/>
      <c r="V144" s="179"/>
      <c r="W144" s="179"/>
      <c r="X144" s="179"/>
      <c r="Z144" s="109"/>
    </row>
    <row r="145" spans="5:26" s="110" customFormat="1" x14ac:dyDescent="0.25">
      <c r="E145" s="161"/>
      <c r="F145" s="178"/>
      <c r="G145" s="178"/>
      <c r="H145" s="178"/>
      <c r="I145" s="178"/>
      <c r="J145" s="178"/>
      <c r="K145" s="178"/>
      <c r="L145" s="178"/>
      <c r="M145" s="178"/>
      <c r="N145" s="178"/>
      <c r="O145" s="178"/>
      <c r="P145" s="178"/>
      <c r="Q145" s="178"/>
      <c r="R145" s="178"/>
      <c r="S145" s="178"/>
      <c r="T145" s="178"/>
      <c r="U145" s="178"/>
      <c r="V145" s="178"/>
      <c r="W145" s="178"/>
      <c r="X145" s="178"/>
      <c r="Z145" s="109"/>
    </row>
    <row r="146" spans="5:26" s="110" customFormat="1" x14ac:dyDescent="0.25">
      <c r="E146" s="161"/>
      <c r="F146" s="158"/>
      <c r="G146" s="159"/>
      <c r="H146" s="159"/>
      <c r="I146" s="159"/>
      <c r="J146" s="159"/>
      <c r="K146" s="159"/>
      <c r="L146" s="159"/>
      <c r="M146" s="159"/>
      <c r="N146" s="159"/>
      <c r="O146" s="159"/>
      <c r="P146" s="159"/>
      <c r="Q146" s="159"/>
      <c r="R146" s="159"/>
      <c r="S146" s="159"/>
      <c r="T146" s="159"/>
      <c r="U146" s="159"/>
      <c r="V146" s="159"/>
      <c r="W146" s="159"/>
      <c r="X146" s="159"/>
      <c r="Z146" s="109"/>
    </row>
    <row r="147" spans="5:26" s="110" customFormat="1" x14ac:dyDescent="0.25">
      <c r="E147" s="161"/>
      <c r="F147" s="159"/>
      <c r="G147" s="148"/>
      <c r="H147" s="148"/>
      <c r="I147" s="149"/>
      <c r="J147" s="149"/>
      <c r="K147" s="149"/>
      <c r="L147" s="149"/>
      <c r="M147" s="149"/>
      <c r="N147" s="149"/>
      <c r="O147" s="149"/>
      <c r="P147" s="149"/>
      <c r="Q147" s="149"/>
      <c r="R147" s="149"/>
      <c r="S147" s="149"/>
      <c r="T147" s="149"/>
      <c r="U147" s="149"/>
      <c r="V147" s="149"/>
      <c r="W147" s="149"/>
      <c r="X147" s="149"/>
      <c r="Z147" s="109"/>
    </row>
    <row r="148" spans="5:26" s="110" customFormat="1" x14ac:dyDescent="0.25">
      <c r="E148" s="161"/>
      <c r="F148" s="159"/>
      <c r="G148" s="148"/>
      <c r="H148" s="148"/>
      <c r="I148" s="149"/>
      <c r="J148" s="149"/>
      <c r="K148" s="149"/>
      <c r="L148" s="149"/>
      <c r="M148" s="149"/>
      <c r="N148" s="149"/>
      <c r="O148" s="149"/>
      <c r="P148" s="149"/>
      <c r="Q148" s="149"/>
      <c r="R148" s="149"/>
      <c r="S148" s="149"/>
      <c r="T148" s="149"/>
      <c r="U148" s="149"/>
      <c r="V148" s="149"/>
      <c r="W148" s="149"/>
      <c r="X148" s="149"/>
      <c r="Z148" s="109"/>
    </row>
    <row r="149" spans="5:26" s="110" customFormat="1" x14ac:dyDescent="0.25">
      <c r="E149" s="161"/>
      <c r="F149" s="159"/>
      <c r="G149" s="148"/>
      <c r="H149" s="148"/>
      <c r="I149" s="149"/>
      <c r="J149" s="149"/>
      <c r="K149" s="149"/>
      <c r="L149" s="149"/>
      <c r="M149" s="149"/>
      <c r="N149" s="149"/>
      <c r="O149" s="149"/>
      <c r="P149" s="149"/>
      <c r="Q149" s="149"/>
      <c r="R149" s="149"/>
      <c r="S149" s="149"/>
      <c r="T149" s="149"/>
      <c r="U149" s="149"/>
      <c r="V149" s="149"/>
      <c r="W149" s="149"/>
      <c r="X149" s="149"/>
      <c r="Z149" s="109"/>
    </row>
    <row r="150" spans="5:26" s="110" customFormat="1" x14ac:dyDescent="0.25">
      <c r="E150" s="161"/>
      <c r="F150" s="159"/>
      <c r="G150" s="148"/>
      <c r="H150" s="148"/>
      <c r="I150" s="149"/>
      <c r="J150" s="149"/>
      <c r="K150" s="149"/>
      <c r="L150" s="149"/>
      <c r="M150" s="149"/>
      <c r="N150" s="149"/>
      <c r="O150" s="149"/>
      <c r="P150" s="149"/>
      <c r="Q150" s="149"/>
      <c r="R150" s="149"/>
      <c r="S150" s="149"/>
      <c r="T150" s="149"/>
      <c r="U150" s="149"/>
      <c r="V150" s="149"/>
      <c r="W150" s="149"/>
      <c r="X150" s="149"/>
      <c r="Z150" s="109"/>
    </row>
    <row r="151" spans="5:26" s="110" customFormat="1" x14ac:dyDescent="0.25">
      <c r="E151" s="161"/>
      <c r="F151" s="159"/>
      <c r="G151" s="148"/>
      <c r="H151" s="148"/>
      <c r="I151" s="149"/>
      <c r="J151" s="149"/>
      <c r="K151" s="149"/>
      <c r="L151" s="149"/>
      <c r="M151" s="149"/>
      <c r="N151" s="149"/>
      <c r="O151" s="149"/>
      <c r="P151" s="149"/>
      <c r="Q151" s="149"/>
      <c r="R151" s="149"/>
      <c r="S151" s="149"/>
      <c r="T151" s="149"/>
      <c r="U151" s="149"/>
      <c r="V151" s="149"/>
      <c r="W151" s="149"/>
      <c r="X151" s="149"/>
      <c r="Z151" s="109"/>
    </row>
    <row r="152" spans="5:26" s="110" customFormat="1" x14ac:dyDescent="0.25">
      <c r="E152" s="161"/>
      <c r="F152" s="159"/>
      <c r="G152" s="148"/>
      <c r="H152" s="148"/>
      <c r="I152" s="149"/>
      <c r="J152" s="149"/>
      <c r="K152" s="149"/>
      <c r="L152" s="149"/>
      <c r="M152" s="149"/>
      <c r="N152" s="149"/>
      <c r="O152" s="149"/>
      <c r="P152" s="149"/>
      <c r="Q152" s="149"/>
      <c r="R152" s="149"/>
      <c r="S152" s="149"/>
      <c r="T152" s="149"/>
      <c r="U152" s="149"/>
      <c r="V152" s="149"/>
      <c r="W152" s="149"/>
      <c r="X152" s="149"/>
      <c r="Z152" s="109"/>
    </row>
    <row r="153" spans="5:26" s="110" customFormat="1" x14ac:dyDescent="0.25">
      <c r="E153" s="161"/>
      <c r="F153" s="159"/>
      <c r="G153" s="148"/>
      <c r="H153" s="148"/>
      <c r="I153" s="149"/>
      <c r="J153" s="149"/>
      <c r="K153" s="149"/>
      <c r="L153" s="149"/>
      <c r="M153" s="149"/>
      <c r="N153" s="149"/>
      <c r="O153" s="149"/>
      <c r="P153" s="149"/>
      <c r="Q153" s="149"/>
      <c r="R153" s="149"/>
      <c r="S153" s="149"/>
      <c r="T153" s="149"/>
      <c r="U153" s="149"/>
      <c r="V153" s="149"/>
      <c r="W153" s="149"/>
      <c r="X153" s="149"/>
      <c r="Z153" s="109"/>
    </row>
    <row r="154" spans="5:26" s="110" customFormat="1" x14ac:dyDescent="0.25">
      <c r="E154" s="161"/>
      <c r="F154" s="159"/>
      <c r="G154" s="148"/>
      <c r="H154" s="148"/>
      <c r="I154" s="148"/>
      <c r="J154" s="148"/>
      <c r="K154" s="148"/>
      <c r="L154" s="148"/>
      <c r="M154" s="148"/>
      <c r="N154" s="148"/>
      <c r="O154" s="148"/>
      <c r="P154" s="148"/>
      <c r="Q154" s="148"/>
      <c r="R154" s="148"/>
      <c r="S154" s="148"/>
      <c r="T154" s="148"/>
      <c r="U154" s="148"/>
      <c r="V154" s="148"/>
      <c r="W154" s="148"/>
      <c r="X154" s="148"/>
      <c r="Z154" s="109"/>
    </row>
    <row r="155" spans="5:26" s="110" customFormat="1" x14ac:dyDescent="0.25">
      <c r="E155" s="161"/>
      <c r="F155" s="159"/>
      <c r="G155" s="148"/>
      <c r="H155" s="148"/>
      <c r="I155" s="148"/>
      <c r="J155" s="148"/>
      <c r="K155" s="148"/>
      <c r="L155" s="148"/>
      <c r="M155" s="148"/>
      <c r="N155" s="148"/>
      <c r="O155" s="148"/>
      <c r="P155" s="148"/>
      <c r="Q155" s="148"/>
      <c r="R155" s="148"/>
      <c r="S155" s="148"/>
      <c r="T155" s="148"/>
      <c r="U155" s="148"/>
      <c r="V155" s="148"/>
      <c r="W155" s="148"/>
      <c r="X155" s="148"/>
      <c r="Z155" s="109"/>
    </row>
    <row r="156" spans="5:26" s="110" customFormat="1" x14ac:dyDescent="0.25">
      <c r="E156" s="161"/>
      <c r="F156" s="159"/>
      <c r="G156" s="150"/>
      <c r="H156" s="150"/>
      <c r="I156" s="150"/>
      <c r="J156" s="150"/>
      <c r="K156" s="150"/>
      <c r="L156" s="150"/>
      <c r="M156" s="150"/>
      <c r="N156" s="150"/>
      <c r="O156" s="150"/>
      <c r="P156" s="150"/>
      <c r="Q156" s="150"/>
      <c r="R156" s="150"/>
      <c r="S156" s="150"/>
      <c r="T156" s="150"/>
      <c r="U156" s="150"/>
      <c r="V156" s="150"/>
      <c r="W156" s="150"/>
      <c r="X156" s="150"/>
      <c r="Z156" s="109"/>
    </row>
    <row r="157" spans="5:26" s="110" customFormat="1" x14ac:dyDescent="0.25">
      <c r="E157" s="161"/>
      <c r="F157" s="159"/>
      <c r="G157" s="150"/>
      <c r="H157" s="150"/>
      <c r="I157" s="150"/>
      <c r="J157" s="150"/>
      <c r="K157" s="150"/>
      <c r="L157" s="150"/>
      <c r="M157" s="150"/>
      <c r="N157" s="150"/>
      <c r="O157" s="150"/>
      <c r="P157" s="150"/>
      <c r="Q157" s="150"/>
      <c r="R157" s="150"/>
      <c r="S157" s="150"/>
      <c r="T157" s="150"/>
      <c r="U157" s="150"/>
      <c r="V157" s="150"/>
      <c r="W157" s="150"/>
      <c r="X157" s="150"/>
      <c r="Z157" s="109"/>
    </row>
    <row r="158" spans="5:26" s="110" customFormat="1" x14ac:dyDescent="0.25">
      <c r="E158" s="161"/>
      <c r="F158" s="159"/>
      <c r="G158" s="150"/>
      <c r="H158" s="150"/>
      <c r="I158" s="150"/>
      <c r="J158" s="150"/>
      <c r="K158" s="150"/>
      <c r="L158" s="150"/>
      <c r="M158" s="150"/>
      <c r="N158" s="150"/>
      <c r="O158" s="150"/>
      <c r="P158" s="150"/>
      <c r="Q158" s="150"/>
      <c r="R158" s="150"/>
      <c r="S158" s="150"/>
      <c r="T158" s="150"/>
      <c r="U158" s="150"/>
      <c r="V158" s="150"/>
      <c r="W158" s="150"/>
      <c r="X158" s="150"/>
      <c r="Z158" s="109"/>
    </row>
    <row r="159" spans="5:26" s="110" customFormat="1" x14ac:dyDescent="0.25">
      <c r="E159" s="161"/>
      <c r="F159" s="159"/>
      <c r="G159" s="150"/>
      <c r="H159" s="150"/>
      <c r="I159" s="150"/>
      <c r="J159" s="150"/>
      <c r="K159" s="150"/>
      <c r="L159" s="150"/>
      <c r="M159" s="150"/>
      <c r="N159" s="150"/>
      <c r="O159" s="150"/>
      <c r="P159" s="150"/>
      <c r="Q159" s="150"/>
      <c r="R159" s="150"/>
      <c r="S159" s="150"/>
      <c r="T159" s="150"/>
      <c r="U159" s="150"/>
      <c r="V159" s="150"/>
      <c r="W159" s="150"/>
      <c r="X159" s="150"/>
      <c r="Z159" s="109"/>
    </row>
    <row r="160" spans="5:26" s="110" customFormat="1" x14ac:dyDescent="0.25">
      <c r="E160" s="161"/>
      <c r="F160" s="159"/>
      <c r="G160" s="150"/>
      <c r="H160" s="150"/>
      <c r="I160" s="150"/>
      <c r="J160" s="150"/>
      <c r="K160" s="150"/>
      <c r="L160" s="150"/>
      <c r="M160" s="150"/>
      <c r="N160" s="150"/>
      <c r="O160" s="150"/>
      <c r="P160" s="150"/>
      <c r="Q160" s="150"/>
      <c r="R160" s="150"/>
      <c r="S160" s="150"/>
      <c r="T160" s="150"/>
      <c r="U160" s="150"/>
      <c r="V160" s="150"/>
      <c r="W160" s="150"/>
      <c r="X160" s="150"/>
      <c r="Z160" s="109"/>
    </row>
    <row r="161" spans="5:26" s="110" customFormat="1" x14ac:dyDescent="0.25">
      <c r="E161" s="161"/>
      <c r="F161" s="159"/>
      <c r="G161" s="150"/>
      <c r="H161" s="150"/>
      <c r="I161" s="150"/>
      <c r="J161" s="150"/>
      <c r="K161" s="150"/>
      <c r="L161" s="150"/>
      <c r="M161" s="150"/>
      <c r="N161" s="150"/>
      <c r="O161" s="150"/>
      <c r="P161" s="150"/>
      <c r="Q161" s="150"/>
      <c r="R161" s="150"/>
      <c r="S161" s="150"/>
      <c r="T161" s="150"/>
      <c r="U161" s="150"/>
      <c r="V161" s="150"/>
      <c r="W161" s="150"/>
      <c r="X161" s="150"/>
      <c r="Z161" s="109"/>
    </row>
    <row r="162" spans="5:26" s="110" customFormat="1" x14ac:dyDescent="0.25">
      <c r="E162" s="161"/>
      <c r="F162" s="159"/>
      <c r="G162" s="150"/>
      <c r="H162" s="150"/>
      <c r="I162" s="150"/>
      <c r="J162" s="150"/>
      <c r="K162" s="150"/>
      <c r="L162" s="150"/>
      <c r="M162" s="150"/>
      <c r="N162" s="150"/>
      <c r="O162" s="150"/>
      <c r="P162" s="150"/>
      <c r="Q162" s="150"/>
      <c r="R162" s="150"/>
      <c r="S162" s="150"/>
      <c r="T162" s="150"/>
      <c r="U162" s="150"/>
      <c r="V162" s="150"/>
      <c r="W162" s="150"/>
      <c r="X162" s="150"/>
      <c r="Z162" s="109"/>
    </row>
    <row r="163" spans="5:26" s="110" customFormat="1" x14ac:dyDescent="0.25">
      <c r="E163" s="161"/>
      <c r="F163" s="159"/>
      <c r="G163" s="150"/>
      <c r="H163" s="150"/>
      <c r="I163" s="150"/>
      <c r="J163" s="150"/>
      <c r="K163" s="150"/>
      <c r="L163" s="150"/>
      <c r="M163" s="150"/>
      <c r="N163" s="150"/>
      <c r="O163" s="150"/>
      <c r="P163" s="150"/>
      <c r="Q163" s="150"/>
      <c r="R163" s="150"/>
      <c r="S163" s="150"/>
      <c r="T163" s="150"/>
      <c r="U163" s="150"/>
      <c r="V163" s="150"/>
      <c r="W163" s="150"/>
      <c r="X163" s="150"/>
      <c r="Z163" s="109"/>
    </row>
    <row r="164" spans="5:26" s="110" customFormat="1" x14ac:dyDescent="0.25">
      <c r="Z164" s="109"/>
    </row>
    <row r="165" spans="5:26" s="110" customFormat="1" x14ac:dyDescent="0.25">
      <c r="Z165" s="109"/>
    </row>
    <row r="166" spans="5:26" s="110" customFormat="1" x14ac:dyDescent="0.25">
      <c r="F166" s="109"/>
      <c r="Z166" s="109"/>
    </row>
    <row r="167" spans="5:26" s="110" customFormat="1" x14ac:dyDescent="0.25">
      <c r="E167" s="112"/>
      <c r="F167" s="153"/>
      <c r="G167" s="154"/>
      <c r="Z167" s="109"/>
    </row>
    <row r="168" spans="5:26" s="110" customFormat="1" x14ac:dyDescent="0.25">
      <c r="E168" s="112"/>
      <c r="F168" s="155"/>
      <c r="G168" s="154"/>
      <c r="Z168" s="109"/>
    </row>
    <row r="169" spans="5:26" s="110" customFormat="1" x14ac:dyDescent="0.25">
      <c r="E169" s="112"/>
      <c r="F169" s="156"/>
      <c r="G169" s="154"/>
      <c r="Z169" s="109"/>
    </row>
    <row r="170" spans="5:26" s="110" customFormat="1" x14ac:dyDescent="0.25">
      <c r="E170" s="112"/>
      <c r="F170" s="160"/>
      <c r="G170" s="179"/>
      <c r="H170" s="179"/>
      <c r="I170" s="179"/>
      <c r="J170" s="179"/>
      <c r="K170" s="179"/>
      <c r="L170" s="179"/>
      <c r="M170" s="179"/>
      <c r="N170" s="179"/>
      <c r="O170" s="179"/>
      <c r="P170" s="179"/>
      <c r="Q170" s="179"/>
      <c r="R170" s="179"/>
      <c r="S170" s="179"/>
      <c r="T170" s="179"/>
      <c r="U170" s="179"/>
      <c r="V170" s="179"/>
      <c r="W170" s="179"/>
      <c r="X170" s="179"/>
      <c r="Z170" s="109"/>
    </row>
    <row r="171" spans="5:26" s="110" customFormat="1" x14ac:dyDescent="0.25">
      <c r="E171" s="161"/>
      <c r="F171" s="178"/>
      <c r="G171" s="178"/>
      <c r="H171" s="178"/>
      <c r="I171" s="178"/>
      <c r="J171" s="178"/>
      <c r="K171" s="178"/>
      <c r="L171" s="178"/>
      <c r="M171" s="178"/>
      <c r="N171" s="178"/>
      <c r="O171" s="178"/>
      <c r="P171" s="178"/>
      <c r="Q171" s="178"/>
      <c r="R171" s="178"/>
      <c r="S171" s="178"/>
      <c r="T171" s="178"/>
      <c r="U171" s="178"/>
      <c r="V171" s="178"/>
      <c r="W171" s="178"/>
      <c r="X171" s="178"/>
      <c r="Z171" s="109"/>
    </row>
    <row r="172" spans="5:26" s="110" customFormat="1" x14ac:dyDescent="0.25">
      <c r="E172" s="161"/>
      <c r="F172" s="158"/>
      <c r="G172" s="159"/>
      <c r="H172" s="159"/>
      <c r="I172" s="159"/>
      <c r="J172" s="159"/>
      <c r="K172" s="159"/>
      <c r="L172" s="159"/>
      <c r="M172" s="159"/>
      <c r="N172" s="159"/>
      <c r="O172" s="159"/>
      <c r="P172" s="159"/>
      <c r="Q172" s="159"/>
      <c r="R172" s="159"/>
      <c r="S172" s="159"/>
      <c r="T172" s="159"/>
      <c r="U172" s="159"/>
      <c r="V172" s="159"/>
      <c r="W172" s="159"/>
      <c r="X172" s="159"/>
      <c r="Z172" s="109"/>
    </row>
    <row r="173" spans="5:26" s="110" customFormat="1" x14ac:dyDescent="0.25">
      <c r="E173" s="161"/>
      <c r="F173" s="159"/>
      <c r="G173" s="148"/>
      <c r="H173" s="151"/>
      <c r="I173" s="151"/>
      <c r="J173" s="151"/>
      <c r="K173" s="151"/>
      <c r="L173" s="151"/>
      <c r="M173" s="151"/>
      <c r="N173" s="151"/>
      <c r="O173" s="151"/>
      <c r="P173" s="151"/>
      <c r="Q173" s="151"/>
      <c r="R173" s="152"/>
      <c r="S173" s="152"/>
      <c r="T173" s="152"/>
      <c r="U173" s="152"/>
      <c r="V173" s="152"/>
      <c r="W173" s="152"/>
      <c r="X173" s="152"/>
      <c r="Z173" s="109"/>
    </row>
    <row r="174" spans="5:26" s="110" customFormat="1" x14ac:dyDescent="0.25">
      <c r="E174" s="161"/>
      <c r="F174" s="159"/>
      <c r="G174" s="148"/>
      <c r="H174" s="150"/>
      <c r="I174" s="152"/>
      <c r="J174" s="151"/>
      <c r="K174" s="151"/>
      <c r="L174" s="151"/>
      <c r="M174" s="151"/>
      <c r="N174" s="151"/>
      <c r="O174" s="151"/>
      <c r="P174" s="151"/>
      <c r="Q174" s="151"/>
      <c r="R174" s="152"/>
      <c r="S174" s="152"/>
      <c r="T174" s="152"/>
      <c r="U174" s="152"/>
      <c r="V174" s="152"/>
      <c r="W174" s="152"/>
      <c r="X174" s="152"/>
      <c r="Z174" s="109"/>
    </row>
    <row r="175" spans="5:26" s="110" customFormat="1" x14ac:dyDescent="0.25">
      <c r="E175" s="161"/>
      <c r="F175" s="159"/>
      <c r="G175" s="148"/>
      <c r="H175" s="150"/>
      <c r="I175" s="149"/>
      <c r="J175" s="152"/>
      <c r="K175" s="151"/>
      <c r="L175" s="151"/>
      <c r="M175" s="151"/>
      <c r="N175" s="151"/>
      <c r="O175" s="151"/>
      <c r="P175" s="151"/>
      <c r="Q175" s="151"/>
      <c r="R175" s="152"/>
      <c r="S175" s="152"/>
      <c r="T175" s="152"/>
      <c r="U175" s="152"/>
      <c r="V175" s="152"/>
      <c r="W175" s="152"/>
      <c r="X175" s="152"/>
      <c r="Z175" s="109"/>
    </row>
    <row r="176" spans="5:26" s="110" customFormat="1" x14ac:dyDescent="0.25">
      <c r="E176" s="161"/>
      <c r="F176" s="159"/>
      <c r="G176" s="148"/>
      <c r="H176" s="150"/>
      <c r="I176" s="149"/>
      <c r="J176" s="149"/>
      <c r="K176" s="152"/>
      <c r="L176" s="151"/>
      <c r="M176" s="151"/>
      <c r="N176" s="151"/>
      <c r="O176" s="151"/>
      <c r="P176" s="151"/>
      <c r="Q176" s="151"/>
      <c r="R176" s="152"/>
      <c r="S176" s="152"/>
      <c r="T176" s="152"/>
      <c r="U176" s="152"/>
      <c r="V176" s="152"/>
      <c r="W176" s="152"/>
      <c r="X176" s="152"/>
      <c r="Z176" s="109"/>
    </row>
    <row r="177" spans="5:26" s="110" customFormat="1" x14ac:dyDescent="0.25">
      <c r="E177" s="161"/>
      <c r="F177" s="159"/>
      <c r="G177" s="148"/>
      <c r="H177" s="150"/>
      <c r="I177" s="149"/>
      <c r="J177" s="149"/>
      <c r="K177" s="149"/>
      <c r="L177" s="152"/>
      <c r="M177" s="151"/>
      <c r="N177" s="151"/>
      <c r="O177" s="151"/>
      <c r="P177" s="151"/>
      <c r="Q177" s="151"/>
      <c r="R177" s="152"/>
      <c r="S177" s="152"/>
      <c r="T177" s="152"/>
      <c r="U177" s="152"/>
      <c r="V177" s="152"/>
      <c r="W177" s="152"/>
      <c r="X177" s="152"/>
      <c r="Z177" s="109"/>
    </row>
    <row r="178" spans="5:26" s="110" customFormat="1" x14ac:dyDescent="0.25">
      <c r="E178" s="161"/>
      <c r="F178" s="159"/>
      <c r="G178" s="148"/>
      <c r="H178" s="150"/>
      <c r="I178" s="149"/>
      <c r="J178" s="149"/>
      <c r="K178" s="149"/>
      <c r="L178" s="149"/>
      <c r="M178" s="152"/>
      <c r="N178" s="151"/>
      <c r="O178" s="151"/>
      <c r="P178" s="151"/>
      <c r="Q178" s="151"/>
      <c r="R178" s="152"/>
      <c r="S178" s="152"/>
      <c r="T178" s="152"/>
      <c r="U178" s="152"/>
      <c r="V178" s="152"/>
      <c r="W178" s="152"/>
      <c r="X178" s="152"/>
      <c r="Z178" s="109"/>
    </row>
    <row r="179" spans="5:26" s="110" customFormat="1" x14ac:dyDescent="0.25">
      <c r="E179" s="161"/>
      <c r="F179" s="159"/>
      <c r="G179" s="148"/>
      <c r="H179" s="150"/>
      <c r="I179" s="149"/>
      <c r="J179" s="149"/>
      <c r="K179" s="149"/>
      <c r="L179" s="149"/>
      <c r="M179" s="149"/>
      <c r="N179" s="152"/>
      <c r="O179" s="151"/>
      <c r="P179" s="151"/>
      <c r="Q179" s="151"/>
      <c r="R179" s="152"/>
      <c r="S179" s="152"/>
      <c r="T179" s="152"/>
      <c r="U179" s="152"/>
      <c r="V179" s="152"/>
      <c r="W179" s="152"/>
      <c r="X179" s="152"/>
      <c r="Z179" s="109"/>
    </row>
    <row r="180" spans="5:26" s="110" customFormat="1" x14ac:dyDescent="0.25">
      <c r="E180" s="161"/>
      <c r="F180" s="159"/>
      <c r="G180" s="148"/>
      <c r="H180" s="150"/>
      <c r="I180" s="148"/>
      <c r="J180" s="148"/>
      <c r="K180" s="148"/>
      <c r="L180" s="148"/>
      <c r="M180" s="148"/>
      <c r="N180" s="148"/>
      <c r="O180" s="151"/>
      <c r="P180" s="151"/>
      <c r="Q180" s="151"/>
      <c r="R180" s="151"/>
      <c r="S180" s="151"/>
      <c r="T180" s="151"/>
      <c r="U180" s="151"/>
      <c r="V180" s="151"/>
      <c r="W180" s="151"/>
      <c r="X180" s="151"/>
      <c r="Z180" s="109"/>
    </row>
    <row r="181" spans="5:26" s="110" customFormat="1" x14ac:dyDescent="0.25">
      <c r="E181" s="161"/>
      <c r="F181" s="159"/>
      <c r="G181" s="148"/>
      <c r="H181" s="150"/>
      <c r="I181" s="148"/>
      <c r="J181" s="148"/>
      <c r="K181" s="148"/>
      <c r="L181" s="148"/>
      <c r="M181" s="148"/>
      <c r="N181" s="148"/>
      <c r="O181" s="148"/>
      <c r="P181" s="151"/>
      <c r="Q181" s="151"/>
      <c r="R181" s="151"/>
      <c r="S181" s="151"/>
      <c r="T181" s="151"/>
      <c r="U181" s="151"/>
      <c r="V181" s="151"/>
      <c r="W181" s="151"/>
      <c r="X181" s="151"/>
      <c r="Z181" s="109"/>
    </row>
    <row r="182" spans="5:26" s="110" customFormat="1" x14ac:dyDescent="0.25">
      <c r="E182" s="161"/>
      <c r="F182" s="159"/>
      <c r="G182" s="150"/>
      <c r="H182" s="150"/>
      <c r="I182" s="150"/>
      <c r="J182" s="150"/>
      <c r="K182" s="150"/>
      <c r="L182" s="150"/>
      <c r="M182" s="150"/>
      <c r="N182" s="150"/>
      <c r="O182" s="150"/>
      <c r="P182" s="150"/>
      <c r="Q182" s="151"/>
      <c r="R182" s="151"/>
      <c r="S182" s="151"/>
      <c r="T182" s="151"/>
      <c r="U182" s="151"/>
      <c r="V182" s="151"/>
      <c r="W182" s="151"/>
      <c r="X182" s="151"/>
      <c r="Z182" s="109"/>
    </row>
    <row r="183" spans="5:26" s="110" customFormat="1" x14ac:dyDescent="0.25">
      <c r="E183" s="161"/>
      <c r="F183" s="159"/>
      <c r="G183" s="150"/>
      <c r="H183" s="150"/>
      <c r="I183" s="150"/>
      <c r="J183" s="150"/>
      <c r="K183" s="150"/>
      <c r="L183" s="150"/>
      <c r="M183" s="150"/>
      <c r="N183" s="150"/>
      <c r="O183" s="150"/>
      <c r="P183" s="150"/>
      <c r="Q183" s="150"/>
      <c r="R183" s="151"/>
      <c r="S183" s="151"/>
      <c r="T183" s="151"/>
      <c r="U183" s="151"/>
      <c r="V183" s="151"/>
      <c r="W183" s="151"/>
      <c r="X183" s="151"/>
      <c r="Z183" s="109"/>
    </row>
    <row r="184" spans="5:26" s="110" customFormat="1" x14ac:dyDescent="0.25">
      <c r="E184" s="161"/>
      <c r="F184" s="159"/>
      <c r="G184" s="150"/>
      <c r="H184" s="150"/>
      <c r="I184" s="150"/>
      <c r="J184" s="150"/>
      <c r="K184" s="150"/>
      <c r="L184" s="150"/>
      <c r="M184" s="150"/>
      <c r="N184" s="150"/>
      <c r="O184" s="150"/>
      <c r="P184" s="150"/>
      <c r="Q184" s="150"/>
      <c r="R184" s="150"/>
      <c r="S184" s="151"/>
      <c r="T184" s="151"/>
      <c r="U184" s="151"/>
      <c r="V184" s="151"/>
      <c r="W184" s="151"/>
      <c r="X184" s="151"/>
      <c r="Z184" s="109"/>
    </row>
    <row r="185" spans="5:26" s="110" customFormat="1" x14ac:dyDescent="0.25">
      <c r="E185" s="161"/>
      <c r="F185" s="159"/>
      <c r="G185" s="150"/>
      <c r="H185" s="150"/>
      <c r="I185" s="150"/>
      <c r="J185" s="150"/>
      <c r="K185" s="150"/>
      <c r="L185" s="150"/>
      <c r="M185" s="150"/>
      <c r="N185" s="150"/>
      <c r="O185" s="150"/>
      <c r="P185" s="150"/>
      <c r="Q185" s="150"/>
      <c r="R185" s="150"/>
      <c r="S185" s="150"/>
      <c r="T185" s="151"/>
      <c r="U185" s="151"/>
      <c r="V185" s="151"/>
      <c r="W185" s="151"/>
      <c r="X185" s="151"/>
      <c r="Z185" s="109"/>
    </row>
    <row r="186" spans="5:26" s="110" customFormat="1" x14ac:dyDescent="0.25">
      <c r="E186" s="161"/>
      <c r="F186" s="159"/>
      <c r="G186" s="150"/>
      <c r="H186" s="150"/>
      <c r="I186" s="150"/>
      <c r="J186" s="150"/>
      <c r="K186" s="150"/>
      <c r="L186" s="150"/>
      <c r="M186" s="150"/>
      <c r="N186" s="150"/>
      <c r="O186" s="150"/>
      <c r="P186" s="150"/>
      <c r="Q186" s="150"/>
      <c r="R186" s="150"/>
      <c r="S186" s="150"/>
      <c r="T186" s="150"/>
      <c r="U186" s="151"/>
      <c r="V186" s="151"/>
      <c r="W186" s="151"/>
      <c r="X186" s="151"/>
      <c r="Z186" s="109"/>
    </row>
    <row r="187" spans="5:26" s="110" customFormat="1" x14ac:dyDescent="0.25">
      <c r="E187" s="161"/>
      <c r="F187" s="159"/>
      <c r="G187" s="150"/>
      <c r="H187" s="150"/>
      <c r="I187" s="150"/>
      <c r="J187" s="150"/>
      <c r="K187" s="150"/>
      <c r="L187" s="150"/>
      <c r="M187" s="150"/>
      <c r="N187" s="150"/>
      <c r="O187" s="150"/>
      <c r="P187" s="150"/>
      <c r="Q187" s="150"/>
      <c r="R187" s="150"/>
      <c r="S187" s="150"/>
      <c r="T187" s="150"/>
      <c r="U187" s="150"/>
      <c r="V187" s="151"/>
      <c r="W187" s="151"/>
      <c r="X187" s="151"/>
      <c r="Z187" s="109"/>
    </row>
    <row r="188" spans="5:26" s="110" customFormat="1" x14ac:dyDescent="0.25">
      <c r="E188" s="161"/>
      <c r="F188" s="159"/>
      <c r="G188" s="150"/>
      <c r="H188" s="150"/>
      <c r="I188" s="150"/>
      <c r="J188" s="150"/>
      <c r="K188" s="150"/>
      <c r="L188" s="150"/>
      <c r="M188" s="150"/>
      <c r="N188" s="150"/>
      <c r="O188" s="150"/>
      <c r="P188" s="150"/>
      <c r="Q188" s="150"/>
      <c r="R188" s="150"/>
      <c r="S188" s="150"/>
      <c r="T188" s="150"/>
      <c r="U188" s="150"/>
      <c r="V188" s="150"/>
      <c r="W188" s="151"/>
      <c r="X188" s="151"/>
      <c r="Z188" s="109"/>
    </row>
    <row r="189" spans="5:26" s="110" customFormat="1" x14ac:dyDescent="0.25">
      <c r="E189" s="161"/>
      <c r="F189" s="159"/>
      <c r="G189" s="150"/>
      <c r="H189" s="150"/>
      <c r="I189" s="150"/>
      <c r="J189" s="150"/>
      <c r="K189" s="150"/>
      <c r="L189" s="150"/>
      <c r="M189" s="150"/>
      <c r="N189" s="150"/>
      <c r="O189" s="150"/>
      <c r="P189" s="150"/>
      <c r="Q189" s="150"/>
      <c r="R189" s="150"/>
      <c r="S189" s="150"/>
      <c r="T189" s="150"/>
      <c r="U189" s="150"/>
      <c r="V189" s="150"/>
      <c r="W189" s="150"/>
      <c r="X189" s="151"/>
      <c r="Z189" s="109"/>
    </row>
    <row r="190" spans="5:26" s="110" customFormat="1" x14ac:dyDescent="0.25">
      <c r="E190" s="161"/>
      <c r="F190" s="159"/>
      <c r="G190" s="150"/>
      <c r="H190" s="150"/>
      <c r="I190" s="150"/>
      <c r="J190" s="150"/>
      <c r="K190" s="150"/>
      <c r="L190" s="150"/>
      <c r="M190" s="150"/>
      <c r="N190" s="150"/>
      <c r="O190" s="150"/>
      <c r="P190" s="150"/>
      <c r="Q190" s="150"/>
      <c r="R190" s="150"/>
      <c r="S190" s="150"/>
      <c r="T190" s="150"/>
      <c r="U190" s="150"/>
      <c r="V190" s="150"/>
      <c r="W190" s="150"/>
      <c r="X190" s="150"/>
      <c r="Z190" s="109"/>
    </row>
    <row r="191" spans="5:26" s="110" customFormat="1" x14ac:dyDescent="0.25">
      <c r="Z191" s="109"/>
    </row>
    <row r="192" spans="5:26" s="110" customFormat="1" x14ac:dyDescent="0.25">
      <c r="Z192" s="109"/>
    </row>
    <row r="193" spans="26:26" s="110" customFormat="1" x14ac:dyDescent="0.25">
      <c r="Z193" s="109"/>
    </row>
    <row r="194" spans="26:26" s="110" customFormat="1" x14ac:dyDescent="0.25">
      <c r="Z194" s="109"/>
    </row>
    <row r="195" spans="26:26" s="110" customFormat="1" x14ac:dyDescent="0.25">
      <c r="Z195" s="109"/>
    </row>
    <row r="196" spans="26:26" s="110" customFormat="1" x14ac:dyDescent="0.25">
      <c r="Z196" s="109"/>
    </row>
    <row r="197" spans="26:26" s="110" customFormat="1" x14ac:dyDescent="0.25">
      <c r="Z197" s="109"/>
    </row>
    <row r="198" spans="26:26" s="110" customFormat="1" x14ac:dyDescent="0.25">
      <c r="Z198" s="109"/>
    </row>
    <row r="199" spans="26:26" s="110" customFormat="1" x14ac:dyDescent="0.25">
      <c r="Z199" s="109"/>
    </row>
    <row r="200" spans="26:26" s="110" customFormat="1" x14ac:dyDescent="0.25">
      <c r="Z200" s="109"/>
    </row>
    <row r="201" spans="26:26" s="110" customFormat="1" x14ac:dyDescent="0.25">
      <c r="Z201" s="109"/>
    </row>
    <row r="202" spans="26:26" s="110" customFormat="1" x14ac:dyDescent="0.25">
      <c r="Z202" s="109"/>
    </row>
    <row r="203" spans="26:26" s="110" customFormat="1" x14ac:dyDescent="0.25">
      <c r="Z203" s="109"/>
    </row>
    <row r="204" spans="26:26" s="110" customFormat="1" x14ac:dyDescent="0.25">
      <c r="Z204" s="109"/>
    </row>
    <row r="205" spans="26:26" s="110" customFormat="1" x14ac:dyDescent="0.25">
      <c r="Z205" s="109"/>
    </row>
    <row r="206" spans="26:26" s="110" customFormat="1" x14ac:dyDescent="0.25">
      <c r="Z206" s="109"/>
    </row>
    <row r="207" spans="26:26" s="110" customFormat="1" x14ac:dyDescent="0.25">
      <c r="Z207" s="109"/>
    </row>
    <row r="208" spans="26:26" s="110" customFormat="1" x14ac:dyDescent="0.25">
      <c r="Z208" s="109"/>
    </row>
    <row r="209" spans="26:26" s="110" customFormat="1" x14ac:dyDescent="0.25">
      <c r="Z209" s="109"/>
    </row>
    <row r="210" spans="26:26" s="110" customFormat="1" x14ac:dyDescent="0.25">
      <c r="Z210" s="109"/>
    </row>
    <row r="211" spans="26:26" s="110" customFormat="1" x14ac:dyDescent="0.25">
      <c r="Z211" s="109"/>
    </row>
    <row r="212" spans="26:26" s="110" customFormat="1" x14ac:dyDescent="0.25">
      <c r="Z212" s="109"/>
    </row>
    <row r="213" spans="26:26" s="110" customFormat="1" x14ac:dyDescent="0.25">
      <c r="Z213" s="109"/>
    </row>
    <row r="214" spans="26:26" s="110" customFormat="1" x14ac:dyDescent="0.25">
      <c r="Z214" s="109"/>
    </row>
    <row r="215" spans="26:26" s="110" customFormat="1" x14ac:dyDescent="0.25">
      <c r="Z215" s="109"/>
    </row>
    <row r="216" spans="26:26" s="110" customFormat="1" x14ac:dyDescent="0.25">
      <c r="Z216" s="109"/>
    </row>
    <row r="217" spans="26:26" s="110" customFormat="1" x14ac:dyDescent="0.25">
      <c r="Z217" s="109"/>
    </row>
    <row r="218" spans="26:26" s="110" customFormat="1" x14ac:dyDescent="0.25">
      <c r="Z218" s="109"/>
    </row>
    <row r="219" spans="26:26" s="110" customFormat="1" x14ac:dyDescent="0.25">
      <c r="Z219" s="109"/>
    </row>
    <row r="220" spans="26:26" s="110" customFormat="1" x14ac:dyDescent="0.25">
      <c r="Z220" s="109"/>
    </row>
    <row r="221" spans="26:26" s="110" customFormat="1" x14ac:dyDescent="0.25">
      <c r="Z221" s="109"/>
    </row>
    <row r="222" spans="26:26" s="110" customFormat="1" x14ac:dyDescent="0.25">
      <c r="Z222" s="109"/>
    </row>
    <row r="223" spans="26:26" s="110" customFormat="1" x14ac:dyDescent="0.25">
      <c r="Z223" s="109"/>
    </row>
    <row r="224" spans="26:26" s="110" customFormat="1" x14ac:dyDescent="0.25">
      <c r="Z224" s="109"/>
    </row>
    <row r="225" spans="26:26" s="110" customFormat="1" x14ac:dyDescent="0.25">
      <c r="Z225" s="109"/>
    </row>
    <row r="226" spans="26:26" s="110" customFormat="1" x14ac:dyDescent="0.25">
      <c r="Z226" s="109"/>
    </row>
    <row r="227" spans="26:26" s="110" customFormat="1" x14ac:dyDescent="0.25">
      <c r="Z227" s="109"/>
    </row>
    <row r="228" spans="26:26" s="110" customFormat="1" x14ac:dyDescent="0.25">
      <c r="Z228" s="109"/>
    </row>
    <row r="229" spans="26:26" s="110" customFormat="1" x14ac:dyDescent="0.25">
      <c r="Z229" s="109"/>
    </row>
    <row r="230" spans="26:26" s="110" customFormat="1" x14ac:dyDescent="0.25">
      <c r="Z230" s="109"/>
    </row>
    <row r="231" spans="26:26" s="110" customFormat="1" x14ac:dyDescent="0.25">
      <c r="Z231" s="109"/>
    </row>
    <row r="232" spans="26:26" s="110" customFormat="1" x14ac:dyDescent="0.25">
      <c r="Z232" s="109"/>
    </row>
    <row r="233" spans="26:26" s="110" customFormat="1" x14ac:dyDescent="0.25">
      <c r="Z233" s="109"/>
    </row>
    <row r="234" spans="26:26" s="110" customFormat="1" x14ac:dyDescent="0.25">
      <c r="Z234" s="109"/>
    </row>
  </sheetData>
  <mergeCells count="11">
    <mergeCell ref="G90:X90"/>
    <mergeCell ref="E91:E109"/>
    <mergeCell ref="F91:X91"/>
    <mergeCell ref="E65:E83"/>
    <mergeCell ref="F65:X65"/>
    <mergeCell ref="G64:X64"/>
    <mergeCell ref="E6:E24"/>
    <mergeCell ref="F6:X6"/>
    <mergeCell ref="G38:X38"/>
    <mergeCell ref="E39:E57"/>
    <mergeCell ref="F39:X39"/>
  </mergeCells>
  <phoneticPr fontId="9" type="noConversion"/>
  <conditionalFormatting sqref="AB7:AC23">
    <cfRule type="dataBar" priority="19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{D2B1A6F3-1F29-41DD-9BC5-AD1B39F5EE36}</x14:id>
        </ext>
      </extLst>
    </cfRule>
  </conditionalFormatting>
  <conditionalFormatting sqref="AD7:AE23">
    <cfRule type="dataBar" priority="14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{26503BE1-5C46-4DAE-95E1-D29F4CD4C5EF}</x14:id>
        </ext>
      </extLst>
    </cfRule>
  </conditionalFormatting>
  <conditionalFormatting sqref="AF7:AI23">
    <cfRule type="dataBar" priority="14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{5E7C434F-1C06-4FF7-929B-8DA07FF07A01}</x14:id>
        </ext>
      </extLst>
    </cfRule>
  </conditionalFormatting>
  <conditionalFormatting sqref="H8:H24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9:I24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0:J24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1:K24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2:L24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3:M24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4:N24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5:O24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6:P24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7:Q24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8:R24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9:S24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0:T24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1:U24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2:V2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3:W2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5:X25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K7:AK23">
    <cfRule type="dataBar" priority="12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{FEADA099-8AC2-4541-8617-63D8F2EC0389}</x14:id>
        </ext>
      </extLst>
    </cfRule>
  </conditionalFormatting>
  <conditionalFormatting sqref="AM7:AM23">
    <cfRule type="expression" dxfId="5" priority="123">
      <formula>AM7&lt;AK7</formula>
    </cfRule>
  </conditionalFormatting>
  <conditionalFormatting sqref="AP7:AP23">
    <cfRule type="dataBar" priority="12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{CCA3201C-2FE1-4334-BF94-4C8DD7723819}</x14:id>
        </ext>
      </extLst>
    </cfRule>
  </conditionalFormatting>
  <conditionalFormatting sqref="AR7:AR23">
    <cfRule type="expression" dxfId="4" priority="120">
      <formula>AR7&lt;AP7</formula>
    </cfRule>
  </conditionalFormatting>
  <conditionalFormatting sqref="G38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60:X63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67:X83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47:X163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1:X57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X5">
    <cfRule type="colorScale" priority="2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90:X190 G173 G174:H174 G175:I175 G176:J176 G177:K177 G178:L178 G179:M179 G180:N180 G181:O181 G182:P182 G186:T186 G189:W189 G188:V188 G187:U187 G185:S185 G184:R184 G183:Q18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6:X8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93:X10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promptTitle="Select Year" prompt="Pick the year of operation (range: 1-5)" sqref="C27" xr:uid="{E10C12A9-A833-4112-B789-467D46A126DC}">
      <formula1>$A$51:$A$69</formula1>
    </dataValidation>
  </dataValidations>
  <pageMargins left="0.7" right="0.7" top="0.75" bottom="0.75" header="0.3" footer="0.3"/>
  <pageSetup orientation="portrait" r:id="rId1"/>
  <ignoredErrors>
    <ignoredError sqref="U50:X50 R51:X51 O52:X52 J53:X53 I54:X55 H56:X57 I8:V19 W8:X23 U20:V20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2B1A6F3-1F29-41DD-9BC5-AD1B39F5EE3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AB7:AC23</xm:sqref>
        </x14:conditionalFormatting>
        <x14:conditionalFormatting xmlns:xm="http://schemas.microsoft.com/office/excel/2006/main">
          <x14:cfRule type="dataBar" id="{26503BE1-5C46-4DAE-95E1-D29F4CD4C5E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AD7:AE23</xm:sqref>
        </x14:conditionalFormatting>
        <x14:conditionalFormatting xmlns:xm="http://schemas.microsoft.com/office/excel/2006/main">
          <x14:cfRule type="dataBar" id="{5E7C434F-1C06-4FF7-929B-8DA07FF07A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AF7:AI23</xm:sqref>
        </x14:conditionalFormatting>
        <x14:conditionalFormatting xmlns:xm="http://schemas.microsoft.com/office/excel/2006/main">
          <x14:cfRule type="dataBar" id="{FEADA099-8AC2-4541-8617-63D8F2EC03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AK7:AK23</xm:sqref>
        </x14:conditionalFormatting>
        <x14:conditionalFormatting xmlns:xm="http://schemas.microsoft.com/office/excel/2006/main">
          <x14:cfRule type="dataBar" id="{CCA3201C-2FE1-4334-BF94-4C8DD77238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AP7:AP23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B51AC-7678-4686-879E-97A43CD90E7E}">
  <dimension ref="A1:AT234"/>
  <sheetViews>
    <sheetView topLeftCell="B14" zoomScale="80" zoomScaleNormal="80" workbookViewId="0">
      <selection activeCell="C34" sqref="C34"/>
    </sheetView>
  </sheetViews>
  <sheetFormatPr defaultRowHeight="15" x14ac:dyDescent="0.25"/>
  <cols>
    <col min="1" max="1" width="4" style="6" bestFit="1" customWidth="1"/>
    <col min="2" max="2" width="40.85546875" bestFit="1" customWidth="1"/>
    <col min="3" max="3" width="14.85546875" bestFit="1" customWidth="1"/>
    <col min="4" max="4" width="41" style="6" bestFit="1" customWidth="1"/>
    <col min="5" max="5" width="10.42578125" customWidth="1"/>
    <col min="6" max="6" width="12" customWidth="1"/>
    <col min="7" max="7" width="10.7109375" customWidth="1"/>
    <col min="8" max="9" width="8.140625" bestFit="1" customWidth="1"/>
    <col min="10" max="12" width="9.5703125" bestFit="1" customWidth="1"/>
    <col min="13" max="19" width="10.5703125" bestFit="1" customWidth="1"/>
    <col min="20" max="24" width="11.5703125" bestFit="1" customWidth="1"/>
    <col min="25" max="25" width="8.140625" bestFit="1" customWidth="1"/>
    <col min="26" max="26" width="15.42578125" style="1" bestFit="1" customWidth="1"/>
    <col min="27" max="27" width="5.28515625" style="6" customWidth="1"/>
    <col min="28" max="28" width="21.140625" bestFit="1" customWidth="1"/>
    <col min="29" max="29" width="2.5703125" customWidth="1"/>
    <col min="30" max="30" width="21.7109375" bestFit="1" customWidth="1"/>
    <col min="31" max="31" width="2" style="6" customWidth="1"/>
    <col min="32" max="32" width="20.7109375" bestFit="1" customWidth="1"/>
    <col min="33" max="33" width="1.7109375" style="6" customWidth="1"/>
    <col min="34" max="34" width="20.7109375" bestFit="1" customWidth="1"/>
    <col min="35" max="35" width="6.7109375" customWidth="1"/>
    <col min="36" max="36" width="11.7109375" customWidth="1"/>
    <col min="37" max="37" width="22.28515625" customWidth="1"/>
    <col min="38" max="38" width="1.85546875" customWidth="1"/>
    <col min="39" max="39" width="20.85546875" customWidth="1"/>
    <col min="41" max="41" width="8.85546875" customWidth="1"/>
    <col min="42" max="42" width="24.85546875" customWidth="1"/>
    <col min="43" max="43" width="1.7109375" customWidth="1"/>
    <col min="44" max="44" width="20.42578125" customWidth="1"/>
    <col min="57" max="57" width="11.28515625" bestFit="1" customWidth="1"/>
  </cols>
  <sheetData>
    <row r="1" spans="1:46" x14ac:dyDescent="0.25">
      <c r="B1" s="6"/>
      <c r="C1" s="6"/>
      <c r="E1" s="17" t="s">
        <v>55</v>
      </c>
      <c r="F1" s="31">
        <f>$C$27</f>
        <v>212</v>
      </c>
      <c r="G1" s="89">
        <v>0</v>
      </c>
      <c r="H1" s="216">
        <v>7.0878172863681301E-4</v>
      </c>
      <c r="I1" s="216">
        <v>1.1813028810613551E-3</v>
      </c>
      <c r="J1" s="217">
        <v>9.4504230484908393E-3</v>
      </c>
      <c r="K1" s="217">
        <v>1.8924565042470826E-2</v>
      </c>
      <c r="L1" s="89">
        <v>0.04</v>
      </c>
      <c r="M1" s="89">
        <v>0.06</v>
      </c>
      <c r="N1" s="89">
        <v>0.08</v>
      </c>
      <c r="O1" s="89">
        <v>0.1</v>
      </c>
      <c r="P1" s="89">
        <v>0.2</v>
      </c>
      <c r="Q1" s="89">
        <v>0.3</v>
      </c>
      <c r="R1" s="89">
        <v>0.4</v>
      </c>
      <c r="S1" s="89">
        <v>0.45</v>
      </c>
      <c r="T1" s="89">
        <v>0.5</v>
      </c>
      <c r="U1" s="89">
        <v>0.75</v>
      </c>
      <c r="V1" s="89">
        <v>0.8</v>
      </c>
      <c r="W1" s="89">
        <v>0.95</v>
      </c>
      <c r="X1" s="89">
        <v>1</v>
      </c>
      <c r="AC1" s="6"/>
    </row>
    <row r="2" spans="1:46" x14ac:dyDescent="0.25">
      <c r="B2" s="6"/>
      <c r="C2" s="6"/>
      <c r="E2" s="17" t="s">
        <v>72</v>
      </c>
      <c r="F2" s="71">
        <f>$C$39</f>
        <v>0.12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Z2" s="109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</row>
    <row r="3" spans="1:46" x14ac:dyDescent="0.25">
      <c r="B3" s="6"/>
      <c r="C3" s="6"/>
      <c r="E3" s="17" t="s">
        <v>71</v>
      </c>
      <c r="F3" s="72">
        <f>$C$41</f>
        <v>0.03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Z3" s="109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/>
      <c r="AQ3" s="110"/>
      <c r="AR3" s="110"/>
      <c r="AS3" s="110"/>
      <c r="AT3" s="110"/>
    </row>
    <row r="4" spans="1:46" x14ac:dyDescent="0.25">
      <c r="B4" s="6"/>
      <c r="C4" s="6"/>
      <c r="E4" s="17" t="s">
        <v>46</v>
      </c>
      <c r="F4" s="102">
        <f>$C$42</f>
        <v>150000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Z4" s="109"/>
      <c r="AA4" s="110"/>
      <c r="AB4" s="110"/>
      <c r="AC4" s="110"/>
      <c r="AD4" s="110"/>
      <c r="AE4" s="110"/>
      <c r="AF4" s="110"/>
      <c r="AG4" s="110"/>
      <c r="AH4" s="110"/>
      <c r="AI4" s="110"/>
      <c r="AJ4" s="110"/>
      <c r="AK4" s="110"/>
      <c r="AL4" s="110"/>
      <c r="AM4" s="110"/>
      <c r="AN4" s="110"/>
      <c r="AO4" s="110"/>
      <c r="AP4" s="110"/>
      <c r="AQ4" s="110"/>
      <c r="AR4" s="110"/>
      <c r="AS4" s="110"/>
      <c r="AT4" s="110"/>
    </row>
    <row r="5" spans="1:46" ht="18.75" x14ac:dyDescent="0.3">
      <c r="B5" s="6"/>
      <c r="C5" s="6"/>
      <c r="E5" s="94" t="s">
        <v>87</v>
      </c>
      <c r="F5" s="103">
        <f>$C$28</f>
        <v>150</v>
      </c>
      <c r="G5" s="5"/>
      <c r="H5" s="5"/>
      <c r="I5" s="5"/>
      <c r="J5" s="5"/>
      <c r="K5" s="5"/>
      <c r="L5" s="5"/>
      <c r="M5" s="5"/>
      <c r="N5" s="5"/>
      <c r="O5" s="218" t="s">
        <v>127</v>
      </c>
      <c r="P5" s="5"/>
      <c r="Q5" s="5"/>
      <c r="R5" s="5"/>
      <c r="S5" s="5"/>
      <c r="T5" s="5"/>
      <c r="U5" s="5"/>
      <c r="V5" s="5"/>
      <c r="W5" s="5"/>
      <c r="X5" s="5"/>
      <c r="Z5" s="109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0"/>
    </row>
    <row r="6" spans="1:46" ht="15" customHeight="1" x14ac:dyDescent="0.25">
      <c r="B6" s="3" t="s">
        <v>26</v>
      </c>
      <c r="C6" s="3" t="s">
        <v>4</v>
      </c>
      <c r="D6" s="17" t="s">
        <v>27</v>
      </c>
      <c r="E6" s="292" t="s">
        <v>28</v>
      </c>
      <c r="F6" s="293" t="s">
        <v>31</v>
      </c>
      <c r="G6" s="293"/>
      <c r="H6" s="293"/>
      <c r="I6" s="293"/>
      <c r="J6" s="293"/>
      <c r="K6" s="293"/>
      <c r="L6" s="293"/>
      <c r="M6" s="293"/>
      <c r="N6" s="293"/>
      <c r="O6" s="293"/>
      <c r="P6" s="293"/>
      <c r="Q6" s="293"/>
      <c r="R6" s="293"/>
      <c r="S6" s="293"/>
      <c r="T6" s="293"/>
      <c r="U6" s="293"/>
      <c r="V6" s="293"/>
      <c r="W6" s="293"/>
      <c r="X6" s="293"/>
      <c r="Z6" s="111"/>
      <c r="AA6" s="110"/>
      <c r="AB6" s="111"/>
      <c r="AC6" s="111"/>
      <c r="AD6" s="112"/>
      <c r="AE6" s="112"/>
      <c r="AF6" s="112"/>
      <c r="AG6" s="112"/>
      <c r="AH6" s="112"/>
      <c r="AI6" s="112"/>
      <c r="AJ6" s="111"/>
      <c r="AK6" s="112"/>
      <c r="AL6" s="110"/>
      <c r="AM6" s="112"/>
      <c r="AN6" s="110"/>
      <c r="AO6" s="111"/>
      <c r="AP6" s="112"/>
      <c r="AQ6" s="110"/>
      <c r="AR6" s="112"/>
      <c r="AS6" s="110"/>
      <c r="AT6" s="110"/>
    </row>
    <row r="7" spans="1:46" x14ac:dyDescent="0.25">
      <c r="A7" s="6">
        <v>1</v>
      </c>
      <c r="B7" s="31" t="s">
        <v>0</v>
      </c>
      <c r="C7" s="106">
        <f>nOps</f>
        <v>150</v>
      </c>
      <c r="D7" s="6" t="s">
        <v>1</v>
      </c>
      <c r="E7" s="292"/>
      <c r="F7" s="9">
        <f>C47</f>
        <v>5.5831486208976377E-2</v>
      </c>
      <c r="G7" s="10">
        <v>100000</v>
      </c>
      <c r="H7" s="10">
        <f t="shared" ref="H7:X7" si="0">H1*saturation_point</f>
        <v>150000</v>
      </c>
      <c r="I7" s="10">
        <f t="shared" si="0"/>
        <v>250000.00000000003</v>
      </c>
      <c r="J7" s="10">
        <f t="shared" si="0"/>
        <v>1999999.9999999998</v>
      </c>
      <c r="K7" s="10">
        <f t="shared" si="0"/>
        <v>4005019.6579279979</v>
      </c>
      <c r="L7" s="10">
        <f t="shared" si="0"/>
        <v>8465229.502374012</v>
      </c>
      <c r="M7" s="10">
        <f t="shared" si="0"/>
        <v>12697844.253561016</v>
      </c>
      <c r="N7" s="10">
        <f t="shared" si="0"/>
        <v>16930459.004748024</v>
      </c>
      <c r="O7" s="10">
        <f t="shared" si="0"/>
        <v>21163073.755935028</v>
      </c>
      <c r="P7" s="10">
        <f t="shared" si="0"/>
        <v>42326147.511870056</v>
      </c>
      <c r="Q7" s="10">
        <f t="shared" si="0"/>
        <v>63489221.267805085</v>
      </c>
      <c r="R7" s="10">
        <f t="shared" si="0"/>
        <v>84652295.023740113</v>
      </c>
      <c r="S7" s="10">
        <f t="shared" si="0"/>
        <v>95233831.901707634</v>
      </c>
      <c r="T7" s="10">
        <f t="shared" si="0"/>
        <v>105815368.77967514</v>
      </c>
      <c r="U7" s="10">
        <f t="shared" si="0"/>
        <v>158723053.16951272</v>
      </c>
      <c r="V7" s="10">
        <f t="shared" si="0"/>
        <v>169304590.04748023</v>
      </c>
      <c r="W7" s="10">
        <f t="shared" si="0"/>
        <v>201049200.68138275</v>
      </c>
      <c r="X7" s="11">
        <f t="shared" si="0"/>
        <v>211630737.55935028</v>
      </c>
      <c r="Z7" s="113"/>
      <c r="AA7" s="114"/>
      <c r="AB7" s="115"/>
      <c r="AC7" s="115"/>
      <c r="AD7" s="115"/>
      <c r="AE7" s="116"/>
      <c r="AF7" s="115"/>
      <c r="AG7" s="115"/>
      <c r="AH7" s="115"/>
      <c r="AI7" s="116"/>
      <c r="AJ7" s="117"/>
      <c r="AK7" s="118"/>
      <c r="AL7" s="114"/>
      <c r="AM7" s="118"/>
      <c r="AN7" s="110"/>
      <c r="AO7" s="117"/>
      <c r="AP7" s="118"/>
      <c r="AQ7" s="114"/>
      <c r="AR7" s="118"/>
      <c r="AS7" s="110"/>
      <c r="AT7" s="110"/>
    </row>
    <row r="8" spans="1:46" ht="15.75" thickBot="1" x14ac:dyDescent="0.3">
      <c r="A8" s="6">
        <v>2</v>
      </c>
      <c r="B8" s="31" t="s">
        <v>37</v>
      </c>
      <c r="C8" s="107">
        <v>0.3</v>
      </c>
      <c r="D8" s="23" t="s">
        <v>35</v>
      </c>
      <c r="E8" s="292"/>
      <c r="F8" s="12">
        <v>150000</v>
      </c>
      <c r="G8" s="13">
        <f t="dataTable" ref="G8:X24" dt2D="1" dtr="1" r1="C42" r2="C43"/>
        <v>-0.1006888478900515</v>
      </c>
      <c r="H8" s="13">
        <v>-0.100691161007469</v>
      </c>
      <c r="I8" s="61">
        <v>-0.1007027338972375</v>
      </c>
      <c r="J8" s="63">
        <v>-0.10240298870102227</v>
      </c>
      <c r="K8" s="61">
        <v>-0.10781324985145779</v>
      </c>
      <c r="L8" s="61">
        <v>-0.13271367317779958</v>
      </c>
      <c r="M8" s="61">
        <v>-0.17157123925751394</v>
      </c>
      <c r="N8" s="61">
        <v>-0.22320408100917311</v>
      </c>
      <c r="O8" s="61">
        <v>-0.28501566450324223</v>
      </c>
      <c r="P8" s="61">
        <v>-0.643443185435562</v>
      </c>
      <c r="Q8" s="61">
        <v>-0.88996296632093019</v>
      </c>
      <c r="R8" s="61">
        <v>-0.97947370251858534</v>
      </c>
      <c r="S8" s="61">
        <v>-0.99273628665532732</v>
      </c>
      <c r="T8" s="61">
        <v>-0.99776555998807748</v>
      </c>
      <c r="U8" s="61">
        <v>-0.9999994287765045</v>
      </c>
      <c r="V8" s="61">
        <v>-0.99999993704397006</v>
      </c>
      <c r="W8" s="61">
        <v>-0.99999999997904165</v>
      </c>
      <c r="X8" s="62">
        <v>-0.99999999999915701</v>
      </c>
      <c r="Z8" s="113"/>
      <c r="AA8" s="114"/>
      <c r="AB8" s="115"/>
      <c r="AC8" s="115"/>
      <c r="AD8" s="115"/>
      <c r="AE8" s="116"/>
      <c r="AF8" s="115"/>
      <c r="AG8" s="115"/>
      <c r="AH8" s="115"/>
      <c r="AI8" s="116"/>
      <c r="AJ8" s="117"/>
      <c r="AK8" s="118"/>
      <c r="AL8" s="114"/>
      <c r="AM8" s="118"/>
      <c r="AN8" s="110"/>
      <c r="AO8" s="117"/>
      <c r="AP8" s="118"/>
      <c r="AQ8" s="114"/>
      <c r="AR8" s="118"/>
      <c r="AS8" s="110"/>
      <c r="AT8" s="110"/>
    </row>
    <row r="9" spans="1:46" ht="15.75" thickBot="1" x14ac:dyDescent="0.3">
      <c r="A9" s="6">
        <v>3</v>
      </c>
      <c r="B9" s="31" t="s">
        <v>2</v>
      </c>
      <c r="C9" s="108">
        <v>1</v>
      </c>
      <c r="D9" s="6" t="s">
        <v>11</v>
      </c>
      <c r="E9" s="292"/>
      <c r="F9" s="12">
        <v>250000</v>
      </c>
      <c r="G9" s="13">
        <v>-4.0994015423761909E-2</v>
      </c>
      <c r="H9" s="13">
        <v>-4.0994011049045653E-2</v>
      </c>
      <c r="I9" s="210">
        <v>-4.0998440998002317E-2</v>
      </c>
      <c r="J9" s="63">
        <v>-4.2033430568320207E-2</v>
      </c>
      <c r="K9" s="61">
        <v>-4.5438152613006766E-2</v>
      </c>
      <c r="L9" s="61">
        <v>-6.1360355739642158E-2</v>
      </c>
      <c r="M9" s="61">
        <v>-8.6662199830020104E-2</v>
      </c>
      <c r="N9" s="61">
        <v>-0.12107328491036906</v>
      </c>
      <c r="O9" s="61">
        <v>-0.16352108803228238</v>
      </c>
      <c r="P9" s="61">
        <v>-0.44758968387676135</v>
      </c>
      <c r="Q9" s="61">
        <v>-0.72510706179564521</v>
      </c>
      <c r="R9" s="61">
        <v>-0.89776364033939549</v>
      </c>
      <c r="S9" s="61">
        <v>-0.94430004601377682</v>
      </c>
      <c r="T9" s="61">
        <v>-0.97191911098664618</v>
      </c>
      <c r="U9" s="61">
        <v>-0.99973812104678628</v>
      </c>
      <c r="V9" s="61">
        <v>-0.99992171064976154</v>
      </c>
      <c r="W9" s="61">
        <v>-0.99999887797236375</v>
      </c>
      <c r="X9" s="62">
        <v>-0.99999978278594315</v>
      </c>
      <c r="Z9" s="113"/>
      <c r="AA9" s="114"/>
      <c r="AB9" s="115"/>
      <c r="AC9" s="115"/>
      <c r="AD9" s="115"/>
      <c r="AE9" s="116"/>
      <c r="AF9" s="115"/>
      <c r="AG9" s="115"/>
      <c r="AH9" s="115"/>
      <c r="AI9" s="116"/>
      <c r="AJ9" s="117"/>
      <c r="AK9" s="118"/>
      <c r="AL9" s="114"/>
      <c r="AM9" s="118"/>
      <c r="AN9" s="110"/>
      <c r="AO9" s="117"/>
      <c r="AP9" s="118"/>
      <c r="AQ9" s="114"/>
      <c r="AR9" s="118"/>
      <c r="AS9" s="110"/>
      <c r="AT9" s="110"/>
    </row>
    <row r="10" spans="1:46" x14ac:dyDescent="0.25">
      <c r="A10" s="6">
        <v>4</v>
      </c>
      <c r="B10" s="32" t="s">
        <v>3</v>
      </c>
      <c r="C10" s="129">
        <f>C42/C32</f>
        <v>4.7252115242454201E-6</v>
      </c>
      <c r="D10" s="6" t="s">
        <v>50</v>
      </c>
      <c r="E10" s="292"/>
      <c r="F10" s="12">
        <v>2000000</v>
      </c>
      <c r="G10" s="13">
        <v>4.3320395745753304E-2</v>
      </c>
      <c r="H10" s="13">
        <v>4.3323921714648161E-2</v>
      </c>
      <c r="I10" s="13">
        <v>4.3330375750644468E-2</v>
      </c>
      <c r="J10" s="13">
        <v>4.3314267136684625E-2</v>
      </c>
      <c r="K10" s="61">
        <v>4.2995743765017469E-2</v>
      </c>
      <c r="L10" s="61">
        <v>4.1139797448236592E-2</v>
      </c>
      <c r="M10" s="61">
        <v>3.7921381786824693E-2</v>
      </c>
      <c r="N10" s="61">
        <v>3.3297097280239996E-2</v>
      </c>
      <c r="O10" s="61">
        <v>2.7285576216213636E-2</v>
      </c>
      <c r="P10" s="61">
        <v>-2.2552623395850735E-2</v>
      </c>
      <c r="Q10" s="61">
        <v>-0.10134981023797418</v>
      </c>
      <c r="R10" s="61">
        <v>-0.2017636345320869</v>
      </c>
      <c r="S10" s="61">
        <v>-0.25737198852994292</v>
      </c>
      <c r="T10" s="61">
        <v>-0.31507500741877936</v>
      </c>
      <c r="U10" s="61">
        <v>-0.59913967435105198</v>
      </c>
      <c r="V10" s="61">
        <v>-0.64929306326304936</v>
      </c>
      <c r="W10" s="61">
        <v>-0.77746715918704778</v>
      </c>
      <c r="X10" s="62">
        <v>-0.81221445074976772</v>
      </c>
      <c r="Z10" s="113"/>
      <c r="AA10" s="114"/>
      <c r="AB10" s="115"/>
      <c r="AC10" s="115"/>
      <c r="AD10" s="115"/>
      <c r="AE10" s="116"/>
      <c r="AF10" s="115"/>
      <c r="AG10" s="115"/>
      <c r="AH10" s="115"/>
      <c r="AI10" s="116"/>
      <c r="AJ10" s="117"/>
      <c r="AK10" s="118"/>
      <c r="AL10" s="114"/>
      <c r="AM10" s="118"/>
      <c r="AN10" s="110"/>
      <c r="AO10" s="117"/>
      <c r="AP10" s="118"/>
      <c r="AQ10" s="114"/>
      <c r="AR10" s="118"/>
      <c r="AS10" s="110"/>
      <c r="AT10" s="110"/>
    </row>
    <row r="11" spans="1:46" ht="19.5" customHeight="1" thickBot="1" x14ac:dyDescent="0.3">
      <c r="A11" s="6">
        <v>5</v>
      </c>
      <c r="B11" s="32" t="s">
        <v>5</v>
      </c>
      <c r="C11" s="130">
        <f>C43/C32</f>
        <v>6.6666666666666671E-3</v>
      </c>
      <c r="D11" s="6" t="s">
        <v>36</v>
      </c>
      <c r="E11" s="292"/>
      <c r="F11" s="12">
        <f t="shared" ref="F11:F24" si="1">Y68*$C$36</f>
        <v>9904343.2483759634</v>
      </c>
      <c r="G11" s="13">
        <v>5.3385560498045548E-2</v>
      </c>
      <c r="H11" s="13">
        <v>5.3389525287918849E-2</v>
      </c>
      <c r="I11" s="13">
        <v>5.3397337616487794E-2</v>
      </c>
      <c r="J11" s="13">
        <v>5.3508743438094974E-2</v>
      </c>
      <c r="K11" s="13">
        <v>5.3577513107026853E-2</v>
      </c>
      <c r="L11" s="61">
        <v>5.350497137835708E-2</v>
      </c>
      <c r="M11" s="61">
        <v>5.3148451440302669E-2</v>
      </c>
      <c r="N11" s="61">
        <v>5.251206617982529E-2</v>
      </c>
      <c r="O11" s="61">
        <v>5.1596316148963428E-2</v>
      </c>
      <c r="P11" s="61">
        <v>4.285991170280079E-2</v>
      </c>
      <c r="Q11" s="61">
        <v>2.7339068954975509E-2</v>
      </c>
      <c r="R11" s="61">
        <v>5.3349221268905733E-3</v>
      </c>
      <c r="S11" s="61">
        <v>-7.9709199828323918E-3</v>
      </c>
      <c r="T11" s="61">
        <v>-2.2730614586979225E-2</v>
      </c>
      <c r="U11" s="61">
        <v>-0.11571908768802974</v>
      </c>
      <c r="V11" s="61">
        <v>-0.1375646035838195</v>
      </c>
      <c r="W11" s="61">
        <v>-0.20792772281498806</v>
      </c>
      <c r="X11" s="62">
        <v>-0.2326659142262798</v>
      </c>
      <c r="Z11" s="113"/>
      <c r="AA11" s="114"/>
      <c r="AB11" s="115"/>
      <c r="AC11" s="115"/>
      <c r="AD11" s="115"/>
      <c r="AE11" s="116"/>
      <c r="AF11" s="115"/>
      <c r="AG11" s="115"/>
      <c r="AH11" s="115"/>
      <c r="AI11" s="116"/>
      <c r="AJ11" s="117"/>
      <c r="AK11" s="118"/>
      <c r="AL11" s="114"/>
      <c r="AM11" s="118"/>
      <c r="AN11" s="110"/>
      <c r="AO11" s="117"/>
      <c r="AP11" s="118"/>
      <c r="AQ11" s="114"/>
      <c r="AR11" s="118"/>
      <c r="AS11" s="110"/>
      <c r="AT11" s="110"/>
    </row>
    <row r="12" spans="1:46" ht="15.75" thickBot="1" x14ac:dyDescent="0.3">
      <c r="A12" s="6">
        <v>6</v>
      </c>
      <c r="B12" s="31" t="s">
        <v>38</v>
      </c>
      <c r="C12" s="95">
        <f>1/C7</f>
        <v>6.6666666666666671E-3</v>
      </c>
      <c r="D12" s="6" t="s">
        <v>8</v>
      </c>
      <c r="E12" s="292"/>
      <c r="F12" s="12">
        <v>15531000</v>
      </c>
      <c r="G12" s="220">
        <v>5.4312986340794067E-2</v>
      </c>
      <c r="H12" s="221">
        <v>5.4316991756161448E-2</v>
      </c>
      <c r="I12" s="221">
        <v>5.4324929854226545E-2</v>
      </c>
      <c r="J12" s="221">
        <v>5.4448146336919745E-2</v>
      </c>
      <c r="K12" s="222">
        <v>5.4552798649469381E-2</v>
      </c>
      <c r="L12" s="13">
        <v>5.4645676419674327E-2</v>
      </c>
      <c r="M12" s="61">
        <v>5.4555253133886428E-2</v>
      </c>
      <c r="N12" s="61">
        <v>5.4290986983050349E-2</v>
      </c>
      <c r="O12" s="61">
        <v>5.3853006870274944E-2</v>
      </c>
      <c r="P12" s="61">
        <v>4.9067825210038052E-2</v>
      </c>
      <c r="Q12" s="61">
        <v>4.0007512996138361E-2</v>
      </c>
      <c r="R12" s="61">
        <v>2.6781719790697878E-2</v>
      </c>
      <c r="S12" s="61">
        <v>1.8654597669526485E-2</v>
      </c>
      <c r="T12" s="61">
        <v>9.5494109693861073E-3</v>
      </c>
      <c r="U12" s="61">
        <v>-4.9610998382336402E-2</v>
      </c>
      <c r="V12" s="61">
        <v>-6.392910516249195E-2</v>
      </c>
      <c r="W12" s="61">
        <v>-0.11114474794094442</v>
      </c>
      <c r="X12" s="62">
        <v>-0.12815856097261968</v>
      </c>
      <c r="Z12" s="113"/>
      <c r="AA12" s="114"/>
      <c r="AB12" s="115"/>
      <c r="AC12" s="115"/>
      <c r="AD12" s="115"/>
      <c r="AE12" s="116"/>
      <c r="AF12" s="115"/>
      <c r="AG12" s="115"/>
      <c r="AH12" s="115"/>
      <c r="AI12" s="116"/>
      <c r="AJ12" s="117"/>
      <c r="AK12" s="118"/>
      <c r="AL12" s="114"/>
      <c r="AM12" s="118"/>
      <c r="AN12" s="110"/>
      <c r="AO12" s="117"/>
      <c r="AP12" s="118"/>
      <c r="AQ12" s="114"/>
      <c r="AR12" s="118"/>
      <c r="AS12" s="110"/>
      <c r="AT12" s="110"/>
    </row>
    <row r="13" spans="1:46" x14ac:dyDescent="0.25">
      <c r="A13" s="6">
        <v>7</v>
      </c>
      <c r="B13" s="32" t="s">
        <v>6</v>
      </c>
      <c r="C13" s="96">
        <f>MIN(C11,C12)</f>
        <v>6.6666666666666671E-3</v>
      </c>
      <c r="D13" s="6" t="s">
        <v>7</v>
      </c>
      <c r="E13" s="292"/>
      <c r="F13" s="12">
        <f t="shared" si="1"/>
        <v>31744610.633902542</v>
      </c>
      <c r="G13" s="13">
        <v>5.5147478224562674E-2</v>
      </c>
      <c r="H13" s="13">
        <v>5.515152022201808E-2</v>
      </c>
      <c r="I13" s="13">
        <v>5.5159571574824096E-2</v>
      </c>
      <c r="J13" s="13">
        <v>5.5293424009728476E-2</v>
      </c>
      <c r="K13" s="13">
        <v>5.5430391554691871E-2</v>
      </c>
      <c r="L13" s="13">
        <v>5.5672269898930704E-2</v>
      </c>
      <c r="M13" s="13">
        <v>5.5821623707500434E-2</v>
      </c>
      <c r="N13" s="61">
        <v>5.589286132512683E-2</v>
      </c>
      <c r="O13" s="61">
        <v>5.5885967154952754E-2</v>
      </c>
      <c r="P13" s="61">
        <v>5.4680170835947228E-2</v>
      </c>
      <c r="Q13" s="61">
        <v>5.1528565577621643E-2</v>
      </c>
      <c r="R13" s="61">
        <v>4.6448360847426651E-2</v>
      </c>
      <c r="S13" s="61">
        <v>4.3193278529545909E-2</v>
      </c>
      <c r="T13" s="61">
        <v>3.9467228267944021E-2</v>
      </c>
      <c r="U13" s="61">
        <v>1.3970668918940943E-2</v>
      </c>
      <c r="V13" s="61">
        <v>7.5460850661479562E-3</v>
      </c>
      <c r="W13" s="61">
        <v>-1.4229517136944203E-2</v>
      </c>
      <c r="X13" s="62">
        <v>-2.2290110145001152E-2</v>
      </c>
      <c r="Z13" s="113"/>
      <c r="AA13" s="114"/>
      <c r="AB13" s="115"/>
      <c r="AC13" s="115"/>
      <c r="AD13" s="115"/>
      <c r="AE13" s="116"/>
      <c r="AF13" s="115"/>
      <c r="AG13" s="115"/>
      <c r="AH13" s="115"/>
      <c r="AI13" s="116"/>
      <c r="AJ13" s="117"/>
      <c r="AK13" s="118"/>
      <c r="AL13" s="114"/>
      <c r="AM13" s="118"/>
      <c r="AN13" s="110"/>
      <c r="AO13" s="117"/>
      <c r="AP13" s="118"/>
      <c r="AQ13" s="114"/>
      <c r="AR13" s="118"/>
      <c r="AS13" s="110"/>
      <c r="AT13" s="110"/>
    </row>
    <row r="14" spans="1:46" x14ac:dyDescent="0.25">
      <c r="A14" s="6">
        <v>8</v>
      </c>
      <c r="B14" s="31" t="s">
        <v>9</v>
      </c>
      <c r="C14" s="97">
        <f>MIN(C10,C12)</f>
        <v>4.7252115242454201E-6</v>
      </c>
      <c r="D14" s="6" t="s">
        <v>10</v>
      </c>
      <c r="E14" s="292"/>
      <c r="F14" s="12">
        <f t="shared" si="1"/>
        <v>42326147.511870056</v>
      </c>
      <c r="G14" s="13">
        <v>5.5347414605070533E-2</v>
      </c>
      <c r="H14" s="13">
        <v>5.5351465371104025E-2</v>
      </c>
      <c r="I14" s="13">
        <v>5.5359543871073669E-2</v>
      </c>
      <c r="J14" s="13">
        <v>5.5495945816047998E-2</v>
      </c>
      <c r="K14" s="13">
        <v>5.564065975822774E-2</v>
      </c>
      <c r="L14" s="13">
        <v>5.5918259330418829E-2</v>
      </c>
      <c r="M14" s="13">
        <v>5.6125109989020538E-2</v>
      </c>
      <c r="N14" s="13">
        <v>5.6276825872254133E-2</v>
      </c>
      <c r="O14" s="61">
        <v>5.6373383535297972E-2</v>
      </c>
      <c r="P14" s="61">
        <v>5.602857470857181E-2</v>
      </c>
      <c r="Q14" s="61">
        <v>5.4306194977250977E-2</v>
      </c>
      <c r="R14" s="61">
        <v>5.1212890863449489E-2</v>
      </c>
      <c r="S14" s="61">
        <v>4.9155662866654293E-2</v>
      </c>
      <c r="T14" s="61">
        <v>4.6760581857683059E-2</v>
      </c>
      <c r="U14" s="61">
        <v>2.9808984114600534E-2</v>
      </c>
      <c r="V14" s="61">
        <v>2.5446102545227944E-2</v>
      </c>
      <c r="W14" s="61">
        <v>1.0484127414140287E-2</v>
      </c>
      <c r="X14" s="62">
        <v>4.8880379971234511E-3</v>
      </c>
      <c r="Z14" s="113"/>
      <c r="AA14" s="112"/>
      <c r="AB14" s="25"/>
      <c r="AC14" s="25"/>
      <c r="AD14" s="25"/>
      <c r="AE14" s="25"/>
      <c r="AF14" s="25"/>
      <c r="AG14" s="25"/>
      <c r="AH14" s="25"/>
      <c r="AI14" s="116"/>
      <c r="AJ14" s="117"/>
      <c r="AK14" s="119"/>
      <c r="AL14" s="112"/>
      <c r="AM14" s="119"/>
      <c r="AN14" s="110"/>
      <c r="AO14" s="117"/>
      <c r="AP14" s="119"/>
      <c r="AQ14" s="112"/>
      <c r="AR14" s="119"/>
      <c r="AS14" s="110"/>
      <c r="AT14" s="110"/>
    </row>
    <row r="15" spans="1:46" x14ac:dyDescent="0.25">
      <c r="B15" s="6"/>
      <c r="C15" s="6"/>
      <c r="E15" s="292"/>
      <c r="F15" s="12">
        <f t="shared" si="1"/>
        <v>52907684.38983757</v>
      </c>
      <c r="G15" s="13">
        <v>5.5467394368713174E-2</v>
      </c>
      <c r="H15" s="13">
        <v>5.5471450397416078E-2</v>
      </c>
      <c r="I15" s="13">
        <v>5.5479545190421087E-2</v>
      </c>
      <c r="J15" s="13">
        <v>5.5617477299481299E-2</v>
      </c>
      <c r="K15" s="13">
        <v>5.5766840511887628E-2</v>
      </c>
      <c r="L15" s="13">
        <v>5.6065880124960055E-2</v>
      </c>
      <c r="M15" s="13">
        <v>5.6307243055121914E-2</v>
      </c>
      <c r="N15" s="13">
        <v>5.6507270698886281E-2</v>
      </c>
      <c r="O15" s="13">
        <v>5.6665939877170279E-2</v>
      </c>
      <c r="P15" s="61">
        <v>5.683843303277758E-2</v>
      </c>
      <c r="Q15" s="61">
        <v>5.5976244891401628E-2</v>
      </c>
      <c r="R15" s="61">
        <v>5.4081872244641893E-2</v>
      </c>
      <c r="S15" s="61">
        <v>5.274921367894958E-2</v>
      </c>
      <c r="T15" s="61">
        <v>5.1160796418334265E-2</v>
      </c>
      <c r="U15" s="61">
        <v>3.9428835686060593E-2</v>
      </c>
      <c r="V15" s="61">
        <v>3.6336286092554015E-2</v>
      </c>
      <c r="W15" s="61">
        <v>2.5604593628693717E-2</v>
      </c>
      <c r="X15" s="62">
        <v>2.1551183459115997E-2</v>
      </c>
      <c r="Z15" s="113"/>
      <c r="AA15" s="110"/>
      <c r="AB15" s="115"/>
      <c r="AC15" s="115"/>
      <c r="AD15" s="115"/>
      <c r="AE15" s="116"/>
      <c r="AF15" s="115"/>
      <c r="AG15" s="115"/>
      <c r="AH15" s="115"/>
      <c r="AI15" s="116"/>
      <c r="AJ15" s="117"/>
      <c r="AK15" s="118"/>
      <c r="AL15" s="114"/>
      <c r="AM15" s="118"/>
      <c r="AN15" s="120"/>
      <c r="AO15" s="117"/>
      <c r="AP15" s="118"/>
      <c r="AQ15" s="114"/>
      <c r="AR15" s="118"/>
      <c r="AS15" s="110"/>
      <c r="AT15" s="110"/>
    </row>
    <row r="16" spans="1:46" x14ac:dyDescent="0.25">
      <c r="A16" s="17" t="s">
        <v>12</v>
      </c>
      <c r="B16" s="31" t="s">
        <v>42</v>
      </c>
      <c r="C16" s="33">
        <f>(1-C13/C12)</f>
        <v>0</v>
      </c>
      <c r="E16" s="292"/>
      <c r="F16" s="12">
        <v>77590000</v>
      </c>
      <c r="G16" s="13">
        <v>5.5620081864018456E-2</v>
      </c>
      <c r="H16" s="13">
        <v>5.5624144590817215E-2</v>
      </c>
      <c r="I16" s="13">
        <v>5.5632260120999977E-2</v>
      </c>
      <c r="J16" s="13">
        <v>5.5772139781553154E-2</v>
      </c>
      <c r="K16" s="13">
        <v>5.5927420502872138E-2</v>
      </c>
      <c r="L16" s="13">
        <v>5.6253749381317109E-2</v>
      </c>
      <c r="M16" s="13">
        <v>5.6539042752809188E-2</v>
      </c>
      <c r="N16" s="13">
        <v>5.6800571516369525E-2</v>
      </c>
      <c r="O16" s="13">
        <v>5.7038318230554497E-2</v>
      </c>
      <c r="P16" s="13">
        <v>5.7869821557211765E-2</v>
      </c>
      <c r="Q16" s="61">
        <v>5.8105069783964458E-2</v>
      </c>
      <c r="R16" s="61">
        <v>5.774367046600104E-2</v>
      </c>
      <c r="S16" s="61">
        <v>5.7339377521475443E-2</v>
      </c>
      <c r="T16" s="61">
        <v>5.6786226472561818E-2</v>
      </c>
      <c r="U16" s="61">
        <v>5.179783115339176E-2</v>
      </c>
      <c r="V16" s="61">
        <v>5.035853110210109E-2</v>
      </c>
      <c r="W16" s="61">
        <v>4.5167601321034034E-2</v>
      </c>
      <c r="X16" s="62">
        <v>4.3148672593396276E-2</v>
      </c>
      <c r="Z16" s="113"/>
      <c r="AA16" s="110"/>
      <c r="AB16" s="115"/>
      <c r="AC16" s="115"/>
      <c r="AD16" s="115"/>
      <c r="AE16" s="116"/>
      <c r="AF16" s="115"/>
      <c r="AG16" s="115"/>
      <c r="AH16" s="115"/>
      <c r="AI16" s="116"/>
      <c r="AJ16" s="117"/>
      <c r="AK16" s="118"/>
      <c r="AL16" s="114"/>
      <c r="AM16" s="118"/>
      <c r="AN16" s="110"/>
      <c r="AO16" s="117"/>
      <c r="AP16" s="118"/>
      <c r="AQ16" s="114"/>
      <c r="AR16" s="118"/>
      <c r="AS16" s="110"/>
      <c r="AT16" s="110"/>
    </row>
    <row r="17" spans="1:46" x14ac:dyDescent="0.25">
      <c r="A17" s="17" t="s">
        <v>13</v>
      </c>
      <c r="B17" s="31" t="s">
        <v>14</v>
      </c>
      <c r="C17" s="34">
        <f>C14 *C16</f>
        <v>0</v>
      </c>
      <c r="E17" s="292"/>
      <c r="F17" s="12">
        <f>SKY!D27</f>
        <v>23990000</v>
      </c>
      <c r="G17" s="13">
        <v>5.4889021093571744E-2</v>
      </c>
      <c r="H17" s="13">
        <v>5.4893051758111655E-2</v>
      </c>
      <c r="I17" s="13">
        <v>5.490106802497996E-2</v>
      </c>
      <c r="J17" s="13">
        <v>5.5031625424298403E-2</v>
      </c>
      <c r="K17" s="13">
        <v>5.515858150110442E-2</v>
      </c>
      <c r="L17" s="13">
        <v>5.5354295782259921E-2</v>
      </c>
      <c r="M17" s="13">
        <v>5.5429351386463432E-2</v>
      </c>
      <c r="N17" s="13">
        <v>5.5396609269455332E-2</v>
      </c>
      <c r="O17" s="13">
        <v>5.5256079326066798E-2</v>
      </c>
      <c r="P17" s="13">
        <v>5.2939236922484811E-2</v>
      </c>
      <c r="Q17" s="13">
        <v>4.7947860296701839E-2</v>
      </c>
      <c r="R17" s="61">
        <v>4.0319509661963737E-2</v>
      </c>
      <c r="S17" s="61">
        <v>3.5533590038430596E-2</v>
      </c>
      <c r="T17" s="61">
        <v>3.0111368439621256E-2</v>
      </c>
      <c r="U17" s="61">
        <v>-6.1521577945671257E-3</v>
      </c>
      <c r="V17" s="61">
        <v>-1.514198181764137E-2</v>
      </c>
      <c r="W17" s="61">
        <v>-4.5301664194655977E-2</v>
      </c>
      <c r="X17" s="62">
        <v>-5.6358414177744898E-2</v>
      </c>
      <c r="Z17" s="113"/>
      <c r="AA17" s="110"/>
      <c r="AB17" s="115"/>
      <c r="AC17" s="115"/>
      <c r="AD17" s="115"/>
      <c r="AE17" s="116"/>
      <c r="AF17" s="115"/>
      <c r="AG17" s="115"/>
      <c r="AH17" s="115"/>
      <c r="AI17" s="116"/>
      <c r="AJ17" s="117"/>
      <c r="AK17" s="118"/>
      <c r="AL17" s="114"/>
      <c r="AM17" s="118"/>
      <c r="AN17" s="110"/>
      <c r="AO17" s="117"/>
      <c r="AP17" s="118"/>
      <c r="AQ17" s="114"/>
      <c r="AR17" s="118"/>
      <c r="AS17" s="110"/>
      <c r="AT17" s="110"/>
    </row>
    <row r="18" spans="1:46" x14ac:dyDescent="0.25">
      <c r="A18" s="17" t="s">
        <v>15</v>
      </c>
      <c r="B18" s="31" t="s">
        <v>16</v>
      </c>
      <c r="C18" s="34">
        <f>C13-C17</f>
        <v>6.6666666666666671E-3</v>
      </c>
      <c r="E18" s="292"/>
      <c r="F18" s="12">
        <f t="shared" si="1"/>
        <v>105815368.77967514</v>
      </c>
      <c r="G18" s="13">
        <v>5.5707394257442644E-2</v>
      </c>
      <c r="H18" s="13">
        <v>5.5711460814853231E-2</v>
      </c>
      <c r="I18" s="13">
        <v>5.5719588204560244E-2</v>
      </c>
      <c r="J18" s="13">
        <v>5.5860581672740661E-2</v>
      </c>
      <c r="K18" s="13">
        <v>5.6019246648186138E-2</v>
      </c>
      <c r="L18" s="13">
        <v>5.6361182782133756E-2</v>
      </c>
      <c r="M18" s="13">
        <v>5.6671602130260457E-2</v>
      </c>
      <c r="N18" s="13">
        <v>5.6968309122521488E-2</v>
      </c>
      <c r="O18" s="13">
        <v>5.7251292317101798E-2</v>
      </c>
      <c r="P18" s="13">
        <v>5.8459987813294978E-2</v>
      </c>
      <c r="Q18" s="13">
        <v>5.9324176068665802E-2</v>
      </c>
      <c r="R18" s="13">
        <v>5.9843023018704367E-2</v>
      </c>
      <c r="S18" s="61">
        <v>5.9972773914595656E-2</v>
      </c>
      <c r="T18" s="61">
        <v>6.0016027694710816E-2</v>
      </c>
      <c r="U18" s="61">
        <v>5.8935205269119884E-2</v>
      </c>
      <c r="V18" s="61">
        <v>5.8459987813294978E-2</v>
      </c>
      <c r="W18" s="61">
        <v>5.65181057649915E-2</v>
      </c>
      <c r="X18" s="62">
        <v>5.5699255417580362E-2</v>
      </c>
      <c r="Z18" s="113"/>
      <c r="AA18" s="110"/>
      <c r="AB18" s="115"/>
      <c r="AC18" s="115"/>
      <c r="AD18" s="115"/>
      <c r="AE18" s="116"/>
      <c r="AF18" s="115"/>
      <c r="AG18" s="115"/>
      <c r="AH18" s="115"/>
      <c r="AI18" s="116"/>
      <c r="AJ18" s="117"/>
      <c r="AK18" s="118"/>
      <c r="AL18" s="114"/>
      <c r="AM18" s="118"/>
      <c r="AN18" s="110"/>
      <c r="AO18" s="117"/>
      <c r="AP18" s="118"/>
      <c r="AQ18" s="114"/>
      <c r="AR18" s="118"/>
      <c r="AS18" s="110"/>
      <c r="AT18" s="110"/>
    </row>
    <row r="19" spans="1:46" x14ac:dyDescent="0.25">
      <c r="A19" s="17" t="s">
        <v>17</v>
      </c>
      <c r="B19" s="31" t="s">
        <v>41</v>
      </c>
      <c r="C19" s="34">
        <f>C18/C12</f>
        <v>1</v>
      </c>
      <c r="E19" s="292"/>
      <c r="F19" s="12">
        <f t="shared" si="1"/>
        <v>126978442.53561017</v>
      </c>
      <c r="G19" s="13">
        <v>5.5747399471572034E-2</v>
      </c>
      <c r="H19" s="13">
        <v>5.5751467784223685E-2</v>
      </c>
      <c r="I19" s="13">
        <v>5.5759600608090043E-2</v>
      </c>
      <c r="J19" s="13">
        <v>5.5901104436441473E-2</v>
      </c>
      <c r="K19" s="13">
        <v>5.6061320123556024E-2</v>
      </c>
      <c r="L19" s="13">
        <v>5.6410407809108998E-2</v>
      </c>
      <c r="M19" s="13">
        <v>5.6732340693198768E-2</v>
      </c>
      <c r="N19" s="13">
        <v>5.7045168149395531E-2</v>
      </c>
      <c r="O19" s="13">
        <v>5.7348882145894065E-2</v>
      </c>
      <c r="P19" s="13">
        <v>5.8730485417231026E-2</v>
      </c>
      <c r="Q19" s="13">
        <v>5.9883181510764993E-2</v>
      </c>
      <c r="R19" s="13">
        <v>6.080622953237147E-2</v>
      </c>
      <c r="S19" s="13">
        <v>6.1181444228544546E-2</v>
      </c>
      <c r="T19" s="61">
        <v>6.1499035824466697E-2</v>
      </c>
      <c r="U19" s="61">
        <v>6.2221183594099116E-2</v>
      </c>
      <c r="V19" s="61">
        <v>6.2192288382085792E-2</v>
      </c>
      <c r="W19" s="61">
        <v>6.175895322162428E-2</v>
      </c>
      <c r="X19" s="62">
        <v>6.1499035824466697E-2</v>
      </c>
      <c r="Z19" s="113"/>
      <c r="AA19" s="110"/>
      <c r="AB19" s="115"/>
      <c r="AC19" s="115"/>
      <c r="AD19" s="115"/>
      <c r="AE19" s="116"/>
      <c r="AF19" s="115"/>
      <c r="AG19" s="115"/>
      <c r="AH19" s="115"/>
      <c r="AI19" s="116"/>
      <c r="AJ19" s="117"/>
      <c r="AK19" s="118"/>
      <c r="AL19" s="114"/>
      <c r="AM19" s="118"/>
      <c r="AN19" s="110"/>
      <c r="AO19" s="117"/>
      <c r="AP19" s="118"/>
      <c r="AQ19" s="114"/>
      <c r="AR19" s="118"/>
      <c r="AS19" s="110"/>
      <c r="AT19" s="110"/>
    </row>
    <row r="20" spans="1:46" x14ac:dyDescent="0.25">
      <c r="A20" s="17" t="s">
        <v>18</v>
      </c>
      <c r="B20" s="31" t="s">
        <v>40</v>
      </c>
      <c r="C20" s="34">
        <f>C14 * C8 *C19</f>
        <v>1.417563457273626E-6</v>
      </c>
      <c r="E20" s="292"/>
      <c r="F20" s="12">
        <f t="shared" si="1"/>
        <v>148141516.29154518</v>
      </c>
      <c r="G20" s="13">
        <v>5.5775975539964273E-2</v>
      </c>
      <c r="H20" s="13">
        <v>5.5780045106400777E-2</v>
      </c>
      <c r="I20" s="13">
        <v>5.5788181812064019E-2</v>
      </c>
      <c r="J20" s="13">
        <v>5.5930050206801196E-2</v>
      </c>
      <c r="K20" s="13">
        <v>5.6091373618189166E-2</v>
      </c>
      <c r="L20" s="13">
        <v>5.6445569927799255E-2</v>
      </c>
      <c r="M20" s="13">
        <v>5.6775727489238648E-2</v>
      </c>
      <c r="N20" s="13">
        <v>5.7100070829174898E-2</v>
      </c>
      <c r="O20" s="13">
        <v>5.7418594605999518E-2</v>
      </c>
      <c r="P20" s="13">
        <v>5.8923739733674152E-2</v>
      </c>
      <c r="Q20" s="13">
        <v>6.0282649232656249E-2</v>
      </c>
      <c r="R20" s="13">
        <v>6.1494762739913167E-2</v>
      </c>
      <c r="S20" s="13">
        <v>6.2045612320068999E-2</v>
      </c>
      <c r="T20" s="13">
        <v>6.2559580039346363E-2</v>
      </c>
      <c r="U20" s="61">
        <v>6.4574466303272127E-2</v>
      </c>
      <c r="V20" s="61">
        <v>6.4866161573353009E-2</v>
      </c>
      <c r="W20" s="61">
        <v>6.5518106022921518E-2</v>
      </c>
      <c r="X20" s="62">
        <v>6.5660965454936493E-2</v>
      </c>
      <c r="Z20" s="113"/>
      <c r="AA20" s="110"/>
      <c r="AB20" s="115"/>
      <c r="AC20" s="115"/>
      <c r="AD20" s="115"/>
      <c r="AE20" s="116"/>
      <c r="AF20" s="115"/>
      <c r="AG20" s="115"/>
      <c r="AH20" s="115"/>
      <c r="AI20" s="116"/>
      <c r="AJ20" s="117"/>
      <c r="AK20" s="118"/>
      <c r="AL20" s="114"/>
      <c r="AM20" s="118"/>
      <c r="AN20" s="110"/>
      <c r="AO20" s="117"/>
      <c r="AP20" s="118"/>
      <c r="AQ20" s="114"/>
      <c r="AR20" s="118"/>
      <c r="AS20" s="110"/>
      <c r="AT20" s="110"/>
    </row>
    <row r="21" spans="1:46" x14ac:dyDescent="0.25">
      <c r="A21" s="17" t="s">
        <v>19</v>
      </c>
      <c r="B21" s="31" t="s">
        <v>21</v>
      </c>
      <c r="C21" s="35">
        <f>C13+C20</f>
        <v>6.6680842301239411E-3</v>
      </c>
      <c r="E21" s="292"/>
      <c r="F21" s="12">
        <f t="shared" si="1"/>
        <v>169304590.04748023</v>
      </c>
      <c r="G21" s="13">
        <v>5.5797408091881273E-2</v>
      </c>
      <c r="H21" s="13">
        <v>5.5801478598719534E-2</v>
      </c>
      <c r="I21" s="13">
        <v>5.5809618215869383E-2</v>
      </c>
      <c r="J21" s="13">
        <v>5.5951760048164267E-2</v>
      </c>
      <c r="K21" s="13">
        <v>5.6113914292738709E-2</v>
      </c>
      <c r="L21" s="13">
        <v>5.6471942274324505E-2</v>
      </c>
      <c r="M21" s="13">
        <v>5.6808268739286572E-2</v>
      </c>
      <c r="N21" s="13">
        <v>5.7141249684756756E-2</v>
      </c>
      <c r="O21" s="13">
        <v>5.747088192602634E-2</v>
      </c>
      <c r="P21" s="13">
        <v>5.9068703303033043E-2</v>
      </c>
      <c r="Q21" s="13">
        <v>6.0582347471174192E-2</v>
      </c>
      <c r="R21" s="13">
        <v>6.2011451890647162E-2</v>
      </c>
      <c r="S21" s="13">
        <v>6.26941938508212E-2</v>
      </c>
      <c r="T21" s="13">
        <v>6.335567396627062E-2</v>
      </c>
      <c r="U21" s="13">
        <v>6.6342802148792401E-2</v>
      </c>
      <c r="V21" s="61">
        <v>6.6875922126141241E-2</v>
      </c>
      <c r="W21" s="61">
        <v>6.8346082294812982E-2</v>
      </c>
      <c r="X21" s="62">
        <v>6.8792970823245758E-2</v>
      </c>
      <c r="Z21" s="113"/>
      <c r="AA21" s="110"/>
      <c r="AB21" s="115"/>
      <c r="AC21" s="115"/>
      <c r="AD21" s="115"/>
      <c r="AE21" s="116"/>
      <c r="AF21" s="115"/>
      <c r="AG21" s="115"/>
      <c r="AH21" s="115"/>
      <c r="AI21" s="116"/>
      <c r="AJ21" s="117"/>
      <c r="AK21" s="118"/>
      <c r="AL21" s="114"/>
      <c r="AM21" s="118"/>
      <c r="AN21" s="110"/>
      <c r="AO21" s="117"/>
      <c r="AP21" s="118"/>
      <c r="AQ21" s="114"/>
      <c r="AR21" s="118"/>
      <c r="AS21" s="110"/>
      <c r="AT21" s="110"/>
    </row>
    <row r="22" spans="1:46" ht="15.75" thickBot="1" x14ac:dyDescent="0.3">
      <c r="A22" s="17" t="s">
        <v>20</v>
      </c>
      <c r="B22" s="31" t="s">
        <v>39</v>
      </c>
      <c r="C22" s="34">
        <f>C9/(1+C8)</f>
        <v>0.76923076923076916</v>
      </c>
      <c r="E22" s="292"/>
      <c r="F22" s="12">
        <f t="shared" si="1"/>
        <v>179886126.92544773</v>
      </c>
      <c r="G22" s="13">
        <v>5.580623338505375E-2</v>
      </c>
      <c r="H22" s="13">
        <v>5.5810304279132694E-2</v>
      </c>
      <c r="I22" s="13">
        <v>5.5818445095134672E-2</v>
      </c>
      <c r="J22" s="13">
        <v>5.5960699522543678E-2</v>
      </c>
      <c r="K22" s="13">
        <v>5.6123195884885568E-2</v>
      </c>
      <c r="L22" s="13">
        <v>5.6482801664578197E-2</v>
      </c>
      <c r="M22" s="13">
        <v>5.6821668364786637E-2</v>
      </c>
      <c r="N22" s="13">
        <v>5.7158206143980816E-2</v>
      </c>
      <c r="O22" s="13">
        <v>5.7492412740164145E-2</v>
      </c>
      <c r="P22" s="13">
        <v>5.9128399873485948E-2</v>
      </c>
      <c r="Q22" s="13">
        <v>6.0705776911774256E-2</v>
      </c>
      <c r="R22" s="13">
        <v>6.2224278339094719E-2</v>
      </c>
      <c r="S22" s="13">
        <v>6.2961370367255132E-2</v>
      </c>
      <c r="T22" s="13">
        <v>6.3683648310070007E-2</v>
      </c>
      <c r="U22" s="13">
        <v>6.7071782215331943E-2</v>
      </c>
      <c r="V22" s="13">
        <v>6.7704557558248668E-2</v>
      </c>
      <c r="W22" s="61">
        <v>6.9512693646819557E-2</v>
      </c>
      <c r="X22" s="62">
        <v>7.0085257373167842E-2</v>
      </c>
      <c r="Y22" s="6"/>
      <c r="Z22" s="113"/>
      <c r="AA22" s="110"/>
      <c r="AB22" s="115"/>
      <c r="AC22" s="115"/>
      <c r="AD22" s="115"/>
      <c r="AE22" s="116"/>
      <c r="AF22" s="115"/>
      <c r="AG22" s="115"/>
      <c r="AH22" s="115"/>
      <c r="AI22" s="116"/>
      <c r="AJ22" s="117"/>
      <c r="AK22" s="118"/>
      <c r="AL22" s="114"/>
      <c r="AM22" s="118"/>
      <c r="AN22" s="110"/>
      <c r="AO22" s="117"/>
      <c r="AP22" s="118"/>
      <c r="AQ22" s="114"/>
      <c r="AR22" s="118"/>
      <c r="AS22" s="110"/>
      <c r="AT22" s="110"/>
    </row>
    <row r="23" spans="1:46" ht="15.75" customHeight="1" thickBot="1" x14ac:dyDescent="0.3">
      <c r="A23" s="125" t="s">
        <v>22</v>
      </c>
      <c r="B23" s="36" t="s">
        <v>23</v>
      </c>
      <c r="C23" s="122">
        <f>C22 * C21</f>
        <v>5.1292955616338001E-3</v>
      </c>
      <c r="E23" s="292"/>
      <c r="F23" s="12">
        <f t="shared" si="1"/>
        <v>190467663.80341527</v>
      </c>
      <c r="G23" s="13">
        <v>5.5814078151168012E-2</v>
      </c>
      <c r="H23" s="13">
        <v>5.5818149389460281E-2</v>
      </c>
      <c r="I23" s="13">
        <v>5.5826291271150241E-2</v>
      </c>
      <c r="J23" s="13">
        <v>5.5968645784687077E-2</v>
      </c>
      <c r="K23" s="13">
        <v>5.6131446256558526E-2</v>
      </c>
      <c r="L23" s="13">
        <v>5.649245454831342E-2</v>
      </c>
      <c r="M23" s="13">
        <v>5.6833579283691815E-2</v>
      </c>
      <c r="N23" s="13">
        <v>5.7173278777364889E-2</v>
      </c>
      <c r="O23" s="13">
        <v>5.7511551604613409E-2</v>
      </c>
      <c r="P23" s="13">
        <v>5.918146627782761E-2</v>
      </c>
      <c r="Q23" s="13">
        <v>6.0815503863999254E-2</v>
      </c>
      <c r="R23" s="13">
        <v>6.2413492718734087E-2</v>
      </c>
      <c r="S23" s="13">
        <v>6.3198916222231061E-2</v>
      </c>
      <c r="T23" s="13">
        <v>6.3975264818452393E-2</v>
      </c>
      <c r="U23" s="13">
        <v>6.7720177119498626E-2</v>
      </c>
      <c r="V23" s="13">
        <v>6.8441655267324597E-2</v>
      </c>
      <c r="W23" s="210">
        <v>7.0550736267334324E-2</v>
      </c>
      <c r="X23" s="62">
        <v>7.1235250222413171E-2</v>
      </c>
      <c r="Y23" s="6"/>
      <c r="Z23" s="113"/>
      <c r="AA23" s="110"/>
      <c r="AB23" s="115"/>
      <c r="AC23" s="115"/>
      <c r="AD23" s="115"/>
      <c r="AE23" s="116"/>
      <c r="AF23" s="115"/>
      <c r="AG23" s="115"/>
      <c r="AH23" s="115"/>
      <c r="AI23" s="116"/>
      <c r="AJ23" s="117"/>
      <c r="AK23" s="118"/>
      <c r="AL23" s="114"/>
      <c r="AM23" s="118"/>
      <c r="AN23" s="110"/>
      <c r="AO23" s="117"/>
      <c r="AP23" s="118"/>
      <c r="AQ23" s="114"/>
      <c r="AR23" s="118"/>
      <c r="AS23" s="110"/>
      <c r="AT23" s="110"/>
    </row>
    <row r="24" spans="1:46" x14ac:dyDescent="0.25">
      <c r="A24" s="126"/>
      <c r="B24" s="3"/>
      <c r="C24" s="98"/>
      <c r="E24" s="292"/>
      <c r="F24" s="27">
        <f t="shared" si="1"/>
        <v>211630737.55935028</v>
      </c>
      <c r="G24" s="14">
        <v>5.5827414385511975E-2</v>
      </c>
      <c r="H24" s="14">
        <v>5.5831486208976377E-2</v>
      </c>
      <c r="I24" s="14">
        <v>5.5839629902366461E-2</v>
      </c>
      <c r="J24" s="14">
        <v>5.5982154565662912E-2</v>
      </c>
      <c r="K24" s="14">
        <v>5.6145472034281108E-2</v>
      </c>
      <c r="L24" s="14">
        <v>5.6508864650334889E-2</v>
      </c>
      <c r="M24" s="14">
        <v>5.6853828149703078E-2</v>
      </c>
      <c r="N24" s="14">
        <v>5.7198902740581703E-2</v>
      </c>
      <c r="O24" s="14">
        <v>5.7544088458217679E-2</v>
      </c>
      <c r="P24" s="14">
        <v>5.9271685183718059E-2</v>
      </c>
      <c r="Q24" s="14">
        <v>6.1002065376873693E-2</v>
      </c>
      <c r="R24" s="14">
        <v>6.2735233459975781E-2</v>
      </c>
      <c r="S24" s="28">
        <v>6.3602864344126431E-2</v>
      </c>
      <c r="T24" s="14">
        <v>6.4471193862242426E-2</v>
      </c>
      <c r="U24" s="14">
        <v>6.8823340393500354E-2</v>
      </c>
      <c r="V24" s="14">
        <v>6.9695873380163142E-2</v>
      </c>
      <c r="W24" s="14">
        <v>7.2317689729230361E-2</v>
      </c>
      <c r="X24" s="15">
        <v>7.3193036169333148E-2</v>
      </c>
      <c r="Y24" s="6"/>
      <c r="Z24" s="109"/>
      <c r="AA24" s="110"/>
      <c r="AB24" s="110"/>
      <c r="AC24" s="110"/>
      <c r="AD24" s="110"/>
      <c r="AE24" s="110"/>
      <c r="AF24" s="110"/>
      <c r="AG24" s="110"/>
      <c r="AH24" s="110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</row>
    <row r="25" spans="1:46" ht="15" customHeight="1" x14ac:dyDescent="0.25">
      <c r="B25" s="6"/>
      <c r="C25" s="100"/>
      <c r="D25" s="99"/>
      <c r="E25" s="7" t="s">
        <v>44</v>
      </c>
      <c r="F25" s="6"/>
      <c r="G25" s="8">
        <f>G24-G8</f>
        <v>0.15651626227556348</v>
      </c>
      <c r="H25" s="8">
        <f>H24-H8</f>
        <v>0.15652264721644538</v>
      </c>
      <c r="I25" s="8">
        <f>I24-I9</f>
        <v>9.6838070900368778E-2</v>
      </c>
      <c r="J25" s="8">
        <f>J24-J10</f>
        <v>1.2667887428978286E-2</v>
      </c>
      <c r="K25" s="8">
        <f>K24-K11</f>
        <v>2.5679589272542547E-3</v>
      </c>
      <c r="L25" s="8">
        <f>L24-L12</f>
        <v>1.8631882306605618E-3</v>
      </c>
      <c r="M25" s="8">
        <f>M24-M13</f>
        <v>1.0322044422026444E-3</v>
      </c>
      <c r="N25" s="8">
        <f>N24-N14</f>
        <v>9.2207686832757041E-4</v>
      </c>
      <c r="O25" s="8">
        <f>O24-O15</f>
        <v>8.781485810473999E-4</v>
      </c>
      <c r="P25" s="8">
        <f>P24-P16</f>
        <v>1.4018636265062945E-3</v>
      </c>
      <c r="Q25" s="8">
        <f>Q24-Q17</f>
        <v>1.3054205080171855E-2</v>
      </c>
      <c r="R25" s="8">
        <f>R24-R18</f>
        <v>2.8922104412714145E-3</v>
      </c>
      <c r="S25" s="25">
        <f>S24-S19</f>
        <v>2.4214201155818849E-3</v>
      </c>
      <c r="T25" s="25">
        <f>T24-T20</f>
        <v>1.9116138228960633E-3</v>
      </c>
      <c r="U25" s="8">
        <f>U24-U21</f>
        <v>2.4805382447079527E-3</v>
      </c>
      <c r="V25" s="8">
        <f>V24-V22</f>
        <v>1.9913158219144744E-3</v>
      </c>
      <c r="W25" s="8">
        <f>W24-W23</f>
        <v>1.766953461896037E-3</v>
      </c>
      <c r="X25" s="8">
        <f>0</f>
        <v>0</v>
      </c>
      <c r="Y25" s="6"/>
      <c r="Z25" s="109"/>
      <c r="AA25" s="110"/>
      <c r="AB25" s="110"/>
      <c r="AC25" s="110"/>
      <c r="AD25" s="110"/>
      <c r="AE25" s="110"/>
      <c r="AF25" s="110"/>
      <c r="AG25" s="110"/>
      <c r="AH25" s="110"/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0"/>
      <c r="AT25" s="110"/>
    </row>
    <row r="26" spans="1:46" ht="15.75" thickBot="1" x14ac:dyDescent="0.3">
      <c r="B26" s="19" t="s">
        <v>75</v>
      </c>
      <c r="C26" s="6"/>
      <c r="E26" s="17" t="s">
        <v>45</v>
      </c>
      <c r="F26" s="6"/>
      <c r="G26" s="24"/>
      <c r="H26" s="4">
        <f t="shared" ref="H26:X26" si="2">H7/$X$7</f>
        <v>7.0878172863681301E-4</v>
      </c>
      <c r="I26" s="4">
        <f t="shared" si="2"/>
        <v>1.1813028810613551E-3</v>
      </c>
      <c r="J26" s="4">
        <f t="shared" si="2"/>
        <v>9.4504230484908393E-3</v>
      </c>
      <c r="K26" s="4">
        <f t="shared" si="2"/>
        <v>1.8924565042470826E-2</v>
      </c>
      <c r="L26" s="4">
        <f t="shared" si="2"/>
        <v>0.04</v>
      </c>
      <c r="M26" s="4">
        <f t="shared" si="2"/>
        <v>0.06</v>
      </c>
      <c r="N26" s="4">
        <f t="shared" si="2"/>
        <v>0.08</v>
      </c>
      <c r="O26" s="4">
        <f t="shared" si="2"/>
        <v>0.1</v>
      </c>
      <c r="P26" s="4">
        <f t="shared" si="2"/>
        <v>0.2</v>
      </c>
      <c r="Q26" s="4">
        <f t="shared" si="2"/>
        <v>0.3</v>
      </c>
      <c r="R26" s="4">
        <f t="shared" si="2"/>
        <v>0.4</v>
      </c>
      <c r="S26" s="26">
        <f t="shared" si="2"/>
        <v>0.45</v>
      </c>
      <c r="T26" s="26">
        <f t="shared" si="2"/>
        <v>0.5</v>
      </c>
      <c r="U26" s="4">
        <f t="shared" si="2"/>
        <v>0.75</v>
      </c>
      <c r="V26" s="4">
        <f t="shared" si="2"/>
        <v>0.8</v>
      </c>
      <c r="W26" s="4">
        <f t="shared" si="2"/>
        <v>0.94999999999999984</v>
      </c>
      <c r="X26" s="4">
        <f t="shared" si="2"/>
        <v>1</v>
      </c>
      <c r="Y26" s="6"/>
      <c r="Z26" s="109"/>
      <c r="AA26" s="110"/>
      <c r="AB26" s="110"/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</row>
    <row r="27" spans="1:46" x14ac:dyDescent="0.25">
      <c r="B27" s="6" t="s">
        <v>55</v>
      </c>
      <c r="C27" s="105">
        <v>212</v>
      </c>
      <c r="E27" s="6"/>
      <c r="F27" s="6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6"/>
    </row>
    <row r="28" spans="1:46" ht="15.75" thickBot="1" x14ac:dyDescent="0.3">
      <c r="B28" s="6" t="s">
        <v>66</v>
      </c>
      <c r="C28" s="128">
        <v>150</v>
      </c>
      <c r="E28" s="6"/>
      <c r="F28" s="6" t="s">
        <v>47</v>
      </c>
      <c r="G28" s="78"/>
      <c r="H28" s="78">
        <v>33</v>
      </c>
      <c r="I28" s="78">
        <v>25</v>
      </c>
      <c r="J28" s="78">
        <v>22</v>
      </c>
      <c r="K28" s="78">
        <v>18</v>
      </c>
      <c r="L28" s="78">
        <v>10</v>
      </c>
      <c r="M28" s="78">
        <v>8</v>
      </c>
      <c r="N28" s="78">
        <v>7</v>
      </c>
      <c r="O28" s="78">
        <v>7</v>
      </c>
      <c r="P28" s="78">
        <v>6</v>
      </c>
      <c r="Q28" s="78">
        <v>5</v>
      </c>
      <c r="R28" s="78">
        <v>4</v>
      </c>
      <c r="S28" s="78">
        <v>3</v>
      </c>
      <c r="T28" s="78">
        <v>1</v>
      </c>
      <c r="U28" s="78">
        <v>1</v>
      </c>
      <c r="V28" s="78">
        <v>0</v>
      </c>
      <c r="W28" s="78">
        <v>0</v>
      </c>
      <c r="X28" s="78">
        <v>0</v>
      </c>
      <c r="Y28" s="6"/>
    </row>
    <row r="29" spans="1:46" x14ac:dyDescent="0.25">
      <c r="B29" s="20" t="s">
        <v>65</v>
      </c>
      <c r="C29" s="124">
        <v>3.0000000000000001E-3</v>
      </c>
      <c r="E29" s="6"/>
      <c r="F29" s="6" t="s">
        <v>48</v>
      </c>
      <c r="G29" s="80">
        <f t="shared" ref="G29:X29" si="3">G24</f>
        <v>5.5827414385511975E-2</v>
      </c>
      <c r="H29" s="80">
        <f t="shared" si="3"/>
        <v>5.5831486208976377E-2</v>
      </c>
      <c r="I29" s="80">
        <f t="shared" si="3"/>
        <v>5.5839629902366461E-2</v>
      </c>
      <c r="J29" s="80">
        <f t="shared" si="3"/>
        <v>5.5982154565662912E-2</v>
      </c>
      <c r="K29" s="80">
        <f t="shared" si="3"/>
        <v>5.6145472034281108E-2</v>
      </c>
      <c r="L29" s="80">
        <f t="shared" si="3"/>
        <v>5.6508864650334889E-2</v>
      </c>
      <c r="M29" s="80">
        <f t="shared" si="3"/>
        <v>5.6853828149703078E-2</v>
      </c>
      <c r="N29" s="80">
        <f t="shared" si="3"/>
        <v>5.7198902740581703E-2</v>
      </c>
      <c r="O29" s="80">
        <f t="shared" si="3"/>
        <v>5.7544088458217679E-2</v>
      </c>
      <c r="P29" s="80">
        <f t="shared" si="3"/>
        <v>5.9271685183718059E-2</v>
      </c>
      <c r="Q29" s="80">
        <f t="shared" si="3"/>
        <v>6.1002065376873693E-2</v>
      </c>
      <c r="R29" s="80">
        <f t="shared" si="3"/>
        <v>6.2735233459975781E-2</v>
      </c>
      <c r="S29" s="80">
        <f t="shared" si="3"/>
        <v>6.3602864344126431E-2</v>
      </c>
      <c r="T29" s="80">
        <f t="shared" si="3"/>
        <v>6.4471193862242426E-2</v>
      </c>
      <c r="U29" s="80">
        <f t="shared" si="3"/>
        <v>6.8823340393500354E-2</v>
      </c>
      <c r="V29" s="80">
        <f t="shared" si="3"/>
        <v>6.9695873380163142E-2</v>
      </c>
      <c r="W29" s="80">
        <f t="shared" si="3"/>
        <v>7.2317689729230361E-2</v>
      </c>
      <c r="X29" s="77">
        <f t="shared" si="3"/>
        <v>7.3193036169333148E-2</v>
      </c>
      <c r="Y29" s="6"/>
    </row>
    <row r="30" spans="1:46" x14ac:dyDescent="0.25">
      <c r="B30" t="s">
        <v>67</v>
      </c>
      <c r="C30" s="48">
        <v>0.2</v>
      </c>
      <c r="E30" s="6"/>
      <c r="F30" s="6" t="s">
        <v>46</v>
      </c>
      <c r="G30" s="79">
        <v>0</v>
      </c>
      <c r="H30" s="81">
        <f t="shared" ref="H30:X30" si="4">H7</f>
        <v>150000</v>
      </c>
      <c r="I30" s="81">
        <f t="shared" si="4"/>
        <v>250000.00000000003</v>
      </c>
      <c r="J30" s="81">
        <f t="shared" si="4"/>
        <v>1999999.9999999998</v>
      </c>
      <c r="K30" s="81">
        <f t="shared" si="4"/>
        <v>4005019.6579279979</v>
      </c>
      <c r="L30" s="81">
        <f t="shared" si="4"/>
        <v>8465229.502374012</v>
      </c>
      <c r="M30" s="81">
        <f t="shared" si="4"/>
        <v>12697844.253561016</v>
      </c>
      <c r="N30" s="81">
        <f t="shared" si="4"/>
        <v>16930459.004748024</v>
      </c>
      <c r="O30" s="81">
        <f t="shared" si="4"/>
        <v>21163073.755935028</v>
      </c>
      <c r="P30" s="81">
        <f t="shared" si="4"/>
        <v>42326147.511870056</v>
      </c>
      <c r="Q30" s="81">
        <f t="shared" si="4"/>
        <v>63489221.267805085</v>
      </c>
      <c r="R30" s="81">
        <f t="shared" si="4"/>
        <v>84652295.023740113</v>
      </c>
      <c r="S30" s="81">
        <f t="shared" si="4"/>
        <v>95233831.901707634</v>
      </c>
      <c r="T30" s="81">
        <f t="shared" si="4"/>
        <v>105815368.77967514</v>
      </c>
      <c r="U30" s="81">
        <f t="shared" si="4"/>
        <v>158723053.16951272</v>
      </c>
      <c r="V30" s="81">
        <f t="shared" si="4"/>
        <v>169304590.04748023</v>
      </c>
      <c r="W30" s="81">
        <f t="shared" si="4"/>
        <v>201049200.68138275</v>
      </c>
      <c r="X30" s="81">
        <f t="shared" si="4"/>
        <v>211630737.55935028</v>
      </c>
      <c r="Y30" s="6"/>
    </row>
    <row r="31" spans="1:46" x14ac:dyDescent="0.25">
      <c r="B31" s="21" t="s">
        <v>24</v>
      </c>
      <c r="C31" s="49">
        <v>5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46" ht="15.75" thickBot="1" x14ac:dyDescent="0.3">
      <c r="B32" s="21" t="s">
        <v>43</v>
      </c>
      <c r="C32" s="50">
        <f>CHOOSE(C27,,,,,,,,,,,,,,,,,,,,,,,,,,,,,,,,,,,,,,,,,,,,,,,,,,,,,,,,,,,,,,,,,,,,,,,,,,,,,,,,,,,,,,,,,,,,,,,,,,,,,,,,,,,,,,,,,,,,,,,,,,,,,,,,,,,,,,,,,,,,,,,,,,,,,,,,,,,,,,,,,,,,,,,,,,,,,,,,,,,,,,,,,,,,,,,,,,,,,,,,,,,,,,,,,,,,C51,C52,C53,C54,C55)</f>
        <v>31744610633.902542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82"/>
    </row>
    <row r="33" spans="2:26" ht="15.75" thickBot="1" x14ac:dyDescent="0.3">
      <c r="B33" s="21" t="s">
        <v>32</v>
      </c>
      <c r="C33" s="51">
        <f>staked_ada/total_supply</f>
        <v>0.42117385386107509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2:26" x14ac:dyDescent="0.25">
      <c r="B34" s="21" t="s">
        <v>49</v>
      </c>
      <c r="C34" s="30">
        <f>'SKY2'!H7</f>
        <v>13370000000</v>
      </c>
      <c r="E34" s="17" t="s">
        <v>55</v>
      </c>
      <c r="F34" s="31">
        <f>$C$27</f>
        <v>212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2:26" x14ac:dyDescent="0.25">
      <c r="B35" s="6" t="s">
        <v>101</v>
      </c>
      <c r="C35" s="29">
        <f>CHOOSE(C27,,,,,,,,,,,,,,,,,,,,,,,,,,,,,,,,,,,,,,,,,,,,,,,,,,,,,,,,,,,,,,,,,,,,,,,,,,,,,,,,,,,,,,,,,,,,,,,,,,,,,,,,,,,,,,,,,,,,,,,,,,,,,,,,,,,,,,,,,,,,,,,,,,,,,,,,,,,,,,,,,,,,,,,,,,,,,,,,,,,,,,,,,,,,,,,,,,,,,,,,,,,,,,,,,,,,C58,C59,C60,C61,C62)</f>
        <v>39667481.997468472</v>
      </c>
      <c r="E35" s="17" t="s">
        <v>72</v>
      </c>
      <c r="F35" s="71">
        <f>$C$39</f>
        <v>0.12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2:26" x14ac:dyDescent="0.25">
      <c r="B36" s="6" t="s">
        <v>25</v>
      </c>
      <c r="C36" s="29">
        <f>C12 * C32</f>
        <v>211630737.55935028</v>
      </c>
      <c r="E36" s="17" t="s">
        <v>71</v>
      </c>
      <c r="F36" s="72">
        <f>$C$41</f>
        <v>0.03</v>
      </c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6"/>
    </row>
    <row r="37" spans="2:26" ht="15.75" thickBot="1" x14ac:dyDescent="0.3">
      <c r="B37" s="6"/>
      <c r="C37" s="6"/>
      <c r="E37" s="17" t="s">
        <v>46</v>
      </c>
      <c r="F37" s="102">
        <f>$C$42</f>
        <v>150000</v>
      </c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6"/>
    </row>
    <row r="38" spans="2:26" x14ac:dyDescent="0.25">
      <c r="B38" t="s">
        <v>53</v>
      </c>
      <c r="C38" s="68">
        <v>340</v>
      </c>
      <c r="E38" s="94" t="s">
        <v>87</v>
      </c>
      <c r="F38" s="103">
        <f>$C$28</f>
        <v>150</v>
      </c>
      <c r="G38" s="294" t="s">
        <v>76</v>
      </c>
      <c r="H38" s="295"/>
      <c r="I38" s="295"/>
      <c r="J38" s="295"/>
      <c r="K38" s="295"/>
      <c r="L38" s="295"/>
      <c r="M38" s="295"/>
      <c r="N38" s="295"/>
      <c r="O38" s="295"/>
      <c r="P38" s="295"/>
      <c r="Q38" s="295"/>
      <c r="R38" s="295"/>
      <c r="S38" s="295"/>
      <c r="T38" s="295"/>
      <c r="U38" s="295"/>
      <c r="V38" s="295"/>
      <c r="W38" s="295"/>
      <c r="X38" s="295"/>
      <c r="Y38" s="6"/>
    </row>
    <row r="39" spans="2:26" x14ac:dyDescent="0.25">
      <c r="B39" s="20" t="s">
        <v>33</v>
      </c>
      <c r="C39" s="127">
        <v>0.12</v>
      </c>
      <c r="E39" s="296" t="s">
        <v>64</v>
      </c>
      <c r="F39" s="299" t="s">
        <v>120</v>
      </c>
      <c r="G39" s="299"/>
      <c r="H39" s="299"/>
      <c r="I39" s="299"/>
      <c r="J39" s="299"/>
      <c r="K39" s="299"/>
      <c r="L39" s="299"/>
      <c r="M39" s="299"/>
      <c r="N39" s="299"/>
      <c r="O39" s="299"/>
      <c r="P39" s="299"/>
      <c r="Q39" s="299"/>
      <c r="R39" s="299"/>
      <c r="S39" s="299"/>
      <c r="T39" s="299"/>
      <c r="U39" s="299"/>
      <c r="V39" s="299"/>
      <c r="W39" s="299"/>
      <c r="X39" s="300"/>
      <c r="Y39" s="6"/>
    </row>
    <row r="40" spans="2:26" x14ac:dyDescent="0.25">
      <c r="B40" s="22" t="s">
        <v>61</v>
      </c>
      <c r="C40" s="69">
        <v>1</v>
      </c>
      <c r="E40" s="297"/>
      <c r="F40" s="9">
        <f>C46</f>
        <v>5.7730321376641802E-2</v>
      </c>
      <c r="G40" s="10">
        <v>150</v>
      </c>
      <c r="H40" s="10">
        <v>175</v>
      </c>
      <c r="I40" s="10">
        <v>200</v>
      </c>
      <c r="J40" s="10">
        <v>225</v>
      </c>
      <c r="K40" s="10">
        <v>250</v>
      </c>
      <c r="L40" s="10">
        <v>275</v>
      </c>
      <c r="M40" s="10">
        <v>300</v>
      </c>
      <c r="N40" s="10">
        <v>325</v>
      </c>
      <c r="O40" s="10">
        <v>350</v>
      </c>
      <c r="P40" s="10">
        <v>375</v>
      </c>
      <c r="Q40" s="10">
        <v>400</v>
      </c>
      <c r="R40" s="10">
        <v>450</v>
      </c>
      <c r="S40" s="10">
        <v>500</v>
      </c>
      <c r="T40" s="10">
        <v>600</v>
      </c>
      <c r="U40" s="10">
        <v>700</v>
      </c>
      <c r="V40" s="10">
        <v>800</v>
      </c>
      <c r="W40" s="10">
        <v>900</v>
      </c>
      <c r="X40" s="11">
        <v>1000</v>
      </c>
      <c r="Y40" s="6"/>
    </row>
    <row r="41" spans="2:26" x14ac:dyDescent="0.25">
      <c r="B41" s="20" t="s">
        <v>34</v>
      </c>
      <c r="C41" s="69">
        <v>0.03</v>
      </c>
      <c r="E41" s="297"/>
      <c r="F41" s="12">
        <v>500000</v>
      </c>
      <c r="G41" s="13">
        <f t="dataTable" ref="G41:X57" dt2D="1" dtr="1" r1="C28" r2="C42" ca="1"/>
        <v>5.7759758250589099E-2</v>
      </c>
      <c r="H41" s="13">
        <v>5.776676714919704E-2</v>
      </c>
      <c r="I41" s="41">
        <v>5.7773776093617002E-2</v>
      </c>
      <c r="J41" s="41">
        <v>5.7780785083835884E-2</v>
      </c>
      <c r="K41" s="41">
        <v>5.7787794119862346E-2</v>
      </c>
      <c r="L41" s="41">
        <v>5.7794803201693501E-2</v>
      </c>
      <c r="M41" s="41">
        <v>5.7801812329332236E-2</v>
      </c>
      <c r="N41" s="41">
        <v>5.7808821502779217E-2</v>
      </c>
      <c r="O41" s="41">
        <v>5.7815830722016903E-2</v>
      </c>
      <c r="P41" s="41">
        <v>5.7822839987079044E-2</v>
      </c>
      <c r="Q41" s="41">
        <v>5.7829849297952096E-2</v>
      </c>
      <c r="R41" s="41">
        <v>5.784386805712094E-2</v>
      </c>
      <c r="S41" s="41">
        <v>5.7857886999535868E-2</v>
      </c>
      <c r="T41" s="41">
        <v>5.7885925434069785E-2</v>
      </c>
      <c r="U41" s="41">
        <v>5.7913964601580492E-2</v>
      </c>
      <c r="V41" s="41">
        <v>5.79420045020691E-2</v>
      </c>
      <c r="W41" s="41">
        <v>5.797004513558468E-2</v>
      </c>
      <c r="X41" s="42">
        <v>5.7998086502137669E-2</v>
      </c>
      <c r="Y41" s="6"/>
    </row>
    <row r="42" spans="2:26" x14ac:dyDescent="0.25">
      <c r="B42" s="6" t="s">
        <v>30</v>
      </c>
      <c r="C42" s="70">
        <v>150000</v>
      </c>
      <c r="E42" s="297"/>
      <c r="F42" s="12">
        <v>1000000</v>
      </c>
      <c r="G42" s="13">
        <v>5.7801812329332236E-2</v>
      </c>
      <c r="H42" s="13">
        <v>5.7815830722016903E-2</v>
      </c>
      <c r="I42" s="41">
        <v>5.7829849297952096E-2</v>
      </c>
      <c r="J42" s="41">
        <v>5.784386805712094E-2</v>
      </c>
      <c r="K42" s="41">
        <v>5.7857886999535868E-2</v>
      </c>
      <c r="L42" s="41">
        <v>5.7871906125183115E-2</v>
      </c>
      <c r="M42" s="41">
        <v>5.7885925434069785E-2</v>
      </c>
      <c r="N42" s="41">
        <v>5.7899944926198321E-2</v>
      </c>
      <c r="O42" s="41">
        <v>5.7913964601580492E-2</v>
      </c>
      <c r="P42" s="41">
        <v>5.792798446019165E-2</v>
      </c>
      <c r="Q42" s="41">
        <v>5.79420045020691E-2</v>
      </c>
      <c r="R42" s="41">
        <v>5.797004513558468E-2</v>
      </c>
      <c r="S42" s="41">
        <v>5.7998086502137669E-2</v>
      </c>
      <c r="T42" s="41">
        <v>5.8054171434400725E-2</v>
      </c>
      <c r="U42" s="41">
        <v>5.8110259299029021E-2</v>
      </c>
      <c r="V42" s="41">
        <v>5.8166350096149566E-2</v>
      </c>
      <c r="W42" s="41">
        <v>5.8222443825956427E-2</v>
      </c>
      <c r="X42" s="42">
        <v>5.8278540488550634E-2</v>
      </c>
      <c r="Y42" s="6"/>
    </row>
    <row r="43" spans="2:26" ht="15.75" thickBot="1" x14ac:dyDescent="0.3">
      <c r="B43" s="6" t="s">
        <v>29</v>
      </c>
      <c r="C43" s="131">
        <f>saturation_point</f>
        <v>211630737.55935028</v>
      </c>
      <c r="E43" s="297"/>
      <c r="F43" s="12">
        <v>1500000</v>
      </c>
      <c r="G43" s="13">
        <v>5.784386805712094E-2</v>
      </c>
      <c r="H43" s="13">
        <v>5.7864896539453481E-2</v>
      </c>
      <c r="I43" s="41">
        <v>5.7885925434069785E-2</v>
      </c>
      <c r="J43" s="41">
        <v>5.7906954740984729E-2</v>
      </c>
      <c r="K43" s="41">
        <v>5.792798446019165E-2</v>
      </c>
      <c r="L43" s="41">
        <v>5.7949014591720305E-2</v>
      </c>
      <c r="M43" s="41">
        <v>5.797004513558468E-2</v>
      </c>
      <c r="N43" s="41">
        <v>5.7991076091776783E-2</v>
      </c>
      <c r="O43" s="41">
        <v>5.801210746030927E-2</v>
      </c>
      <c r="P43" s="41">
        <v>5.8033139241163711E-2</v>
      </c>
      <c r="Q43" s="41">
        <v>5.8054171434400725E-2</v>
      </c>
      <c r="R43" s="41">
        <v>5.8096237057951639E-2</v>
      </c>
      <c r="S43" s="41">
        <v>5.8138304331026847E-2</v>
      </c>
      <c r="T43" s="41">
        <v>5.8222443825956427E-2</v>
      </c>
      <c r="U43" s="41">
        <v>5.8306589919701279E-2</v>
      </c>
      <c r="V43" s="41">
        <v>5.839074261278876E-2</v>
      </c>
      <c r="W43" s="41">
        <v>5.8474901905714027E-2</v>
      </c>
      <c r="X43" s="42">
        <v>5.8559067799016429E-2</v>
      </c>
      <c r="Y43" s="6"/>
      <c r="Z43" s="31"/>
    </row>
    <row r="44" spans="2:26" ht="15" customHeight="1" x14ac:dyDescent="0.25">
      <c r="B44" s="6" t="s">
        <v>70</v>
      </c>
      <c r="C44" s="2">
        <f>C23 * C35 * (1-C30) *C40</f>
        <v>162772.99148064296</v>
      </c>
      <c r="E44" s="297"/>
      <c r="F44" s="12">
        <v>3000000</v>
      </c>
      <c r="G44" s="13">
        <v>5.797004513558468E-2</v>
      </c>
      <c r="H44" s="13">
        <v>5.801210746030927E-2</v>
      </c>
      <c r="I44" s="41">
        <v>5.8054171434400725E-2</v>
      </c>
      <c r="J44" s="41">
        <v>5.8096237057951639E-2</v>
      </c>
      <c r="K44" s="41">
        <v>5.8138304331026847E-2</v>
      </c>
      <c r="L44" s="41">
        <v>5.8180373253660989E-2</v>
      </c>
      <c r="M44" s="41">
        <v>5.8222443825956427E-2</v>
      </c>
      <c r="N44" s="41">
        <v>5.8264516047933146E-2</v>
      </c>
      <c r="O44" s="41">
        <v>5.8306589919701279E-2</v>
      </c>
      <c r="P44" s="41">
        <v>5.8348665441301462E-2</v>
      </c>
      <c r="Q44" s="41">
        <v>5.839074261278876E-2</v>
      </c>
      <c r="R44" s="41">
        <v>5.8474901905714027E-2</v>
      </c>
      <c r="S44" s="41">
        <v>5.8559067799016429E-2</v>
      </c>
      <c r="T44" s="41">
        <v>5.8727419388693969E-2</v>
      </c>
      <c r="U44" s="41">
        <v>5.8895797385932536E-2</v>
      </c>
      <c r="V44" s="41">
        <v>5.9064201794783999E-2</v>
      </c>
      <c r="W44" s="41">
        <v>5.9232632619361958E-2</v>
      </c>
      <c r="X44" s="42">
        <v>5.9401089863727163E-2</v>
      </c>
      <c r="Y44" s="6"/>
      <c r="Z44" s="31"/>
    </row>
    <row r="45" spans="2:26" ht="15.75" thickBot="1" x14ac:dyDescent="0.3">
      <c r="B45" s="22"/>
      <c r="C45" s="76"/>
      <c r="D45" s="18"/>
      <c r="E45" s="297"/>
      <c r="F45" s="12">
        <v>5000000</v>
      </c>
      <c r="G45" s="13">
        <v>5.8138304331026847E-2</v>
      </c>
      <c r="H45" s="13">
        <v>5.8208420118552873E-2</v>
      </c>
      <c r="I45" s="41">
        <v>5.8278540488550634E-2</v>
      </c>
      <c r="J45" s="41">
        <v>5.8348665441301462E-2</v>
      </c>
      <c r="K45" s="41">
        <v>5.841879497709046E-2</v>
      </c>
      <c r="L45" s="41">
        <v>5.8488929096229159E-2</v>
      </c>
      <c r="M45" s="41">
        <v>5.8559067799016429E-2</v>
      </c>
      <c r="N45" s="41">
        <v>5.8629211085723609E-2</v>
      </c>
      <c r="O45" s="41">
        <v>5.8699358956658898E-2</v>
      </c>
      <c r="P45" s="41">
        <v>5.8769511412140929E-2</v>
      </c>
      <c r="Q45" s="41">
        <v>5.8839668452421945E-2</v>
      </c>
      <c r="R45" s="41">
        <v>5.8979996288646586E-2</v>
      </c>
      <c r="S45" s="41">
        <v>5.9120342467701148E-2</v>
      </c>
      <c r="T45" s="41">
        <v>5.9401089863727163E-2</v>
      </c>
      <c r="U45" s="41">
        <v>5.968191065945061E-2</v>
      </c>
      <c r="V45" s="41">
        <v>5.9962804873805897E-2</v>
      </c>
      <c r="W45" s="41">
        <v>6.0243772525675476E-2</v>
      </c>
      <c r="X45" s="42">
        <v>6.0524813634043717E-2</v>
      </c>
      <c r="Y45" s="6"/>
      <c r="Z45" s="31"/>
    </row>
    <row r="46" spans="2:26" x14ac:dyDescent="0.25">
      <c r="B46" s="37" t="s">
        <v>51</v>
      </c>
      <c r="C46" s="66">
        <f>(C44 /(C43*(C43&gt;=C42)) +1) ^ 73 -1</f>
        <v>5.7730321376641802E-2</v>
      </c>
      <c r="D46" s="18"/>
      <c r="E46" s="297"/>
      <c r="F46" s="12">
        <v>10000000</v>
      </c>
      <c r="G46" s="13">
        <v>5.8559067799016429E-2</v>
      </c>
      <c r="H46" s="13">
        <v>5.8699358956658898E-2</v>
      </c>
      <c r="I46" s="41">
        <v>5.8839668452421945E-2</v>
      </c>
      <c r="J46" s="41">
        <v>5.8979996288646586E-2</v>
      </c>
      <c r="K46" s="41">
        <v>5.9120342467701148E-2</v>
      </c>
      <c r="L46" s="41">
        <v>5.9260706991929979E-2</v>
      </c>
      <c r="M46" s="41">
        <v>5.9401089863727163E-2</v>
      </c>
      <c r="N46" s="41">
        <v>5.9541491085451925E-2</v>
      </c>
      <c r="O46" s="41">
        <v>5.968191065945061E-2</v>
      </c>
      <c r="P46" s="41">
        <v>5.9822348588116858E-2</v>
      </c>
      <c r="Q46" s="41">
        <v>5.9962804873805897E-2</v>
      </c>
      <c r="R46" s="41">
        <v>6.0243772525675476E-2</v>
      </c>
      <c r="S46" s="41">
        <v>6.0524813634043717E-2</v>
      </c>
      <c r="T46" s="41">
        <v>6.1087116295936328E-2</v>
      </c>
      <c r="U46" s="41">
        <v>6.1649713011026508E-2</v>
      </c>
      <c r="V46" s="41">
        <v>6.2212603930980492E-2</v>
      </c>
      <c r="W46" s="41">
        <v>6.2775789207494492E-2</v>
      </c>
      <c r="X46" s="42">
        <v>6.3339268992355757E-2</v>
      </c>
      <c r="Y46" s="6"/>
      <c r="Z46" s="31"/>
    </row>
    <row r="47" spans="2:26" x14ac:dyDescent="0.25">
      <c r="B47" s="38" t="s">
        <v>52</v>
      </c>
      <c r="C47" s="67">
        <f>((($C$44-$C$38) * (1-$C$41))/$C$43 +1) ^73 -1</f>
        <v>5.5831486208976377E-2</v>
      </c>
      <c r="D47" s="18"/>
      <c r="E47" s="297"/>
      <c r="F47" s="12">
        <v>15000000</v>
      </c>
      <c r="G47" s="13">
        <v>5.8979996288646586E-2</v>
      </c>
      <c r="H47" s="13">
        <v>5.9190522436512127E-2</v>
      </c>
      <c r="I47" s="41">
        <v>5.9401089863727163E-2</v>
      </c>
      <c r="J47" s="41">
        <v>5.9611698578269756E-2</v>
      </c>
      <c r="K47" s="41">
        <v>5.9822348588116858E-2</v>
      </c>
      <c r="L47" s="41">
        <v>6.0033039901256524E-2</v>
      </c>
      <c r="M47" s="41">
        <v>6.0243772525675476E-2</v>
      </c>
      <c r="N47" s="41">
        <v>6.0454546469366877E-2</v>
      </c>
      <c r="O47" s="41">
        <v>6.0665361740306123E-2</v>
      </c>
      <c r="P47" s="41">
        <v>6.0876218346494149E-2</v>
      </c>
      <c r="Q47" s="41">
        <v>6.1087116295936328E-2</v>
      </c>
      <c r="R47" s="41">
        <v>6.150903625648052E-2</v>
      </c>
      <c r="S47" s="41">
        <v>6.1931121685928625E-2</v>
      </c>
      <c r="T47" s="41">
        <v>6.2775789207494492E-2</v>
      </c>
      <c r="U47" s="41">
        <v>6.3621119372879509E-2</v>
      </c>
      <c r="V47" s="41">
        <v>6.4467112694710726E-2</v>
      </c>
      <c r="W47" s="41">
        <v>6.5313769685960699E-2</v>
      </c>
      <c r="X47" s="42">
        <v>6.6161090860059613E-2</v>
      </c>
      <c r="Y47" s="6"/>
      <c r="Z47" s="31"/>
    </row>
    <row r="48" spans="2:26" ht="15.75" thickBot="1" x14ac:dyDescent="0.3">
      <c r="B48" s="39" t="s">
        <v>94</v>
      </c>
      <c r="C48" s="40">
        <f>C46-C47</f>
        <v>1.8988351676654247E-3</v>
      </c>
      <c r="D48" s="18"/>
      <c r="E48" s="297"/>
      <c r="F48" s="12">
        <v>20000000</v>
      </c>
      <c r="G48" s="13">
        <v>5.9401089863727163E-2</v>
      </c>
      <c r="H48" s="13">
        <v>5.968191065945061E-2</v>
      </c>
      <c r="I48" s="13">
        <v>5.9962804873805897E-2</v>
      </c>
      <c r="J48" s="13">
        <v>6.0243772525675476E-2</v>
      </c>
      <c r="K48" s="13">
        <v>6.0524813634043717E-2</v>
      </c>
      <c r="L48" s="13">
        <v>6.080592821780928E-2</v>
      </c>
      <c r="M48" s="13">
        <v>6.1087116295936328E-2</v>
      </c>
      <c r="N48" s="13">
        <v>6.1368377887360381E-2</v>
      </c>
      <c r="O48" s="13">
        <v>6.1649713011026508E-2</v>
      </c>
      <c r="P48" s="13">
        <v>6.1931121685928625E-2</v>
      </c>
      <c r="Q48" s="13">
        <v>6.2212603930980492E-2</v>
      </c>
      <c r="R48" s="13">
        <v>6.2775789207494492E-2</v>
      </c>
      <c r="S48" s="13">
        <v>6.3339268992355757E-2</v>
      </c>
      <c r="T48" s="13">
        <v>6.4467112694710726E-2</v>
      </c>
      <c r="U48" s="13">
        <v>6.5596136253877058E-2</v>
      </c>
      <c r="V48" s="13">
        <v>6.6726340886972046E-2</v>
      </c>
      <c r="W48" s="13">
        <v>6.7857727812381752E-2</v>
      </c>
      <c r="X48" s="16">
        <v>6.8990298249663073E-2</v>
      </c>
      <c r="Y48" s="6"/>
      <c r="Z48" s="31"/>
    </row>
    <row r="49" spans="1:26" x14ac:dyDescent="0.25">
      <c r="B49" s="6"/>
      <c r="C49" s="6"/>
      <c r="D49" s="18"/>
      <c r="E49" s="297"/>
      <c r="F49" s="12">
        <v>32000000</v>
      </c>
      <c r="G49" s="13">
        <v>6.0412388374716519E-2</v>
      </c>
      <c r="H49" s="13">
        <v>6.0862159953285699E-2</v>
      </c>
      <c r="I49" s="13">
        <v>6.1312119687107369E-2</v>
      </c>
      <c r="J49" s="13">
        <v>6.1762267653773906E-2</v>
      </c>
      <c r="K49" s="13">
        <v>6.2212603930980492E-2</v>
      </c>
      <c r="L49" s="13">
        <v>6.2663128596383899E-2</v>
      </c>
      <c r="M49" s="13">
        <v>6.3113841727698183E-2</v>
      </c>
      <c r="N49" s="13">
        <v>6.3564743402662272E-2</v>
      </c>
      <c r="O49" s="13">
        <v>6.4015833699060165E-2</v>
      </c>
      <c r="P49" s="13">
        <v>6.4467112694710726E-2</v>
      </c>
      <c r="Q49" s="13">
        <v>6.4918580467425713E-2</v>
      </c>
      <c r="R49" s="13">
        <v>6.5822082655599079E-2</v>
      </c>
      <c r="S49" s="13">
        <v>6.6726340886972046E-2</v>
      </c>
      <c r="T49" s="13">
        <v>6.8537127975220935E-2</v>
      </c>
      <c r="U49" s="13">
        <v>7.0350946729056618E-2</v>
      </c>
      <c r="V49" s="13">
        <v>7.2167802153599192E-2</v>
      </c>
      <c r="W49" s="13">
        <v>7.3987699262062945E-2</v>
      </c>
      <c r="X49" s="46" t="e">
        <v>#DIV/0!</v>
      </c>
      <c r="Y49" s="6"/>
      <c r="Z49" s="31"/>
    </row>
    <row r="50" spans="1:26" x14ac:dyDescent="0.25">
      <c r="B50" s="17" t="s">
        <v>68</v>
      </c>
      <c r="C50" s="203"/>
      <c r="E50" s="297"/>
      <c r="F50" s="12">
        <v>50000000</v>
      </c>
      <c r="G50" s="13">
        <v>6.1931121685928625E-2</v>
      </c>
      <c r="H50" s="13">
        <v>6.2634965284133814E-2</v>
      </c>
      <c r="I50" s="13">
        <v>6.3339268992355757E-2</v>
      </c>
      <c r="J50" s="13">
        <v>6.4044033107191201E-2</v>
      </c>
      <c r="K50" s="13">
        <v>6.474925792538877E-2</v>
      </c>
      <c r="L50" s="13">
        <v>6.5454943743972871E-2</v>
      </c>
      <c r="M50" s="13">
        <v>6.6161090860059613E-2</v>
      </c>
      <c r="N50" s="13">
        <v>6.6867699571050654E-2</v>
      </c>
      <c r="O50" s="13">
        <v>6.7574770174461563E-2</v>
      </c>
      <c r="P50" s="13">
        <v>6.8282302968017738E-2</v>
      </c>
      <c r="Q50" s="13">
        <v>6.8990298249663073E-2</v>
      </c>
      <c r="R50" s="13">
        <v>7.0407677469783048E-2</v>
      </c>
      <c r="S50" s="13">
        <v>7.182691022199772E-2</v>
      </c>
      <c r="T50" s="13">
        <v>7.4670945886463835E-2</v>
      </c>
      <c r="U50" s="43" t="e">
        <v>#DIV/0!</v>
      </c>
      <c r="V50" s="43" t="e">
        <v>#DIV/0!</v>
      </c>
      <c r="W50" s="43" t="e">
        <v>#DIV/0!</v>
      </c>
      <c r="X50" s="46" t="e">
        <v>#DIV/0!</v>
      </c>
      <c r="Y50" s="6"/>
      <c r="Z50" s="31"/>
    </row>
    <row r="51" spans="1:26" x14ac:dyDescent="0.25">
      <c r="B51" s="47" t="s">
        <v>122</v>
      </c>
      <c r="C51" s="204">
        <f>SKY!E5</f>
        <v>31744610633.902542</v>
      </c>
      <c r="E51" s="297"/>
      <c r="F51" s="12">
        <v>76000000</v>
      </c>
      <c r="G51" s="13">
        <v>6.4128635754374219E-2</v>
      </c>
      <c r="H51" s="13">
        <v>6.5200843723324242E-2</v>
      </c>
      <c r="I51" s="13">
        <v>6.6274117226909457E-2</v>
      </c>
      <c r="J51" s="13">
        <v>6.7348457309340581E-2</v>
      </c>
      <c r="K51" s="13">
        <v>6.8423865015765362E-2</v>
      </c>
      <c r="L51" s="13">
        <v>6.9500341392398246E-2</v>
      </c>
      <c r="M51" s="13">
        <v>7.0577887486461099E-2</v>
      </c>
      <c r="N51" s="13">
        <v>7.165650434618942E-2</v>
      </c>
      <c r="O51" s="13">
        <v>7.2736193020773054E-2</v>
      </c>
      <c r="P51" s="13">
        <v>7.3816954560494308E-2</v>
      </c>
      <c r="Q51" s="13">
        <v>7.4898790016613814E-2</v>
      </c>
      <c r="R51" s="43" t="e">
        <v>#DIV/0!</v>
      </c>
      <c r="S51" s="43" t="e">
        <v>#DIV/0!</v>
      </c>
      <c r="T51" s="43" t="e">
        <v>#DIV/0!</v>
      </c>
      <c r="U51" s="43" t="e">
        <v>#DIV/0!</v>
      </c>
      <c r="V51" s="43" t="e">
        <v>#DIV/0!</v>
      </c>
      <c r="W51" s="43" t="e">
        <v>#DIV/0!</v>
      </c>
      <c r="X51" s="46" t="e">
        <v>#DIV/0!</v>
      </c>
      <c r="Y51" s="6"/>
      <c r="Z51" s="31"/>
    </row>
    <row r="52" spans="1:26" x14ac:dyDescent="0.25">
      <c r="B52" s="47" t="s">
        <v>123</v>
      </c>
      <c r="C52" s="204">
        <f>SKY!E6</f>
        <v>31784278115.900009</v>
      </c>
      <c r="E52" s="297"/>
      <c r="F52" s="12">
        <v>83000000</v>
      </c>
      <c r="G52" s="13">
        <v>6.472104008342483E-2</v>
      </c>
      <c r="H52" s="13">
        <v>6.5892700596190457E-2</v>
      </c>
      <c r="I52" s="13">
        <v>6.7065632768445349E-2</v>
      </c>
      <c r="J52" s="13">
        <v>6.823983796121369E-2</v>
      </c>
      <c r="K52" s="13">
        <v>6.941531753692165E-2</v>
      </c>
      <c r="L52" s="13">
        <v>7.0592072859447796E-2</v>
      </c>
      <c r="M52" s="13">
        <v>7.1770105294130859E-2</v>
      </c>
      <c r="N52" s="43">
        <v>7.2949416207690243E-2</v>
      </c>
      <c r="O52" s="43">
        <v>7.4130006968340822E-2</v>
      </c>
      <c r="P52" s="43">
        <v>7.5311878945753197E-2</v>
      </c>
      <c r="Q52" s="43" t="e">
        <v>#DIV/0!</v>
      </c>
      <c r="R52" s="43" t="e">
        <v>#DIV/0!</v>
      </c>
      <c r="S52" s="43" t="e">
        <v>#DIV/0!</v>
      </c>
      <c r="T52" s="43" t="e">
        <v>#DIV/0!</v>
      </c>
      <c r="U52" s="43" t="e">
        <v>#DIV/0!</v>
      </c>
      <c r="V52" s="43" t="e">
        <v>#DIV/0!</v>
      </c>
      <c r="W52" s="43" t="e">
        <v>#DIV/0!</v>
      </c>
      <c r="X52" s="46" t="e">
        <v>#DIV/0!</v>
      </c>
      <c r="Y52" s="6"/>
      <c r="Z52" s="31"/>
    </row>
    <row r="53" spans="1:26" x14ac:dyDescent="0.25">
      <c r="B53" s="47" t="s">
        <v>124</v>
      </c>
      <c r="C53" s="204">
        <f>SKY!E7</f>
        <v>31823826595.451485</v>
      </c>
      <c r="E53" s="297"/>
      <c r="F53" s="12">
        <v>150000000</v>
      </c>
      <c r="G53" s="13">
        <v>7.0407677469783048E-2</v>
      </c>
      <c r="H53" s="13">
        <v>7.2537222419461367E-2</v>
      </c>
      <c r="I53" s="13">
        <v>7.4670945886463835E-2</v>
      </c>
      <c r="J53" s="43" t="e">
        <v>#DIV/0!</v>
      </c>
      <c r="K53" s="43" t="e">
        <v>#DIV/0!</v>
      </c>
      <c r="L53" s="43" t="e">
        <v>#DIV/0!</v>
      </c>
      <c r="M53" s="43" t="e">
        <v>#DIV/0!</v>
      </c>
      <c r="N53" s="43" t="e">
        <v>#DIV/0!</v>
      </c>
      <c r="O53" s="43" t="e">
        <v>#DIV/0!</v>
      </c>
      <c r="P53" s="43" t="e">
        <v>#DIV/0!</v>
      </c>
      <c r="Q53" s="43" t="e">
        <v>#DIV/0!</v>
      </c>
      <c r="R53" s="43" t="e">
        <v>#DIV/0!</v>
      </c>
      <c r="S53" s="43" t="e">
        <v>#DIV/0!</v>
      </c>
      <c r="T53" s="43" t="e">
        <v>#DIV/0!</v>
      </c>
      <c r="U53" s="43" t="e">
        <v>#DIV/0!</v>
      </c>
      <c r="V53" s="43" t="e">
        <v>#DIV/0!</v>
      </c>
      <c r="W53" s="43" t="e">
        <v>#DIV/0!</v>
      </c>
      <c r="X53" s="46" t="e">
        <v>#DIV/0!</v>
      </c>
      <c r="Y53" s="6"/>
      <c r="Z53" s="31"/>
    </row>
    <row r="54" spans="1:26" x14ac:dyDescent="0.25">
      <c r="B54" s="47" t="s">
        <v>125</v>
      </c>
      <c r="C54" s="204">
        <f>SKY!E8</f>
        <v>31863256429.564308</v>
      </c>
      <c r="E54" s="297"/>
      <c r="F54" s="12">
        <v>175000000</v>
      </c>
      <c r="G54" s="13">
        <v>7.2537222419461367E-2</v>
      </c>
      <c r="H54" s="13">
        <v>7.502697327651231E-2</v>
      </c>
      <c r="I54" s="43" t="e">
        <v>#DIV/0!</v>
      </c>
      <c r="J54" s="43" t="e">
        <v>#DIV/0!</v>
      </c>
      <c r="K54" s="43" t="e">
        <v>#DIV/0!</v>
      </c>
      <c r="L54" s="43" t="e">
        <v>#DIV/0!</v>
      </c>
      <c r="M54" s="43" t="e">
        <v>#DIV/0!</v>
      </c>
      <c r="N54" s="43" t="e">
        <v>#DIV/0!</v>
      </c>
      <c r="O54" s="43" t="e">
        <v>#DIV/0!</v>
      </c>
      <c r="P54" s="43" t="e">
        <v>#DIV/0!</v>
      </c>
      <c r="Q54" s="43" t="e">
        <v>#DIV/0!</v>
      </c>
      <c r="R54" s="43" t="e">
        <v>#DIV/0!</v>
      </c>
      <c r="S54" s="43" t="e">
        <v>#DIV/0!</v>
      </c>
      <c r="T54" s="43" t="e">
        <v>#DIV/0!</v>
      </c>
      <c r="U54" s="43" t="e">
        <v>#DIV/0!</v>
      </c>
      <c r="V54" s="43" t="e">
        <v>#DIV/0!</v>
      </c>
      <c r="W54" s="43" t="e">
        <v>#DIV/0!</v>
      </c>
      <c r="X54" s="46" t="e">
        <v>#DIV/0!</v>
      </c>
      <c r="Y54" s="6"/>
      <c r="Z54" s="31"/>
    </row>
    <row r="55" spans="1:26" x14ac:dyDescent="0.25">
      <c r="B55" s="47" t="s">
        <v>126</v>
      </c>
      <c r="C55" s="204">
        <f>SKY!E9</f>
        <v>31902567974.174789</v>
      </c>
      <c r="E55" s="297"/>
      <c r="F55" s="12">
        <v>185000000</v>
      </c>
      <c r="G55" s="13">
        <v>7.3390209931776029E-2</v>
      </c>
      <c r="H55" s="43" t="e">
        <v>#DIV/0!</v>
      </c>
      <c r="I55" s="43" t="e">
        <v>#DIV/0!</v>
      </c>
      <c r="J55" s="43" t="e">
        <v>#DIV/0!</v>
      </c>
      <c r="K55" s="43" t="e">
        <v>#DIV/0!</v>
      </c>
      <c r="L55" s="43" t="e">
        <v>#DIV/0!</v>
      </c>
      <c r="M55" s="43" t="e">
        <v>#DIV/0!</v>
      </c>
      <c r="N55" s="43" t="e">
        <v>#DIV/0!</v>
      </c>
      <c r="O55" s="43" t="e">
        <v>#DIV/0!</v>
      </c>
      <c r="P55" s="43" t="e">
        <v>#DIV/0!</v>
      </c>
      <c r="Q55" s="43" t="e">
        <v>#DIV/0!</v>
      </c>
      <c r="R55" s="43" t="e">
        <v>#DIV/0!</v>
      </c>
      <c r="S55" s="43" t="e">
        <v>#DIV/0!</v>
      </c>
      <c r="T55" s="43" t="e">
        <v>#DIV/0!</v>
      </c>
      <c r="U55" s="43" t="e">
        <v>#DIV/0!</v>
      </c>
      <c r="V55" s="43" t="e">
        <v>#DIV/0!</v>
      </c>
      <c r="W55" s="43" t="e">
        <v>#DIV/0!</v>
      </c>
      <c r="X55" s="46" t="e">
        <v>#DIV/0!</v>
      </c>
      <c r="Y55" s="6"/>
      <c r="Z55" s="31"/>
    </row>
    <row r="56" spans="1:26" x14ac:dyDescent="0.25">
      <c r="A56" s="89"/>
      <c r="B56" s="6"/>
      <c r="C56" s="31"/>
      <c r="D56" s="74"/>
      <c r="E56" s="297"/>
      <c r="F56" s="12">
        <v>195000000</v>
      </c>
      <c r="G56" s="13">
        <v>7.4243866523829638E-2</v>
      </c>
      <c r="H56" s="43" t="e">
        <v>#DIV/0!</v>
      </c>
      <c r="I56" s="43" t="e">
        <v>#DIV/0!</v>
      </c>
      <c r="J56" s="43" t="e">
        <v>#DIV/0!</v>
      </c>
      <c r="K56" s="43" t="e">
        <v>#DIV/0!</v>
      </c>
      <c r="L56" s="43" t="e">
        <v>#DIV/0!</v>
      </c>
      <c r="M56" s="43" t="e">
        <v>#DIV/0!</v>
      </c>
      <c r="N56" s="43" t="e">
        <v>#DIV/0!</v>
      </c>
      <c r="O56" s="43" t="e">
        <v>#DIV/0!</v>
      </c>
      <c r="P56" s="43" t="e">
        <v>#DIV/0!</v>
      </c>
      <c r="Q56" s="43" t="e">
        <v>#DIV/0!</v>
      </c>
      <c r="R56" s="43" t="e">
        <v>#DIV/0!</v>
      </c>
      <c r="S56" s="43" t="e">
        <v>#DIV/0!</v>
      </c>
      <c r="T56" s="43" t="e">
        <v>#DIV/0!</v>
      </c>
      <c r="U56" s="43" t="e">
        <v>#DIV/0!</v>
      </c>
      <c r="V56" s="43" t="e">
        <v>#DIV/0!</v>
      </c>
      <c r="W56" s="43" t="e">
        <v>#DIV/0!</v>
      </c>
      <c r="X56" s="46" t="e">
        <v>#DIV/0!</v>
      </c>
      <c r="Y56" s="79">
        <f>SUM(G28:X28)</f>
        <v>150</v>
      </c>
      <c r="Z56" s="31"/>
    </row>
    <row r="57" spans="1:26" x14ac:dyDescent="0.25">
      <c r="A57" s="89"/>
      <c r="B57" s="17" t="s">
        <v>69</v>
      </c>
      <c r="C57" s="31"/>
      <c r="E57" s="298"/>
      <c r="F57" s="27">
        <v>209968861</v>
      </c>
      <c r="G57" s="14">
        <v>7.5522944698958927E-2</v>
      </c>
      <c r="H57" s="44" t="e">
        <v>#DIV/0!</v>
      </c>
      <c r="I57" s="44" t="e">
        <v>#DIV/0!</v>
      </c>
      <c r="J57" s="44" t="e">
        <v>#DIV/0!</v>
      </c>
      <c r="K57" s="44" t="e">
        <v>#DIV/0!</v>
      </c>
      <c r="L57" s="44" t="e">
        <v>#DIV/0!</v>
      </c>
      <c r="M57" s="44" t="e">
        <v>#DIV/0!</v>
      </c>
      <c r="N57" s="44" t="e">
        <v>#DIV/0!</v>
      </c>
      <c r="O57" s="44" t="e">
        <v>#DIV/0!</v>
      </c>
      <c r="P57" s="44" t="e">
        <v>#DIV/0!</v>
      </c>
      <c r="Q57" s="44" t="e">
        <v>#DIV/0!</v>
      </c>
      <c r="R57" s="44" t="e">
        <v>#DIV/0!</v>
      </c>
      <c r="S57" s="44" t="e">
        <v>#DIV/0!</v>
      </c>
      <c r="T57" s="44" t="e">
        <v>#DIV/0!</v>
      </c>
      <c r="U57" s="44" t="e">
        <v>#DIV/0!</v>
      </c>
      <c r="V57" s="44" t="e">
        <v>#DIV/0!</v>
      </c>
      <c r="W57" s="44" t="e">
        <v>#DIV/0!</v>
      </c>
      <c r="X57" s="45" t="e">
        <v>#DIV/0!</v>
      </c>
      <c r="Y57" s="6"/>
      <c r="Z57" s="31"/>
    </row>
    <row r="58" spans="1:26" x14ac:dyDescent="0.25">
      <c r="A58" s="47">
        <v>212</v>
      </c>
      <c r="B58" s="47" t="s">
        <v>122</v>
      </c>
      <c r="C58" s="74">
        <f>rho!F9</f>
        <v>39667481.997468472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31"/>
    </row>
    <row r="59" spans="1:26" x14ac:dyDescent="0.25">
      <c r="A59" s="47">
        <v>213</v>
      </c>
      <c r="B59" s="47" t="s">
        <v>123</v>
      </c>
      <c r="C59" s="74">
        <f>rho!F10</f>
        <v>39548479.551476061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31"/>
    </row>
    <row r="60" spans="1:26" x14ac:dyDescent="0.25">
      <c r="A60" s="47">
        <v>214</v>
      </c>
      <c r="B60" s="47" t="s">
        <v>124</v>
      </c>
      <c r="C60" s="74">
        <f>rho!F11</f>
        <v>39429834.112821639</v>
      </c>
      <c r="E60" s="17" t="s">
        <v>55</v>
      </c>
      <c r="F60" s="31">
        <f>$C$27</f>
        <v>212</v>
      </c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5"/>
      <c r="T60" s="65"/>
      <c r="U60" s="64"/>
      <c r="V60" s="64"/>
      <c r="W60" s="64"/>
      <c r="X60" s="64"/>
      <c r="Y60" s="6"/>
      <c r="Z60" s="31"/>
    </row>
    <row r="61" spans="1:26" x14ac:dyDescent="0.25">
      <c r="A61" s="47">
        <v>215</v>
      </c>
      <c r="B61" s="47" t="s">
        <v>125</v>
      </c>
      <c r="C61" s="74">
        <f>rho!F12</f>
        <v>39311544.61048317</v>
      </c>
      <c r="E61" s="17" t="s">
        <v>72</v>
      </c>
      <c r="F61" s="71">
        <f>$C$39</f>
        <v>0.12</v>
      </c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5"/>
      <c r="T61" s="65"/>
      <c r="U61" s="64"/>
      <c r="V61" s="64"/>
      <c r="W61" s="64"/>
      <c r="X61" s="64"/>
      <c r="Y61" s="6"/>
      <c r="Z61" s="31"/>
    </row>
    <row r="62" spans="1:26" x14ac:dyDescent="0.25">
      <c r="A62" s="47">
        <v>216</v>
      </c>
      <c r="B62" s="47" t="s">
        <v>126</v>
      </c>
      <c r="C62" s="74">
        <f>rho!F13</f>
        <v>39193609.976651721</v>
      </c>
      <c r="E62" s="17" t="s">
        <v>71</v>
      </c>
      <c r="F62" s="72">
        <f>$C$41</f>
        <v>0.03</v>
      </c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5"/>
      <c r="T62" s="65"/>
      <c r="U62" s="64"/>
      <c r="V62" s="64"/>
      <c r="W62" s="64"/>
      <c r="X62" s="64"/>
      <c r="Y62" s="6"/>
      <c r="Z62" s="31"/>
    </row>
    <row r="63" spans="1:26" ht="15.75" thickBot="1" x14ac:dyDescent="0.3">
      <c r="B63" s="6"/>
      <c r="C63" s="6"/>
      <c r="E63" s="17" t="s">
        <v>46</v>
      </c>
      <c r="F63" s="102">
        <f>$C$42</f>
        <v>150000</v>
      </c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5"/>
      <c r="T63" s="65"/>
      <c r="U63" s="64"/>
      <c r="V63" s="64"/>
      <c r="W63" s="64"/>
      <c r="X63" s="64"/>
      <c r="Y63" s="6"/>
      <c r="Z63" s="31"/>
    </row>
    <row r="64" spans="1:26" ht="15.75" thickBot="1" x14ac:dyDescent="0.3">
      <c r="B64" s="6" t="s">
        <v>100</v>
      </c>
      <c r="C64" s="75">
        <v>21600</v>
      </c>
      <c r="E64" s="94" t="s">
        <v>87</v>
      </c>
      <c r="F64" s="103">
        <f>$C$28</f>
        <v>150</v>
      </c>
      <c r="G64" s="291" t="s">
        <v>74</v>
      </c>
      <c r="H64" s="291"/>
      <c r="I64" s="291"/>
      <c r="J64" s="291"/>
      <c r="K64" s="291"/>
      <c r="L64" s="291"/>
      <c r="M64" s="291"/>
      <c r="N64" s="291"/>
      <c r="O64" s="291"/>
      <c r="P64" s="291"/>
      <c r="Q64" s="291"/>
      <c r="R64" s="291"/>
      <c r="S64" s="291"/>
      <c r="T64" s="291"/>
      <c r="U64" s="291"/>
      <c r="V64" s="291"/>
      <c r="W64" s="291"/>
      <c r="X64" s="291"/>
      <c r="Y64" s="88">
        <v>0</v>
      </c>
      <c r="Z64" s="31"/>
    </row>
    <row r="65" spans="1:26" x14ac:dyDescent="0.25">
      <c r="B65" s="6"/>
      <c r="C65" s="31"/>
      <c r="E65" s="296" t="s">
        <v>28</v>
      </c>
      <c r="F65" s="299" t="s">
        <v>120</v>
      </c>
      <c r="G65" s="299"/>
      <c r="H65" s="299"/>
      <c r="I65" s="299"/>
      <c r="J65" s="299"/>
      <c r="K65" s="299"/>
      <c r="L65" s="299"/>
      <c r="M65" s="299"/>
      <c r="N65" s="299"/>
      <c r="O65" s="299"/>
      <c r="P65" s="299"/>
      <c r="Q65" s="299"/>
      <c r="R65" s="299"/>
      <c r="S65" s="299"/>
      <c r="T65" s="299"/>
      <c r="U65" s="299"/>
      <c r="V65" s="299"/>
      <c r="W65" s="299"/>
      <c r="X65" s="300"/>
      <c r="Y65" s="88">
        <v>3.1200077904872279E-3</v>
      </c>
      <c r="Z65" s="31"/>
    </row>
    <row r="66" spans="1:26" x14ac:dyDescent="0.25">
      <c r="A66" s="47"/>
      <c r="B66" s="6"/>
      <c r="C66" s="30"/>
      <c r="E66" s="297"/>
      <c r="F66" s="52">
        <f>C44</f>
        <v>162772.99148064296</v>
      </c>
      <c r="G66" s="10">
        <f t="shared" ref="G66:X66" si="5">G40</f>
        <v>150</v>
      </c>
      <c r="H66" s="10">
        <f t="shared" si="5"/>
        <v>175</v>
      </c>
      <c r="I66" s="10">
        <f t="shared" si="5"/>
        <v>200</v>
      </c>
      <c r="J66" s="10">
        <f t="shared" si="5"/>
        <v>225</v>
      </c>
      <c r="K66" s="10">
        <f t="shared" si="5"/>
        <v>250</v>
      </c>
      <c r="L66" s="10">
        <f t="shared" si="5"/>
        <v>275</v>
      </c>
      <c r="M66" s="10">
        <f t="shared" si="5"/>
        <v>300</v>
      </c>
      <c r="N66" s="10">
        <f t="shared" si="5"/>
        <v>325</v>
      </c>
      <c r="O66" s="10">
        <f t="shared" si="5"/>
        <v>350</v>
      </c>
      <c r="P66" s="10">
        <f t="shared" si="5"/>
        <v>375</v>
      </c>
      <c r="Q66" s="10">
        <f t="shared" si="5"/>
        <v>400</v>
      </c>
      <c r="R66" s="10">
        <f t="shared" si="5"/>
        <v>450</v>
      </c>
      <c r="S66" s="10">
        <f t="shared" si="5"/>
        <v>500</v>
      </c>
      <c r="T66" s="10">
        <f t="shared" si="5"/>
        <v>600</v>
      </c>
      <c r="U66" s="10">
        <f t="shared" si="5"/>
        <v>700</v>
      </c>
      <c r="V66" s="10">
        <f t="shared" si="5"/>
        <v>800</v>
      </c>
      <c r="W66" s="10">
        <f t="shared" si="5"/>
        <v>900</v>
      </c>
      <c r="X66" s="11">
        <f t="shared" si="5"/>
        <v>1000</v>
      </c>
      <c r="Y66" s="88">
        <v>7.8000194762180711E-3</v>
      </c>
      <c r="Z66" s="31"/>
    </row>
    <row r="67" spans="1:26" ht="15.75" thickBot="1" x14ac:dyDescent="0.3">
      <c r="A67" s="47"/>
      <c r="B67" s="6"/>
      <c r="C67" s="30"/>
      <c r="E67" s="297"/>
      <c r="F67" s="12">
        <v>500000</v>
      </c>
      <c r="G67" s="53">
        <f t="dataTable" ref="G67:X83" dt2D="1" dtr="1" r1="C28" r2="C43" ca="1"/>
        <v>384.54393899638836</v>
      </c>
      <c r="H67" s="53">
        <v>384.55349802052558</v>
      </c>
      <c r="I67" s="54">
        <v>384.56306026391519</v>
      </c>
      <c r="J67" s="54">
        <v>384.57262572655748</v>
      </c>
      <c r="K67" s="54">
        <v>384.58219440845221</v>
      </c>
      <c r="L67" s="54">
        <v>384.59176630959951</v>
      </c>
      <c r="M67" s="54">
        <v>384.6013414299992</v>
      </c>
      <c r="N67" s="54">
        <v>384.61091976965162</v>
      </c>
      <c r="O67" s="54">
        <v>384.62050132855643</v>
      </c>
      <c r="P67" s="54">
        <v>384.63008610671375</v>
      </c>
      <c r="Q67" s="54">
        <v>384.63967410412357</v>
      </c>
      <c r="R67" s="54">
        <v>384.65885975670085</v>
      </c>
      <c r="S67" s="54">
        <v>384.67805828628826</v>
      </c>
      <c r="T67" s="54">
        <v>384.71649397649327</v>
      </c>
      <c r="U67" s="54">
        <v>384.75498117473859</v>
      </c>
      <c r="V67" s="54">
        <v>384.79351988102434</v>
      </c>
      <c r="W67" s="54">
        <v>384.83211009535034</v>
      </c>
      <c r="X67" s="55">
        <v>384.87075181771667</v>
      </c>
      <c r="Y67" s="88">
        <v>3.1200077904872284E-2</v>
      </c>
      <c r="Z67" s="31"/>
    </row>
    <row r="68" spans="1:26" ht="15.75" thickBot="1" x14ac:dyDescent="0.3">
      <c r="A68" s="47"/>
      <c r="B68" s="6"/>
      <c r="C68" s="30"/>
      <c r="E68" s="297"/>
      <c r="F68" s="90">
        <v>544000</v>
      </c>
      <c r="G68" s="91">
        <v>418.38596396361476</v>
      </c>
      <c r="H68" s="91">
        <v>418.39672390446668</v>
      </c>
      <c r="I68" s="92">
        <v>418.4074873478653</v>
      </c>
      <c r="J68" s="92">
        <v>418.41825429381072</v>
      </c>
      <c r="K68" s="92">
        <v>418.42902474230289</v>
      </c>
      <c r="L68" s="92">
        <v>418.43979869334191</v>
      </c>
      <c r="M68" s="92">
        <v>418.45057614692752</v>
      </c>
      <c r="N68" s="92">
        <v>418.46135710305992</v>
      </c>
      <c r="O68" s="92">
        <v>418.47214156173908</v>
      </c>
      <c r="P68" s="92">
        <v>418.48292952296498</v>
      </c>
      <c r="Q68" s="92">
        <v>418.49372098673757</v>
      </c>
      <c r="R68" s="92">
        <v>418.51531442192311</v>
      </c>
      <c r="S68" s="92">
        <v>418.53692186729563</v>
      </c>
      <c r="T68" s="92">
        <v>418.58017878860142</v>
      </c>
      <c r="U68" s="92">
        <v>418.62349175065515</v>
      </c>
      <c r="V68" s="92">
        <v>418.66686075345683</v>
      </c>
      <c r="W68" s="92">
        <v>418.71028579700624</v>
      </c>
      <c r="X68" s="93">
        <v>418.75376688130365</v>
      </c>
      <c r="Y68" s="88">
        <v>4.6800116857308421E-2</v>
      </c>
      <c r="Z68" s="31"/>
    </row>
    <row r="69" spans="1:26" x14ac:dyDescent="0.25">
      <c r="A69" s="47"/>
      <c r="B69" s="6"/>
      <c r="C69" s="30"/>
      <c r="E69" s="297"/>
      <c r="F69" s="12">
        <v>1000000</v>
      </c>
      <c r="G69" s="53">
        <v>769.11240453305152</v>
      </c>
      <c r="H69" s="53">
        <v>769.13561033803842</v>
      </c>
      <c r="I69" s="54">
        <v>769.15882258153033</v>
      </c>
      <c r="J69" s="54">
        <v>769.18204126352725</v>
      </c>
      <c r="K69" s="54">
        <v>769.20526638402919</v>
      </c>
      <c r="L69" s="54">
        <v>769.22849794303613</v>
      </c>
      <c r="M69" s="54">
        <v>769.25173594054831</v>
      </c>
      <c r="N69" s="54">
        <v>769.27498037656528</v>
      </c>
      <c r="O69" s="54">
        <v>769.29823125108749</v>
      </c>
      <c r="P69" s="54">
        <v>769.32148856411482</v>
      </c>
      <c r="Q69" s="54">
        <v>769.34475231564682</v>
      </c>
      <c r="R69" s="54">
        <v>769.39129913422641</v>
      </c>
      <c r="S69" s="54">
        <v>769.43787170682629</v>
      </c>
      <c r="T69" s="54">
        <v>769.53109411408605</v>
      </c>
      <c r="U69" s="54">
        <v>769.62441953742677</v>
      </c>
      <c r="V69" s="54">
        <v>769.71784797684802</v>
      </c>
      <c r="W69" s="54">
        <v>769.8113794323499</v>
      </c>
      <c r="X69" s="55">
        <v>769.90501390393263</v>
      </c>
      <c r="Y69" s="88">
        <v>9.3600233714616843E-2</v>
      </c>
      <c r="Z69" s="31"/>
    </row>
    <row r="70" spans="1:26" x14ac:dyDescent="0.25">
      <c r="A70" s="47"/>
      <c r="B70" s="6"/>
      <c r="C70" s="30"/>
      <c r="E70" s="297"/>
      <c r="F70" s="12">
        <v>1458717</v>
      </c>
      <c r="G70" s="53">
        <v>1121.9285901442147</v>
      </c>
      <c r="H70" s="53">
        <v>1121.9643159699435</v>
      </c>
      <c r="I70" s="54">
        <v>1122.000051187629</v>
      </c>
      <c r="J70" s="54">
        <v>1122.0357957972717</v>
      </c>
      <c r="K70" s="54">
        <v>1122.0715497988706</v>
      </c>
      <c r="L70" s="54">
        <v>1122.1073131924265</v>
      </c>
      <c r="M70" s="54">
        <v>1122.1430859779391</v>
      </c>
      <c r="N70" s="54">
        <v>1122.1788681554087</v>
      </c>
      <c r="O70" s="54">
        <v>1122.2146597248347</v>
      </c>
      <c r="P70" s="54">
        <v>1122.2504606862176</v>
      </c>
      <c r="Q70" s="54">
        <v>1122.2862710395575</v>
      </c>
      <c r="R70" s="54">
        <v>1122.3579199221069</v>
      </c>
      <c r="S70" s="54">
        <v>1122.4296063724839</v>
      </c>
      <c r="T70" s="54">
        <v>1122.5730919767182</v>
      </c>
      <c r="U70" s="54">
        <v>1122.7167278522611</v>
      </c>
      <c r="V70" s="54">
        <v>1122.8605139991118</v>
      </c>
      <c r="W70" s="54">
        <v>1123.0044504172708</v>
      </c>
      <c r="X70" s="55">
        <v>1123.1485371067381</v>
      </c>
      <c r="Y70" s="88">
        <v>0.15</v>
      </c>
      <c r="Z70" s="31"/>
    </row>
    <row r="71" spans="1:26" x14ac:dyDescent="0.25">
      <c r="B71" s="6"/>
      <c r="C71" s="31"/>
      <c r="E71" s="297"/>
      <c r="F71" s="12">
        <v>5000000</v>
      </c>
      <c r="G71" s="53">
        <v>3845.6601288263573</v>
      </c>
      <c r="H71" s="53">
        <v>3845.7925088781412</v>
      </c>
      <c r="I71" s="54">
        <v>3845.9249211224505</v>
      </c>
      <c r="J71" s="54">
        <v>3846.0573655592852</v>
      </c>
      <c r="K71" s="54">
        <v>3846.1898421886453</v>
      </c>
      <c r="L71" s="54">
        <v>3846.3223510105304</v>
      </c>
      <c r="M71" s="54">
        <v>3846.4548920249395</v>
      </c>
      <c r="N71" s="54">
        <v>3846.5874652318753</v>
      </c>
      <c r="O71" s="54">
        <v>3846.7200706313361</v>
      </c>
      <c r="P71" s="54">
        <v>3846.8527082233227</v>
      </c>
      <c r="Q71" s="54">
        <v>3846.9853780078324</v>
      </c>
      <c r="R71" s="54">
        <v>3847.2508141544308</v>
      </c>
      <c r="S71" s="54">
        <v>3847.516379071129</v>
      </c>
      <c r="T71" s="54">
        <v>3848.0478952148283</v>
      </c>
      <c r="U71" s="54">
        <v>3848.5799264389311</v>
      </c>
      <c r="V71" s="54">
        <v>3849.112472743438</v>
      </c>
      <c r="W71" s="54">
        <v>3849.6455341283472</v>
      </c>
      <c r="X71" s="55">
        <v>3850.1791105936595</v>
      </c>
      <c r="Y71" s="88">
        <v>0.2</v>
      </c>
      <c r="Z71" s="31"/>
    </row>
    <row r="72" spans="1:26" x14ac:dyDescent="0.25">
      <c r="B72" s="6"/>
      <c r="C72" s="6"/>
      <c r="D72" s="23"/>
      <c r="E72" s="297"/>
      <c r="F72" s="12">
        <v>10000000</v>
      </c>
      <c r="G72" s="53">
        <v>7691.3447841929883</v>
      </c>
      <c r="H72" s="53">
        <v>7691.6136320532696</v>
      </c>
      <c r="I72" s="54">
        <v>7691.8825442986017</v>
      </c>
      <c r="J72" s="54">
        <v>7692.1515209289828</v>
      </c>
      <c r="K72" s="54">
        <v>7692.4205619444147</v>
      </c>
      <c r="L72" s="54">
        <v>7692.6896673448982</v>
      </c>
      <c r="M72" s="54">
        <v>7692.9588371304308</v>
      </c>
      <c r="N72" s="54">
        <v>7693.2280713010132</v>
      </c>
      <c r="O72" s="54">
        <v>7693.4973698566464</v>
      </c>
      <c r="P72" s="54">
        <v>7693.7667327973313</v>
      </c>
      <c r="Q72" s="54">
        <v>7694.0361601230652</v>
      </c>
      <c r="R72" s="54">
        <v>7694.5752079296863</v>
      </c>
      <c r="S72" s="54">
        <v>7695.1145132765078</v>
      </c>
      <c r="T72" s="54">
        <v>7696.1938965907557</v>
      </c>
      <c r="U72" s="54">
        <v>7697.2743100658117</v>
      </c>
      <c r="V72" s="54">
        <v>7698.3557537016741</v>
      </c>
      <c r="W72" s="54">
        <v>7699.4382274983436</v>
      </c>
      <c r="X72" s="55">
        <v>7700.5217314558195</v>
      </c>
      <c r="Y72" s="88">
        <v>0.25</v>
      </c>
      <c r="Z72" s="31"/>
    </row>
    <row r="73" spans="1:26" ht="14.25" customHeight="1" x14ac:dyDescent="0.25">
      <c r="B73" s="6"/>
      <c r="C73" s="6"/>
      <c r="E73" s="297"/>
      <c r="F73" s="12">
        <v>15000000</v>
      </c>
      <c r="G73" s="53">
        <v>11537.029439559621</v>
      </c>
      <c r="H73" s="53">
        <v>11537.434755228402</v>
      </c>
      <c r="I73" s="54">
        <v>11537.840167474751</v>
      </c>
      <c r="J73" s="54">
        <v>11538.24567629868</v>
      </c>
      <c r="K73" s="54">
        <v>11538.651281700186</v>
      </c>
      <c r="L73" s="54">
        <v>11539.056983679264</v>
      </c>
      <c r="M73" s="54">
        <v>11539.46278223592</v>
      </c>
      <c r="N73" s="54">
        <v>11539.868677370152</v>
      </c>
      <c r="O73" s="54">
        <v>11540.274669081957</v>
      </c>
      <c r="P73" s="54">
        <v>11540.680757371339</v>
      </c>
      <c r="Q73" s="54">
        <v>11541.086942238297</v>
      </c>
      <c r="R73" s="54">
        <v>11541.899601704943</v>
      </c>
      <c r="S73" s="54">
        <v>11542.712647481887</v>
      </c>
      <c r="T73" s="54">
        <v>11544.339897966684</v>
      </c>
      <c r="U73" s="54">
        <v>11545.968693692694</v>
      </c>
      <c r="V73" s="54">
        <v>11547.599034659912</v>
      </c>
      <c r="W73" s="54">
        <v>11549.23092086834</v>
      </c>
      <c r="X73" s="55">
        <v>11550.86435231798</v>
      </c>
      <c r="Y73" s="88">
        <v>0.3</v>
      </c>
      <c r="Z73" s="31"/>
    </row>
    <row r="74" spans="1:26" x14ac:dyDescent="0.25">
      <c r="B74" s="6"/>
      <c r="C74" s="6"/>
      <c r="E74" s="297"/>
      <c r="F74" s="12">
        <v>20000000</v>
      </c>
      <c r="G74" s="53">
        <v>15382.714094926252</v>
      </c>
      <c r="H74" s="53">
        <v>15383.255878403528</v>
      </c>
      <c r="I74" s="53">
        <v>15383.797790650902</v>
      </c>
      <c r="J74" s="53">
        <v>15384.339831668378</v>
      </c>
      <c r="K74" s="53">
        <v>15384.882001455955</v>
      </c>
      <c r="L74" s="53">
        <v>15385.424300013632</v>
      </c>
      <c r="M74" s="53">
        <v>15385.966727341409</v>
      </c>
      <c r="N74" s="53">
        <v>15386.509283439289</v>
      </c>
      <c r="O74" s="53">
        <v>15387.051968307267</v>
      </c>
      <c r="P74" s="53">
        <v>15387.59478194535</v>
      </c>
      <c r="Q74" s="53">
        <v>15388.137724353532</v>
      </c>
      <c r="R74" s="53">
        <v>15389.223995480195</v>
      </c>
      <c r="S74" s="53">
        <v>15390.310781687265</v>
      </c>
      <c r="T74" s="53">
        <v>15392.485899342615</v>
      </c>
      <c r="U74" s="53">
        <v>15394.663077319574</v>
      </c>
      <c r="V74" s="53">
        <v>15396.842315618147</v>
      </c>
      <c r="W74" s="53">
        <v>15399.023614238335</v>
      </c>
      <c r="X74" s="56">
        <v>15401.206973180138</v>
      </c>
      <c r="Y74" s="88">
        <v>0.4</v>
      </c>
      <c r="Z74" s="31"/>
    </row>
    <row r="75" spans="1:26" x14ac:dyDescent="0.25">
      <c r="B75" s="6"/>
      <c r="C75" s="6"/>
      <c r="E75" s="297"/>
      <c r="F75" s="12">
        <v>32000000</v>
      </c>
      <c r="G75" s="53">
        <v>24612.357267806176</v>
      </c>
      <c r="H75" s="53">
        <v>24613.226574023836</v>
      </c>
      <c r="I75" s="53">
        <v>24614.096086273668</v>
      </c>
      <c r="J75" s="53">
        <v>24614.965804555653</v>
      </c>
      <c r="K75" s="53">
        <v>24615.835728869806</v>
      </c>
      <c r="L75" s="53">
        <v>24616.705859216119</v>
      </c>
      <c r="M75" s="53">
        <v>24617.576195594589</v>
      </c>
      <c r="N75" s="53">
        <v>24618.446738005219</v>
      </c>
      <c r="O75" s="53">
        <v>24619.317486448013</v>
      </c>
      <c r="P75" s="53">
        <v>24620.188440922975</v>
      </c>
      <c r="Q75" s="53">
        <v>24621.05960143009</v>
      </c>
      <c r="R75" s="53">
        <v>24622.802540540808</v>
      </c>
      <c r="S75" s="53">
        <v>24624.546303780178</v>
      </c>
      <c r="T75" s="53">
        <v>24628.036302644839</v>
      </c>
      <c r="U75" s="53">
        <v>24631.529598024092</v>
      </c>
      <c r="V75" s="53">
        <v>24635.026189917924</v>
      </c>
      <c r="W75" s="53">
        <v>24638.526078326333</v>
      </c>
      <c r="X75" s="56">
        <v>24445.361951009316</v>
      </c>
      <c r="Y75" s="88">
        <v>0.5</v>
      </c>
      <c r="Z75" s="31"/>
    </row>
    <row r="76" spans="1:26" x14ac:dyDescent="0.25">
      <c r="B76" s="6"/>
      <c r="C76" s="6"/>
      <c r="E76" s="297"/>
      <c r="F76" s="12">
        <v>50000000</v>
      </c>
      <c r="G76" s="57">
        <v>38456.822027126051</v>
      </c>
      <c r="H76" s="57">
        <v>38458.182617454302</v>
      </c>
      <c r="I76" s="57">
        <v>38459.543529707807</v>
      </c>
      <c r="J76" s="57">
        <v>38460.90476388656</v>
      </c>
      <c r="K76" s="57">
        <v>38462.26631999058</v>
      </c>
      <c r="L76" s="57">
        <v>38463.628198019833</v>
      </c>
      <c r="M76" s="57">
        <v>38464.990397974347</v>
      </c>
      <c r="N76" s="57">
        <v>38466.352919854122</v>
      </c>
      <c r="O76" s="57">
        <v>38467.715763659129</v>
      </c>
      <c r="P76" s="57">
        <v>38469.078929389398</v>
      </c>
      <c r="Q76" s="57">
        <v>38470.442417044927</v>
      </c>
      <c r="R76" s="57">
        <v>38473.170358131727</v>
      </c>
      <c r="S76" s="57">
        <v>38475.899586919535</v>
      </c>
      <c r="T76" s="57">
        <v>38481.361907598184</v>
      </c>
      <c r="U76" s="57">
        <v>34907.115444847157</v>
      </c>
      <c r="V76" s="57">
        <v>30548.051489081394</v>
      </c>
      <c r="W76" s="57">
        <v>27157.668412374682</v>
      </c>
      <c r="X76" s="58">
        <v>24445.361951009316</v>
      </c>
      <c r="Y76" s="88">
        <v>0.6</v>
      </c>
      <c r="Z76" s="31"/>
    </row>
    <row r="77" spans="1:26" x14ac:dyDescent="0.25">
      <c r="B77" s="6"/>
      <c r="C77" s="6"/>
      <c r="E77" s="297"/>
      <c r="F77" s="12">
        <v>75000000</v>
      </c>
      <c r="G77" s="57">
        <v>57685.245303959207</v>
      </c>
      <c r="H77" s="57">
        <v>57687.288233329942</v>
      </c>
      <c r="I77" s="57">
        <v>57689.331645588543</v>
      </c>
      <c r="J77" s="57">
        <v>57691.37554073504</v>
      </c>
      <c r="K77" s="57">
        <v>57693.419918769418</v>
      </c>
      <c r="L77" s="57">
        <v>57695.464779691654</v>
      </c>
      <c r="M77" s="57">
        <v>57697.510123501801</v>
      </c>
      <c r="N77" s="57">
        <v>57699.555950199807</v>
      </c>
      <c r="O77" s="57">
        <v>57701.602259785686</v>
      </c>
      <c r="P77" s="57">
        <v>57703.649052259432</v>
      </c>
      <c r="Q77" s="57">
        <v>57705.696327621088</v>
      </c>
      <c r="R77" s="57">
        <v>54280.733026028334</v>
      </c>
      <c r="S77" s="57">
        <v>48856.12010329761</v>
      </c>
      <c r="T77" s="57">
        <v>40719.200719201508</v>
      </c>
      <c r="U77" s="57">
        <v>34907.115444847157</v>
      </c>
      <c r="V77" s="57">
        <v>30548.051489081394</v>
      </c>
      <c r="W77" s="57">
        <v>27157.668412374682</v>
      </c>
      <c r="X77" s="58">
        <v>24445.361951009316</v>
      </c>
      <c r="Y77" s="88">
        <v>0.7</v>
      </c>
      <c r="Z77" s="31"/>
    </row>
    <row r="78" spans="1:26" x14ac:dyDescent="0.25">
      <c r="B78" s="6"/>
      <c r="C78" s="6"/>
      <c r="E78" s="297"/>
      <c r="F78" s="12">
        <v>100000000</v>
      </c>
      <c r="G78" s="57">
        <v>76913.668580792364</v>
      </c>
      <c r="H78" s="57">
        <v>76916.393849205575</v>
      </c>
      <c r="I78" s="57">
        <v>76919.119761469308</v>
      </c>
      <c r="J78" s="57">
        <v>76921.846317583535</v>
      </c>
      <c r="K78" s="57">
        <v>76924.573517548255</v>
      </c>
      <c r="L78" s="57">
        <v>76927.301361363498</v>
      </c>
      <c r="M78" s="57">
        <v>76930.029849029248</v>
      </c>
      <c r="N78" s="57">
        <v>75144.628882684992</v>
      </c>
      <c r="O78" s="57">
        <v>69779.627090973285</v>
      </c>
      <c r="P78" s="57">
        <v>65129.958871489798</v>
      </c>
      <c r="Q78" s="57">
        <v>61061.499179441751</v>
      </c>
      <c r="R78" s="57">
        <v>54280.733026028334</v>
      </c>
      <c r="S78" s="57">
        <v>48856.12010329761</v>
      </c>
      <c r="T78" s="57">
        <v>40719.200719201508</v>
      </c>
      <c r="U78" s="57">
        <v>34907.115444847157</v>
      </c>
      <c r="V78" s="57">
        <v>30548.051489081394</v>
      </c>
      <c r="W78" s="57">
        <v>27157.668412374682</v>
      </c>
      <c r="X78" s="58">
        <v>24445.361951009316</v>
      </c>
      <c r="Y78" s="88">
        <v>0.8</v>
      </c>
      <c r="Z78" s="31"/>
    </row>
    <row r="79" spans="1:26" x14ac:dyDescent="0.25">
      <c r="B79" s="6"/>
      <c r="C79" s="6"/>
      <c r="E79" s="297"/>
      <c r="F79" s="12">
        <v>150000000</v>
      </c>
      <c r="G79" s="57">
        <v>115370.51513445866</v>
      </c>
      <c r="H79" s="57">
        <v>115374.60508095688</v>
      </c>
      <c r="I79" s="57">
        <v>115378.69599323079</v>
      </c>
      <c r="J79" s="57">
        <v>108526.86225333565</v>
      </c>
      <c r="K79" s="57">
        <v>97677.63640787419</v>
      </c>
      <c r="L79" s="57">
        <v>88800.997079769353</v>
      </c>
      <c r="M79" s="57">
        <v>81403.797639682001</v>
      </c>
      <c r="N79" s="57">
        <v>75144.628882684992</v>
      </c>
      <c r="O79" s="57">
        <v>69779.627090973285</v>
      </c>
      <c r="P79" s="57">
        <v>65129.958871489798</v>
      </c>
      <c r="Q79" s="57">
        <v>61061.499179441751</v>
      </c>
      <c r="R79" s="57">
        <v>54280.733026028334</v>
      </c>
      <c r="S79" s="57">
        <v>48856.12010329761</v>
      </c>
      <c r="T79" s="57">
        <v>40719.200719201508</v>
      </c>
      <c r="U79" s="57">
        <v>34907.115444847157</v>
      </c>
      <c r="V79" s="57">
        <v>30548.051489081394</v>
      </c>
      <c r="W79" s="57">
        <v>27157.668412374682</v>
      </c>
      <c r="X79" s="58">
        <v>24445.361951009316</v>
      </c>
      <c r="Y79" s="88">
        <v>0.85</v>
      </c>
      <c r="Z79" s="31"/>
    </row>
    <row r="80" spans="1:26" x14ac:dyDescent="0.25">
      <c r="B80" s="6"/>
      <c r="C80" s="6"/>
      <c r="E80" s="297"/>
      <c r="F80" s="12">
        <v>175000000</v>
      </c>
      <c r="G80" s="57">
        <v>134598.93841129183</v>
      </c>
      <c r="H80" s="57">
        <v>134603.71069683251</v>
      </c>
      <c r="I80" s="57">
        <v>122088.3945601625</v>
      </c>
      <c r="J80" s="57">
        <v>108526.86225333565</v>
      </c>
      <c r="K80" s="57">
        <v>97677.63640787419</v>
      </c>
      <c r="L80" s="57">
        <v>88800.997079769353</v>
      </c>
      <c r="M80" s="57">
        <v>81403.797639682001</v>
      </c>
      <c r="N80" s="57">
        <v>75144.628882684992</v>
      </c>
      <c r="O80" s="57">
        <v>69779.627090973285</v>
      </c>
      <c r="P80" s="57">
        <v>65129.958871489798</v>
      </c>
      <c r="Q80" s="57">
        <v>61061.499179441751</v>
      </c>
      <c r="R80" s="57">
        <v>54280.733026028334</v>
      </c>
      <c r="S80" s="57">
        <v>48856.12010329761</v>
      </c>
      <c r="T80" s="57">
        <v>40719.200719201508</v>
      </c>
      <c r="U80" s="57">
        <v>34907.115444847157</v>
      </c>
      <c r="V80" s="57">
        <v>30548.051489081394</v>
      </c>
      <c r="W80" s="57">
        <v>27157.668412374682</v>
      </c>
      <c r="X80" s="58">
        <v>24445.361951009316</v>
      </c>
      <c r="Y80" s="88">
        <v>0.9</v>
      </c>
      <c r="Z80" s="31"/>
    </row>
    <row r="81" spans="1:26" x14ac:dyDescent="0.25">
      <c r="B81" s="17"/>
      <c r="C81" s="6"/>
      <c r="E81" s="297"/>
      <c r="F81" s="12">
        <v>185000000</v>
      </c>
      <c r="G81" s="57">
        <v>142290.30772202511</v>
      </c>
      <c r="H81" s="57">
        <v>139524.65038322555</v>
      </c>
      <c r="I81" s="57">
        <v>122088.3945601625</v>
      </c>
      <c r="J81" s="57">
        <v>108526.86225333565</v>
      </c>
      <c r="K81" s="57">
        <v>97677.63640787419</v>
      </c>
      <c r="L81" s="57">
        <v>88800.997079769353</v>
      </c>
      <c r="M81" s="57">
        <v>81403.797639682001</v>
      </c>
      <c r="N81" s="57">
        <v>75144.628882684992</v>
      </c>
      <c r="O81" s="57">
        <v>69779.627090973285</v>
      </c>
      <c r="P81" s="57">
        <v>65129.958871489798</v>
      </c>
      <c r="Q81" s="57">
        <v>61061.499179441751</v>
      </c>
      <c r="R81" s="57">
        <v>54280.733026028334</v>
      </c>
      <c r="S81" s="57">
        <v>48856.12010329761</v>
      </c>
      <c r="T81" s="57">
        <v>40719.200719201508</v>
      </c>
      <c r="U81" s="57">
        <v>34907.115444847157</v>
      </c>
      <c r="V81" s="57">
        <v>30548.051489081394</v>
      </c>
      <c r="W81" s="57">
        <v>27157.668412374682</v>
      </c>
      <c r="X81" s="58">
        <v>24445.361951009316</v>
      </c>
      <c r="Y81" s="89">
        <v>1</v>
      </c>
      <c r="Z81" s="31"/>
    </row>
    <row r="82" spans="1:26" x14ac:dyDescent="0.25">
      <c r="B82" s="6"/>
      <c r="C82" s="101"/>
      <c r="E82" s="297"/>
      <c r="F82" s="12">
        <v>195000000</v>
      </c>
      <c r="G82" s="57">
        <v>149981.67703275837</v>
      </c>
      <c r="H82" s="57">
        <v>139524.65038322555</v>
      </c>
      <c r="I82" s="57">
        <v>122088.3945601625</v>
      </c>
      <c r="J82" s="57">
        <v>108526.86225333565</v>
      </c>
      <c r="K82" s="57">
        <v>97677.63640787419</v>
      </c>
      <c r="L82" s="57">
        <v>88800.997079769353</v>
      </c>
      <c r="M82" s="57">
        <v>81403.797639682001</v>
      </c>
      <c r="N82" s="57">
        <v>75144.628882684992</v>
      </c>
      <c r="O82" s="57">
        <v>69779.627090973285</v>
      </c>
      <c r="P82" s="57">
        <v>65129.958871489798</v>
      </c>
      <c r="Q82" s="57">
        <v>61061.499179441751</v>
      </c>
      <c r="R82" s="57">
        <v>54280.733026028334</v>
      </c>
      <c r="S82" s="57">
        <v>48856.12010329761</v>
      </c>
      <c r="T82" s="57">
        <v>40719.200719201508</v>
      </c>
      <c r="U82" s="57">
        <v>34907.115444847157</v>
      </c>
      <c r="V82" s="57">
        <v>30548.051489081394</v>
      </c>
      <c r="W82" s="57">
        <v>27157.668412374682</v>
      </c>
      <c r="X82" s="58">
        <v>24445.361951009316</v>
      </c>
      <c r="Y82" s="6"/>
      <c r="Z82" s="31"/>
    </row>
    <row r="83" spans="1:26" x14ac:dyDescent="0.25">
      <c r="B83" s="6"/>
      <c r="C83" s="31"/>
      <c r="E83" s="298"/>
      <c r="F83" s="27">
        <v>220000000</v>
      </c>
      <c r="G83" s="59">
        <v>162772.99148064296</v>
      </c>
      <c r="H83" s="59">
        <v>139524.65038322555</v>
      </c>
      <c r="I83" s="59">
        <v>122088.3945601625</v>
      </c>
      <c r="J83" s="59">
        <v>108526.86225333565</v>
      </c>
      <c r="K83" s="59">
        <v>97677.63640787419</v>
      </c>
      <c r="L83" s="59">
        <v>88800.997079769353</v>
      </c>
      <c r="M83" s="59">
        <v>81403.797639682001</v>
      </c>
      <c r="N83" s="59">
        <v>75144.628882684992</v>
      </c>
      <c r="O83" s="59">
        <v>69779.627090973285</v>
      </c>
      <c r="P83" s="59">
        <v>65129.958871489798</v>
      </c>
      <c r="Q83" s="59">
        <v>61061.499179441751</v>
      </c>
      <c r="R83" s="59">
        <v>54280.733026028334</v>
      </c>
      <c r="S83" s="59">
        <v>48856.12010329761</v>
      </c>
      <c r="T83" s="59">
        <v>40719.200719201508</v>
      </c>
      <c r="U83" s="59">
        <v>34907.115444847157</v>
      </c>
      <c r="V83" s="59">
        <v>30548.051489081394</v>
      </c>
      <c r="W83" s="59">
        <v>27157.668412374682</v>
      </c>
      <c r="X83" s="60">
        <v>24445.361951009316</v>
      </c>
      <c r="Y83" s="6"/>
      <c r="Z83" s="31"/>
    </row>
    <row r="84" spans="1:26" s="145" customFormat="1" x14ac:dyDescent="0.25">
      <c r="A84" s="162"/>
      <c r="C84" s="163"/>
      <c r="Z84" s="146"/>
    </row>
    <row r="85" spans="1:26" s="145" customFormat="1" x14ac:dyDescent="0.25">
      <c r="C85" s="164"/>
      <c r="Z85" s="146"/>
    </row>
    <row r="86" spans="1:26" s="145" customFormat="1" x14ac:dyDescent="0.25">
      <c r="C86" s="164"/>
      <c r="E86" s="7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25"/>
      <c r="T86" s="25"/>
      <c r="U86" s="8"/>
      <c r="V86" s="8"/>
      <c r="W86" s="8"/>
      <c r="X86" s="8"/>
      <c r="Z86" s="146"/>
    </row>
    <row r="87" spans="1:26" s="145" customFormat="1" x14ac:dyDescent="0.25">
      <c r="C87" s="165"/>
      <c r="Z87" s="146"/>
    </row>
    <row r="88" spans="1:26" s="145" customFormat="1" x14ac:dyDescent="0.25">
      <c r="C88" s="166"/>
      <c r="Z88" s="146"/>
    </row>
    <row r="89" spans="1:26" s="145" customFormat="1" x14ac:dyDescent="0.25">
      <c r="C89" s="166"/>
      <c r="Z89" s="146"/>
    </row>
    <row r="90" spans="1:26" s="145" customFormat="1" ht="6" customHeight="1" x14ac:dyDescent="0.25">
      <c r="Z90" s="146"/>
    </row>
    <row r="91" spans="1:26" s="145" customFormat="1" x14ac:dyDescent="0.25">
      <c r="C91" s="164"/>
      <c r="D91" s="167"/>
      <c r="Z91" s="146"/>
    </row>
    <row r="92" spans="1:26" s="145" customFormat="1" x14ac:dyDescent="0.25">
      <c r="Z92" s="146"/>
    </row>
    <row r="93" spans="1:26" s="145" customFormat="1" x14ac:dyDescent="0.25">
      <c r="C93" s="164"/>
      <c r="Z93" s="146"/>
    </row>
    <row r="94" spans="1:26" s="145" customFormat="1" x14ac:dyDescent="0.25">
      <c r="B94" s="168"/>
      <c r="C94" s="169"/>
      <c r="Z94" s="146"/>
    </row>
    <row r="95" spans="1:26" s="145" customFormat="1" x14ac:dyDescent="0.25">
      <c r="C95" s="146"/>
      <c r="Z95" s="146"/>
    </row>
    <row r="96" spans="1:26" s="145" customFormat="1" x14ac:dyDescent="0.25">
      <c r="C96" s="164"/>
      <c r="Z96" s="146"/>
    </row>
    <row r="97" spans="2:26" s="145" customFormat="1" x14ac:dyDescent="0.25">
      <c r="C97" s="164"/>
      <c r="Z97" s="146"/>
    </row>
    <row r="98" spans="2:26" s="145" customFormat="1" x14ac:dyDescent="0.25">
      <c r="C98" s="164"/>
      <c r="Z98" s="146"/>
    </row>
    <row r="99" spans="2:26" s="145" customFormat="1" x14ac:dyDescent="0.25">
      <c r="B99" s="7"/>
      <c r="C99" s="170"/>
      <c r="Z99" s="146"/>
    </row>
    <row r="100" spans="2:26" s="145" customFormat="1" x14ac:dyDescent="0.25">
      <c r="Z100" s="146"/>
    </row>
    <row r="101" spans="2:26" s="145" customFormat="1" x14ac:dyDescent="0.25">
      <c r="B101" s="7"/>
      <c r="C101" s="171"/>
      <c r="Z101" s="146"/>
    </row>
    <row r="102" spans="2:26" s="145" customFormat="1" x14ac:dyDescent="0.25">
      <c r="B102" s="172"/>
      <c r="C102" s="173"/>
      <c r="Z102" s="146"/>
    </row>
    <row r="103" spans="2:26" s="145" customFormat="1" x14ac:dyDescent="0.25">
      <c r="B103" s="174"/>
      <c r="C103" s="175"/>
      <c r="Z103" s="146"/>
    </row>
    <row r="104" spans="2:26" s="145" customFormat="1" x14ac:dyDescent="0.25">
      <c r="B104" s="174"/>
      <c r="C104" s="176"/>
      <c r="Z104" s="146"/>
    </row>
    <row r="105" spans="2:26" s="145" customFormat="1" x14ac:dyDescent="0.25">
      <c r="B105" s="172"/>
      <c r="C105" s="173"/>
      <c r="Z105" s="146"/>
    </row>
    <row r="106" spans="2:26" s="145" customFormat="1" x14ac:dyDescent="0.25">
      <c r="B106" s="172"/>
      <c r="C106" s="177"/>
      <c r="Z106" s="146"/>
    </row>
    <row r="107" spans="2:26" s="145" customFormat="1" x14ac:dyDescent="0.25">
      <c r="Z107" s="146"/>
    </row>
    <row r="108" spans="2:26" s="145" customFormat="1" x14ac:dyDescent="0.25">
      <c r="B108" s="172"/>
      <c r="C108" s="176"/>
      <c r="Z108" s="146"/>
    </row>
    <row r="109" spans="2:26" s="145" customFormat="1" x14ac:dyDescent="0.25">
      <c r="Z109" s="146"/>
    </row>
    <row r="110" spans="2:26" s="145" customFormat="1" x14ac:dyDescent="0.25">
      <c r="Z110" s="146"/>
    </row>
    <row r="111" spans="2:26" s="145" customFormat="1" x14ac:dyDescent="0.25">
      <c r="Z111" s="146"/>
    </row>
    <row r="112" spans="2:26" s="145" customFormat="1" x14ac:dyDescent="0.25">
      <c r="Z112" s="146"/>
    </row>
    <row r="113" spans="11:26" s="145" customFormat="1" x14ac:dyDescent="0.25">
      <c r="Z113" s="146"/>
    </row>
    <row r="114" spans="11:26" s="145" customFormat="1" x14ac:dyDescent="0.25">
      <c r="Z114" s="146"/>
    </row>
    <row r="115" spans="11:26" s="145" customFormat="1" x14ac:dyDescent="0.25">
      <c r="Z115" s="146"/>
    </row>
    <row r="116" spans="11:26" s="145" customFormat="1" x14ac:dyDescent="0.25">
      <c r="Z116" s="146"/>
    </row>
    <row r="117" spans="11:26" s="145" customFormat="1" x14ac:dyDescent="0.25">
      <c r="Z117" s="146"/>
    </row>
    <row r="118" spans="11:26" s="145" customFormat="1" x14ac:dyDescent="0.25">
      <c r="Z118" s="146"/>
    </row>
    <row r="119" spans="11:26" s="145" customFormat="1" x14ac:dyDescent="0.25">
      <c r="Z119" s="146"/>
    </row>
    <row r="120" spans="11:26" s="145" customFormat="1" x14ac:dyDescent="0.25">
      <c r="Z120" s="146"/>
    </row>
    <row r="121" spans="11:26" s="145" customFormat="1" x14ac:dyDescent="0.25">
      <c r="Z121" s="146"/>
    </row>
    <row r="122" spans="11:26" s="145" customFormat="1" x14ac:dyDescent="0.25">
      <c r="Z122" s="146"/>
    </row>
    <row r="123" spans="11:26" s="145" customFormat="1" x14ac:dyDescent="0.25">
      <c r="Z123" s="146"/>
    </row>
    <row r="124" spans="11:26" s="145" customFormat="1" x14ac:dyDescent="0.25">
      <c r="Z124" s="146"/>
    </row>
    <row r="125" spans="11:26" s="145" customFormat="1" x14ac:dyDescent="0.25">
      <c r="Z125" s="146"/>
    </row>
    <row r="126" spans="11:26" s="145" customFormat="1" x14ac:dyDescent="0.25">
      <c r="K126" s="147"/>
      <c r="Z126" s="146"/>
    </row>
    <row r="127" spans="11:26" s="145" customFormat="1" x14ac:dyDescent="0.25">
      <c r="Z127" s="146"/>
    </row>
    <row r="128" spans="11:26" s="145" customFormat="1" ht="15" customHeight="1" x14ac:dyDescent="0.25">
      <c r="Z128" s="146"/>
    </row>
    <row r="129" spans="5:26" s="145" customFormat="1" ht="15" customHeight="1" x14ac:dyDescent="0.25">
      <c r="Z129" s="146"/>
    </row>
    <row r="130" spans="5:26" s="145" customFormat="1" x14ac:dyDescent="0.25">
      <c r="Z130" s="146"/>
    </row>
    <row r="131" spans="5:26" s="145" customFormat="1" x14ac:dyDescent="0.25">
      <c r="Z131" s="146"/>
    </row>
    <row r="132" spans="5:26" s="145" customFormat="1" x14ac:dyDescent="0.25">
      <c r="Z132" s="146"/>
    </row>
    <row r="133" spans="5:26" s="145" customFormat="1" x14ac:dyDescent="0.25">
      <c r="Z133" s="146"/>
    </row>
    <row r="134" spans="5:26" s="145" customFormat="1" x14ac:dyDescent="0.25">
      <c r="Z134" s="146"/>
    </row>
    <row r="135" spans="5:26" s="145" customFormat="1" x14ac:dyDescent="0.25">
      <c r="Z135" s="146"/>
    </row>
    <row r="136" spans="5:26" s="145" customFormat="1" x14ac:dyDescent="0.25">
      <c r="Z136" s="146"/>
    </row>
    <row r="137" spans="5:26" s="145" customFormat="1" x14ac:dyDescent="0.25">
      <c r="Z137" s="146"/>
    </row>
    <row r="138" spans="5:26" s="145" customFormat="1" x14ac:dyDescent="0.25">
      <c r="Z138" s="146"/>
    </row>
    <row r="139" spans="5:26" s="110" customFormat="1" x14ac:dyDescent="0.25">
      <c r="Z139" s="109"/>
    </row>
    <row r="140" spans="5:26" s="110" customFormat="1" x14ac:dyDescent="0.25">
      <c r="E140" s="112"/>
      <c r="F140" s="109"/>
      <c r="Z140" s="109"/>
    </row>
    <row r="141" spans="5:26" s="110" customFormat="1" x14ac:dyDescent="0.25">
      <c r="E141" s="112"/>
      <c r="F141" s="153"/>
      <c r="G141" s="154"/>
      <c r="Z141" s="109"/>
    </row>
    <row r="142" spans="5:26" s="110" customFormat="1" x14ac:dyDescent="0.25">
      <c r="E142" s="112"/>
      <c r="F142" s="155"/>
      <c r="G142" s="154"/>
      <c r="Z142" s="109"/>
    </row>
    <row r="143" spans="5:26" s="110" customFormat="1" x14ac:dyDescent="0.25">
      <c r="E143" s="112"/>
      <c r="F143" s="156"/>
      <c r="G143" s="154"/>
      <c r="Z143" s="109"/>
    </row>
    <row r="144" spans="5:26" s="110" customFormat="1" x14ac:dyDescent="0.25">
      <c r="E144" s="112"/>
      <c r="F144" s="157"/>
      <c r="G144" s="179"/>
      <c r="H144" s="179"/>
      <c r="I144" s="179"/>
      <c r="J144" s="179"/>
      <c r="K144" s="179"/>
      <c r="L144" s="179"/>
      <c r="M144" s="179"/>
      <c r="N144" s="179"/>
      <c r="O144" s="179"/>
      <c r="P144" s="179"/>
      <c r="Q144" s="179"/>
      <c r="R144" s="179"/>
      <c r="S144" s="179"/>
      <c r="T144" s="179"/>
      <c r="U144" s="179"/>
      <c r="V144" s="179"/>
      <c r="W144" s="179"/>
      <c r="X144" s="179"/>
      <c r="Z144" s="109"/>
    </row>
    <row r="145" spans="5:26" s="110" customFormat="1" x14ac:dyDescent="0.25">
      <c r="E145" s="161"/>
      <c r="F145" s="178"/>
      <c r="G145" s="178"/>
      <c r="H145" s="178"/>
      <c r="I145" s="178"/>
      <c r="J145" s="178"/>
      <c r="K145" s="178"/>
      <c r="L145" s="178"/>
      <c r="M145" s="178"/>
      <c r="N145" s="178"/>
      <c r="O145" s="178"/>
      <c r="P145" s="178"/>
      <c r="Q145" s="178"/>
      <c r="R145" s="178"/>
      <c r="S145" s="178"/>
      <c r="T145" s="178"/>
      <c r="U145" s="178"/>
      <c r="V145" s="178"/>
      <c r="W145" s="178"/>
      <c r="X145" s="178"/>
      <c r="Z145" s="109"/>
    </row>
    <row r="146" spans="5:26" s="110" customFormat="1" x14ac:dyDescent="0.25">
      <c r="E146" s="161"/>
      <c r="F146" s="158"/>
      <c r="G146" s="159"/>
      <c r="H146" s="159"/>
      <c r="I146" s="159"/>
      <c r="J146" s="159"/>
      <c r="K146" s="159"/>
      <c r="L146" s="159"/>
      <c r="M146" s="159"/>
      <c r="N146" s="159"/>
      <c r="O146" s="159"/>
      <c r="P146" s="159"/>
      <c r="Q146" s="159"/>
      <c r="R146" s="159"/>
      <c r="S146" s="159"/>
      <c r="T146" s="159"/>
      <c r="U146" s="159"/>
      <c r="V146" s="159"/>
      <c r="W146" s="159"/>
      <c r="X146" s="159"/>
      <c r="Z146" s="109"/>
    </row>
    <row r="147" spans="5:26" s="110" customFormat="1" x14ac:dyDescent="0.25">
      <c r="E147" s="161"/>
      <c r="F147" s="159"/>
      <c r="G147" s="148"/>
      <c r="H147" s="148"/>
      <c r="I147" s="149"/>
      <c r="J147" s="149"/>
      <c r="K147" s="149"/>
      <c r="L147" s="149"/>
      <c r="M147" s="149"/>
      <c r="N147" s="149"/>
      <c r="O147" s="149"/>
      <c r="P147" s="149"/>
      <c r="Q147" s="149"/>
      <c r="R147" s="149"/>
      <c r="S147" s="149"/>
      <c r="T147" s="149"/>
      <c r="U147" s="149"/>
      <c r="V147" s="149"/>
      <c r="W147" s="149"/>
      <c r="X147" s="149"/>
      <c r="Z147" s="109"/>
    </row>
    <row r="148" spans="5:26" s="110" customFormat="1" x14ac:dyDescent="0.25">
      <c r="E148" s="161"/>
      <c r="F148" s="159"/>
      <c r="G148" s="148"/>
      <c r="H148" s="148"/>
      <c r="I148" s="149"/>
      <c r="J148" s="149"/>
      <c r="K148" s="149"/>
      <c r="L148" s="149"/>
      <c r="M148" s="149"/>
      <c r="N148" s="149"/>
      <c r="O148" s="149"/>
      <c r="P148" s="149"/>
      <c r="Q148" s="149"/>
      <c r="R148" s="149"/>
      <c r="S148" s="149"/>
      <c r="T148" s="149"/>
      <c r="U148" s="149"/>
      <c r="V148" s="149"/>
      <c r="W148" s="149"/>
      <c r="X148" s="149"/>
      <c r="Z148" s="109"/>
    </row>
    <row r="149" spans="5:26" s="110" customFormat="1" x14ac:dyDescent="0.25">
      <c r="E149" s="161"/>
      <c r="F149" s="159"/>
      <c r="G149" s="148"/>
      <c r="H149" s="148"/>
      <c r="I149" s="149"/>
      <c r="J149" s="149"/>
      <c r="K149" s="149"/>
      <c r="L149" s="149"/>
      <c r="M149" s="149"/>
      <c r="N149" s="149"/>
      <c r="O149" s="149"/>
      <c r="P149" s="149"/>
      <c r="Q149" s="149"/>
      <c r="R149" s="149"/>
      <c r="S149" s="149"/>
      <c r="T149" s="149"/>
      <c r="U149" s="149"/>
      <c r="V149" s="149"/>
      <c r="W149" s="149"/>
      <c r="X149" s="149"/>
      <c r="Z149" s="109"/>
    </row>
    <row r="150" spans="5:26" s="110" customFormat="1" x14ac:dyDescent="0.25">
      <c r="E150" s="161"/>
      <c r="F150" s="159"/>
      <c r="G150" s="148"/>
      <c r="H150" s="148"/>
      <c r="I150" s="149"/>
      <c r="J150" s="149"/>
      <c r="K150" s="149"/>
      <c r="L150" s="149"/>
      <c r="M150" s="149"/>
      <c r="N150" s="149"/>
      <c r="O150" s="149"/>
      <c r="P150" s="149"/>
      <c r="Q150" s="149"/>
      <c r="R150" s="149"/>
      <c r="S150" s="149"/>
      <c r="T150" s="149"/>
      <c r="U150" s="149"/>
      <c r="V150" s="149"/>
      <c r="W150" s="149"/>
      <c r="X150" s="149"/>
      <c r="Z150" s="109"/>
    </row>
    <row r="151" spans="5:26" s="110" customFormat="1" x14ac:dyDescent="0.25">
      <c r="E151" s="161"/>
      <c r="F151" s="159"/>
      <c r="G151" s="148"/>
      <c r="H151" s="148"/>
      <c r="I151" s="149"/>
      <c r="J151" s="149"/>
      <c r="K151" s="149"/>
      <c r="L151" s="149"/>
      <c r="M151" s="149"/>
      <c r="N151" s="149"/>
      <c r="O151" s="149"/>
      <c r="P151" s="149"/>
      <c r="Q151" s="149"/>
      <c r="R151" s="149"/>
      <c r="S151" s="149"/>
      <c r="T151" s="149"/>
      <c r="U151" s="149"/>
      <c r="V151" s="149"/>
      <c r="W151" s="149"/>
      <c r="X151" s="149"/>
      <c r="Z151" s="109"/>
    </row>
    <row r="152" spans="5:26" s="110" customFormat="1" x14ac:dyDescent="0.25">
      <c r="E152" s="161"/>
      <c r="F152" s="159"/>
      <c r="G152" s="148"/>
      <c r="H152" s="148"/>
      <c r="I152" s="149"/>
      <c r="J152" s="149"/>
      <c r="K152" s="149"/>
      <c r="L152" s="149"/>
      <c r="M152" s="149"/>
      <c r="N152" s="149"/>
      <c r="O152" s="149"/>
      <c r="P152" s="149"/>
      <c r="Q152" s="149"/>
      <c r="R152" s="149"/>
      <c r="S152" s="149"/>
      <c r="T152" s="149"/>
      <c r="U152" s="149"/>
      <c r="V152" s="149"/>
      <c r="W152" s="149"/>
      <c r="X152" s="149"/>
      <c r="Z152" s="109"/>
    </row>
    <row r="153" spans="5:26" s="110" customFormat="1" x14ac:dyDescent="0.25">
      <c r="E153" s="161"/>
      <c r="F153" s="159"/>
      <c r="G153" s="148"/>
      <c r="H153" s="148"/>
      <c r="I153" s="149"/>
      <c r="J153" s="149"/>
      <c r="K153" s="149"/>
      <c r="L153" s="149"/>
      <c r="M153" s="149"/>
      <c r="N153" s="149"/>
      <c r="O153" s="149"/>
      <c r="P153" s="149"/>
      <c r="Q153" s="149"/>
      <c r="R153" s="149"/>
      <c r="S153" s="149"/>
      <c r="T153" s="149"/>
      <c r="U153" s="149"/>
      <c r="V153" s="149"/>
      <c r="W153" s="149"/>
      <c r="X153" s="149"/>
      <c r="Z153" s="109"/>
    </row>
    <row r="154" spans="5:26" s="110" customFormat="1" x14ac:dyDescent="0.25">
      <c r="E154" s="161"/>
      <c r="F154" s="159"/>
      <c r="G154" s="148"/>
      <c r="H154" s="148"/>
      <c r="I154" s="148"/>
      <c r="J154" s="148"/>
      <c r="K154" s="148"/>
      <c r="L154" s="148"/>
      <c r="M154" s="148"/>
      <c r="N154" s="148"/>
      <c r="O154" s="148"/>
      <c r="P154" s="148"/>
      <c r="Q154" s="148"/>
      <c r="R154" s="148"/>
      <c r="S154" s="148"/>
      <c r="T154" s="148"/>
      <c r="U154" s="148"/>
      <c r="V154" s="148"/>
      <c r="W154" s="148"/>
      <c r="X154" s="148"/>
      <c r="Z154" s="109"/>
    </row>
    <row r="155" spans="5:26" s="110" customFormat="1" x14ac:dyDescent="0.25">
      <c r="E155" s="161"/>
      <c r="F155" s="159"/>
      <c r="G155" s="148"/>
      <c r="H155" s="148"/>
      <c r="I155" s="148"/>
      <c r="J155" s="148"/>
      <c r="K155" s="148"/>
      <c r="L155" s="148"/>
      <c r="M155" s="148"/>
      <c r="N155" s="148"/>
      <c r="O155" s="148"/>
      <c r="P155" s="148"/>
      <c r="Q155" s="148"/>
      <c r="R155" s="148"/>
      <c r="S155" s="148"/>
      <c r="T155" s="148"/>
      <c r="U155" s="148"/>
      <c r="V155" s="148"/>
      <c r="W155" s="148"/>
      <c r="X155" s="148"/>
      <c r="Z155" s="109"/>
    </row>
    <row r="156" spans="5:26" s="110" customFormat="1" x14ac:dyDescent="0.25">
      <c r="E156" s="161"/>
      <c r="F156" s="159"/>
      <c r="G156" s="150"/>
      <c r="H156" s="150"/>
      <c r="I156" s="150"/>
      <c r="J156" s="150"/>
      <c r="K156" s="150"/>
      <c r="L156" s="150"/>
      <c r="M156" s="150"/>
      <c r="N156" s="150"/>
      <c r="O156" s="150"/>
      <c r="P156" s="150"/>
      <c r="Q156" s="150"/>
      <c r="R156" s="150"/>
      <c r="S156" s="150"/>
      <c r="T156" s="150"/>
      <c r="U156" s="150"/>
      <c r="V156" s="150"/>
      <c r="W156" s="150"/>
      <c r="X156" s="150"/>
      <c r="Z156" s="109"/>
    </row>
    <row r="157" spans="5:26" s="110" customFormat="1" x14ac:dyDescent="0.25">
      <c r="E157" s="161"/>
      <c r="F157" s="159"/>
      <c r="G157" s="150"/>
      <c r="H157" s="150"/>
      <c r="I157" s="150"/>
      <c r="J157" s="150"/>
      <c r="K157" s="150"/>
      <c r="L157" s="150"/>
      <c r="M157" s="150"/>
      <c r="N157" s="150"/>
      <c r="O157" s="150"/>
      <c r="P157" s="150"/>
      <c r="Q157" s="150"/>
      <c r="R157" s="150"/>
      <c r="S157" s="150"/>
      <c r="T157" s="150"/>
      <c r="U157" s="150"/>
      <c r="V157" s="150"/>
      <c r="W157" s="150"/>
      <c r="X157" s="150"/>
      <c r="Z157" s="109"/>
    </row>
    <row r="158" spans="5:26" s="110" customFormat="1" x14ac:dyDescent="0.25">
      <c r="E158" s="161"/>
      <c r="F158" s="159"/>
      <c r="G158" s="150"/>
      <c r="H158" s="150"/>
      <c r="I158" s="150"/>
      <c r="J158" s="150"/>
      <c r="K158" s="150"/>
      <c r="L158" s="150"/>
      <c r="M158" s="150"/>
      <c r="N158" s="150"/>
      <c r="O158" s="150"/>
      <c r="P158" s="150"/>
      <c r="Q158" s="150"/>
      <c r="R158" s="150"/>
      <c r="S158" s="150"/>
      <c r="T158" s="150"/>
      <c r="U158" s="150"/>
      <c r="V158" s="150"/>
      <c r="W158" s="150"/>
      <c r="X158" s="150"/>
      <c r="Z158" s="109"/>
    </row>
    <row r="159" spans="5:26" s="110" customFormat="1" x14ac:dyDescent="0.25">
      <c r="E159" s="161"/>
      <c r="F159" s="159"/>
      <c r="G159" s="150"/>
      <c r="H159" s="150"/>
      <c r="I159" s="150"/>
      <c r="J159" s="150"/>
      <c r="K159" s="150"/>
      <c r="L159" s="150"/>
      <c r="M159" s="150"/>
      <c r="N159" s="150"/>
      <c r="O159" s="150"/>
      <c r="P159" s="150"/>
      <c r="Q159" s="150"/>
      <c r="R159" s="150"/>
      <c r="S159" s="150"/>
      <c r="T159" s="150"/>
      <c r="U159" s="150"/>
      <c r="V159" s="150"/>
      <c r="W159" s="150"/>
      <c r="X159" s="150"/>
      <c r="Z159" s="109"/>
    </row>
    <row r="160" spans="5:26" s="110" customFormat="1" x14ac:dyDescent="0.25">
      <c r="E160" s="161"/>
      <c r="F160" s="159"/>
      <c r="G160" s="150"/>
      <c r="H160" s="150"/>
      <c r="I160" s="150"/>
      <c r="J160" s="150"/>
      <c r="K160" s="150"/>
      <c r="L160" s="150"/>
      <c r="M160" s="150"/>
      <c r="N160" s="150"/>
      <c r="O160" s="150"/>
      <c r="P160" s="150"/>
      <c r="Q160" s="150"/>
      <c r="R160" s="150"/>
      <c r="S160" s="150"/>
      <c r="T160" s="150"/>
      <c r="U160" s="150"/>
      <c r="V160" s="150"/>
      <c r="W160" s="150"/>
      <c r="X160" s="150"/>
      <c r="Z160" s="109"/>
    </row>
    <row r="161" spans="5:26" s="110" customFormat="1" x14ac:dyDescent="0.25">
      <c r="E161" s="161"/>
      <c r="F161" s="159"/>
      <c r="G161" s="150"/>
      <c r="H161" s="150"/>
      <c r="I161" s="150"/>
      <c r="J161" s="150"/>
      <c r="K161" s="150"/>
      <c r="L161" s="150"/>
      <c r="M161" s="150"/>
      <c r="N161" s="150"/>
      <c r="O161" s="150"/>
      <c r="P161" s="150"/>
      <c r="Q161" s="150"/>
      <c r="R161" s="150"/>
      <c r="S161" s="150"/>
      <c r="T161" s="150"/>
      <c r="U161" s="150"/>
      <c r="V161" s="150"/>
      <c r="W161" s="150"/>
      <c r="X161" s="150"/>
      <c r="Z161" s="109"/>
    </row>
    <row r="162" spans="5:26" s="110" customFormat="1" x14ac:dyDescent="0.25">
      <c r="E162" s="161"/>
      <c r="F162" s="159"/>
      <c r="G162" s="150"/>
      <c r="H162" s="150"/>
      <c r="I162" s="150"/>
      <c r="J162" s="150"/>
      <c r="K162" s="150"/>
      <c r="L162" s="150"/>
      <c r="M162" s="150"/>
      <c r="N162" s="150"/>
      <c r="O162" s="150"/>
      <c r="P162" s="150"/>
      <c r="Q162" s="150"/>
      <c r="R162" s="150"/>
      <c r="S162" s="150"/>
      <c r="T162" s="150"/>
      <c r="U162" s="150"/>
      <c r="V162" s="150"/>
      <c r="W162" s="150"/>
      <c r="X162" s="150"/>
      <c r="Z162" s="109"/>
    </row>
    <row r="163" spans="5:26" s="110" customFormat="1" x14ac:dyDescent="0.25">
      <c r="E163" s="161"/>
      <c r="F163" s="159"/>
      <c r="G163" s="150"/>
      <c r="H163" s="150"/>
      <c r="I163" s="150"/>
      <c r="J163" s="150"/>
      <c r="K163" s="150"/>
      <c r="L163" s="150"/>
      <c r="M163" s="150"/>
      <c r="N163" s="150"/>
      <c r="O163" s="150"/>
      <c r="P163" s="150"/>
      <c r="Q163" s="150"/>
      <c r="R163" s="150"/>
      <c r="S163" s="150"/>
      <c r="T163" s="150"/>
      <c r="U163" s="150"/>
      <c r="V163" s="150"/>
      <c r="W163" s="150"/>
      <c r="X163" s="150"/>
      <c r="Z163" s="109"/>
    </row>
    <row r="164" spans="5:26" s="110" customFormat="1" x14ac:dyDescent="0.25">
      <c r="Z164" s="109"/>
    </row>
    <row r="165" spans="5:26" s="110" customFormat="1" x14ac:dyDescent="0.25">
      <c r="Z165" s="109"/>
    </row>
    <row r="166" spans="5:26" s="110" customFormat="1" x14ac:dyDescent="0.25">
      <c r="F166" s="109"/>
      <c r="Z166" s="109"/>
    </row>
    <row r="167" spans="5:26" s="110" customFormat="1" x14ac:dyDescent="0.25">
      <c r="E167" s="112"/>
      <c r="F167" s="153"/>
      <c r="G167" s="154"/>
      <c r="Z167" s="109"/>
    </row>
    <row r="168" spans="5:26" s="110" customFormat="1" x14ac:dyDescent="0.25">
      <c r="E168" s="112"/>
      <c r="F168" s="155"/>
      <c r="G168" s="154"/>
      <c r="Z168" s="109"/>
    </row>
    <row r="169" spans="5:26" s="110" customFormat="1" x14ac:dyDescent="0.25">
      <c r="E169" s="112"/>
      <c r="F169" s="156"/>
      <c r="G169" s="154"/>
      <c r="Z169" s="109"/>
    </row>
    <row r="170" spans="5:26" s="110" customFormat="1" x14ac:dyDescent="0.25">
      <c r="E170" s="112"/>
      <c r="F170" s="160"/>
      <c r="G170" s="179"/>
      <c r="H170" s="179"/>
      <c r="I170" s="179"/>
      <c r="J170" s="179"/>
      <c r="K170" s="179"/>
      <c r="L170" s="179"/>
      <c r="M170" s="179"/>
      <c r="N170" s="179"/>
      <c r="O170" s="179"/>
      <c r="P170" s="179"/>
      <c r="Q170" s="179"/>
      <c r="R170" s="179"/>
      <c r="S170" s="179"/>
      <c r="T170" s="179"/>
      <c r="U170" s="179"/>
      <c r="V170" s="179"/>
      <c r="W170" s="179"/>
      <c r="X170" s="179"/>
      <c r="Z170" s="109"/>
    </row>
    <row r="171" spans="5:26" s="110" customFormat="1" x14ac:dyDescent="0.25">
      <c r="E171" s="161"/>
      <c r="F171" s="178"/>
      <c r="G171" s="178"/>
      <c r="H171" s="178"/>
      <c r="I171" s="178"/>
      <c r="J171" s="178"/>
      <c r="K171" s="178"/>
      <c r="L171" s="178"/>
      <c r="M171" s="178"/>
      <c r="N171" s="178"/>
      <c r="O171" s="178"/>
      <c r="P171" s="178"/>
      <c r="Q171" s="178"/>
      <c r="R171" s="178"/>
      <c r="S171" s="178"/>
      <c r="T171" s="178"/>
      <c r="U171" s="178"/>
      <c r="V171" s="178"/>
      <c r="W171" s="178"/>
      <c r="X171" s="178"/>
      <c r="Z171" s="109"/>
    </row>
    <row r="172" spans="5:26" s="110" customFormat="1" x14ac:dyDescent="0.25">
      <c r="E172" s="161"/>
      <c r="F172" s="158"/>
      <c r="G172" s="159"/>
      <c r="H172" s="159"/>
      <c r="I172" s="159"/>
      <c r="J172" s="159"/>
      <c r="K172" s="159"/>
      <c r="L172" s="159"/>
      <c r="M172" s="159"/>
      <c r="N172" s="159"/>
      <c r="O172" s="159"/>
      <c r="P172" s="159"/>
      <c r="Q172" s="159"/>
      <c r="R172" s="159"/>
      <c r="S172" s="159"/>
      <c r="T172" s="159"/>
      <c r="U172" s="159"/>
      <c r="V172" s="159"/>
      <c r="W172" s="159"/>
      <c r="X172" s="159"/>
      <c r="Z172" s="109"/>
    </row>
    <row r="173" spans="5:26" s="110" customFormat="1" x14ac:dyDescent="0.25">
      <c r="E173" s="161"/>
      <c r="F173" s="159"/>
      <c r="G173" s="148"/>
      <c r="H173" s="151"/>
      <c r="I173" s="151"/>
      <c r="J173" s="151"/>
      <c r="K173" s="151"/>
      <c r="L173" s="151"/>
      <c r="M173" s="151"/>
      <c r="N173" s="151"/>
      <c r="O173" s="151"/>
      <c r="P173" s="151"/>
      <c r="Q173" s="151"/>
      <c r="R173" s="152"/>
      <c r="S173" s="152"/>
      <c r="T173" s="152"/>
      <c r="U173" s="152"/>
      <c r="V173" s="152"/>
      <c r="W173" s="152"/>
      <c r="X173" s="152"/>
      <c r="Z173" s="109"/>
    </row>
    <row r="174" spans="5:26" s="110" customFormat="1" x14ac:dyDescent="0.25">
      <c r="E174" s="161"/>
      <c r="F174" s="159"/>
      <c r="G174" s="148"/>
      <c r="H174" s="150"/>
      <c r="I174" s="152"/>
      <c r="J174" s="151"/>
      <c r="K174" s="151"/>
      <c r="L174" s="151"/>
      <c r="M174" s="151"/>
      <c r="N174" s="151"/>
      <c r="O174" s="151"/>
      <c r="P174" s="151"/>
      <c r="Q174" s="151"/>
      <c r="R174" s="152"/>
      <c r="S174" s="152"/>
      <c r="T174" s="152"/>
      <c r="U174" s="152"/>
      <c r="V174" s="152"/>
      <c r="W174" s="152"/>
      <c r="X174" s="152"/>
      <c r="Z174" s="109"/>
    </row>
    <row r="175" spans="5:26" s="110" customFormat="1" x14ac:dyDescent="0.25">
      <c r="E175" s="161"/>
      <c r="F175" s="159"/>
      <c r="G175" s="148"/>
      <c r="H175" s="150"/>
      <c r="I175" s="149"/>
      <c r="J175" s="152"/>
      <c r="K175" s="151"/>
      <c r="L175" s="151"/>
      <c r="M175" s="151"/>
      <c r="N175" s="151"/>
      <c r="O175" s="151"/>
      <c r="P175" s="151"/>
      <c r="Q175" s="151"/>
      <c r="R175" s="152"/>
      <c r="S175" s="152"/>
      <c r="T175" s="152"/>
      <c r="U175" s="152"/>
      <c r="V175" s="152"/>
      <c r="W175" s="152"/>
      <c r="X175" s="152"/>
      <c r="Z175" s="109"/>
    </row>
    <row r="176" spans="5:26" s="110" customFormat="1" x14ac:dyDescent="0.25">
      <c r="E176" s="161"/>
      <c r="F176" s="159"/>
      <c r="G176" s="148"/>
      <c r="H176" s="150"/>
      <c r="I176" s="149"/>
      <c r="J176" s="149"/>
      <c r="K176" s="152"/>
      <c r="L176" s="151"/>
      <c r="M176" s="151"/>
      <c r="N176" s="151"/>
      <c r="O176" s="151"/>
      <c r="P176" s="151"/>
      <c r="Q176" s="151"/>
      <c r="R176" s="152"/>
      <c r="S176" s="152"/>
      <c r="T176" s="152"/>
      <c r="U176" s="152"/>
      <c r="V176" s="152"/>
      <c r="W176" s="152"/>
      <c r="X176" s="152"/>
      <c r="Z176" s="109"/>
    </row>
    <row r="177" spans="5:26" s="110" customFormat="1" x14ac:dyDescent="0.25">
      <c r="E177" s="161"/>
      <c r="F177" s="159"/>
      <c r="G177" s="148"/>
      <c r="H177" s="150"/>
      <c r="I177" s="149"/>
      <c r="J177" s="149"/>
      <c r="K177" s="149"/>
      <c r="L177" s="152"/>
      <c r="M177" s="151"/>
      <c r="N177" s="151"/>
      <c r="O177" s="151"/>
      <c r="P177" s="151"/>
      <c r="Q177" s="151"/>
      <c r="R177" s="152"/>
      <c r="S177" s="152"/>
      <c r="T177" s="152"/>
      <c r="U177" s="152"/>
      <c r="V177" s="152"/>
      <c r="W177" s="152"/>
      <c r="X177" s="152"/>
      <c r="Z177" s="109"/>
    </row>
    <row r="178" spans="5:26" s="110" customFormat="1" x14ac:dyDescent="0.25">
      <c r="E178" s="161"/>
      <c r="F178" s="159"/>
      <c r="G178" s="148"/>
      <c r="H178" s="150"/>
      <c r="I178" s="149"/>
      <c r="J178" s="149"/>
      <c r="K178" s="149"/>
      <c r="L178" s="149"/>
      <c r="M178" s="152"/>
      <c r="N178" s="151"/>
      <c r="O178" s="151"/>
      <c r="P178" s="151"/>
      <c r="Q178" s="151"/>
      <c r="R178" s="152"/>
      <c r="S178" s="152"/>
      <c r="T178" s="152"/>
      <c r="U178" s="152"/>
      <c r="V178" s="152"/>
      <c r="W178" s="152"/>
      <c r="X178" s="152"/>
      <c r="Z178" s="109"/>
    </row>
    <row r="179" spans="5:26" s="110" customFormat="1" x14ac:dyDescent="0.25">
      <c r="E179" s="161"/>
      <c r="F179" s="159"/>
      <c r="G179" s="148"/>
      <c r="H179" s="150"/>
      <c r="I179" s="149"/>
      <c r="J179" s="149"/>
      <c r="K179" s="149"/>
      <c r="L179" s="149"/>
      <c r="M179" s="149"/>
      <c r="N179" s="152"/>
      <c r="O179" s="151"/>
      <c r="P179" s="151"/>
      <c r="Q179" s="151"/>
      <c r="R179" s="152"/>
      <c r="S179" s="152"/>
      <c r="T179" s="152"/>
      <c r="U179" s="152"/>
      <c r="V179" s="152"/>
      <c r="W179" s="152"/>
      <c r="X179" s="152"/>
      <c r="Z179" s="109"/>
    </row>
    <row r="180" spans="5:26" s="110" customFormat="1" x14ac:dyDescent="0.25">
      <c r="E180" s="161"/>
      <c r="F180" s="159"/>
      <c r="G180" s="148"/>
      <c r="H180" s="150"/>
      <c r="I180" s="148"/>
      <c r="J180" s="148"/>
      <c r="K180" s="148"/>
      <c r="L180" s="148"/>
      <c r="M180" s="148"/>
      <c r="N180" s="148"/>
      <c r="O180" s="151"/>
      <c r="P180" s="151"/>
      <c r="Q180" s="151"/>
      <c r="R180" s="151"/>
      <c r="S180" s="151"/>
      <c r="T180" s="151"/>
      <c r="U180" s="151"/>
      <c r="V180" s="151"/>
      <c r="W180" s="151"/>
      <c r="X180" s="151"/>
      <c r="Z180" s="109"/>
    </row>
    <row r="181" spans="5:26" s="110" customFormat="1" x14ac:dyDescent="0.25">
      <c r="E181" s="161"/>
      <c r="F181" s="159"/>
      <c r="G181" s="148"/>
      <c r="H181" s="150"/>
      <c r="I181" s="148"/>
      <c r="J181" s="148"/>
      <c r="K181" s="148"/>
      <c r="L181" s="148"/>
      <c r="M181" s="148"/>
      <c r="N181" s="148"/>
      <c r="O181" s="148"/>
      <c r="P181" s="151"/>
      <c r="Q181" s="151"/>
      <c r="R181" s="151"/>
      <c r="S181" s="151"/>
      <c r="T181" s="151"/>
      <c r="U181" s="151"/>
      <c r="V181" s="151"/>
      <c r="W181" s="151"/>
      <c r="X181" s="151"/>
      <c r="Z181" s="109"/>
    </row>
    <row r="182" spans="5:26" s="110" customFormat="1" x14ac:dyDescent="0.25">
      <c r="E182" s="161"/>
      <c r="F182" s="159"/>
      <c r="G182" s="150"/>
      <c r="H182" s="150"/>
      <c r="I182" s="150"/>
      <c r="J182" s="150"/>
      <c r="K182" s="150"/>
      <c r="L182" s="150"/>
      <c r="M182" s="150"/>
      <c r="N182" s="150"/>
      <c r="O182" s="150"/>
      <c r="P182" s="150"/>
      <c r="Q182" s="151"/>
      <c r="R182" s="151"/>
      <c r="S182" s="151"/>
      <c r="T182" s="151"/>
      <c r="U182" s="151"/>
      <c r="V182" s="151"/>
      <c r="W182" s="151"/>
      <c r="X182" s="151"/>
      <c r="Z182" s="109"/>
    </row>
    <row r="183" spans="5:26" s="110" customFormat="1" x14ac:dyDescent="0.25">
      <c r="E183" s="161"/>
      <c r="F183" s="159"/>
      <c r="G183" s="150"/>
      <c r="H183" s="150"/>
      <c r="I183" s="150"/>
      <c r="J183" s="150"/>
      <c r="K183" s="150"/>
      <c r="L183" s="150"/>
      <c r="M183" s="150"/>
      <c r="N183" s="150"/>
      <c r="O183" s="150"/>
      <c r="P183" s="150"/>
      <c r="Q183" s="150"/>
      <c r="R183" s="151"/>
      <c r="S183" s="151"/>
      <c r="T183" s="151"/>
      <c r="U183" s="151"/>
      <c r="V183" s="151"/>
      <c r="W183" s="151"/>
      <c r="X183" s="151"/>
      <c r="Z183" s="109"/>
    </row>
    <row r="184" spans="5:26" s="110" customFormat="1" x14ac:dyDescent="0.25">
      <c r="E184" s="161"/>
      <c r="F184" s="159"/>
      <c r="G184" s="150"/>
      <c r="H184" s="150"/>
      <c r="I184" s="150"/>
      <c r="J184" s="150"/>
      <c r="K184" s="150"/>
      <c r="L184" s="150"/>
      <c r="M184" s="150"/>
      <c r="N184" s="150"/>
      <c r="O184" s="150"/>
      <c r="P184" s="150"/>
      <c r="Q184" s="150"/>
      <c r="R184" s="150"/>
      <c r="S184" s="151"/>
      <c r="T184" s="151"/>
      <c r="U184" s="151"/>
      <c r="V184" s="151"/>
      <c r="W184" s="151"/>
      <c r="X184" s="151"/>
      <c r="Z184" s="109"/>
    </row>
    <row r="185" spans="5:26" s="110" customFormat="1" x14ac:dyDescent="0.25">
      <c r="E185" s="161"/>
      <c r="F185" s="159"/>
      <c r="G185" s="150"/>
      <c r="H185" s="150"/>
      <c r="I185" s="150"/>
      <c r="J185" s="150"/>
      <c r="K185" s="150"/>
      <c r="L185" s="150"/>
      <c r="M185" s="150"/>
      <c r="N185" s="150"/>
      <c r="O185" s="150"/>
      <c r="P185" s="150"/>
      <c r="Q185" s="150"/>
      <c r="R185" s="150"/>
      <c r="S185" s="150"/>
      <c r="T185" s="151"/>
      <c r="U185" s="151"/>
      <c r="V185" s="151"/>
      <c r="W185" s="151"/>
      <c r="X185" s="151"/>
      <c r="Z185" s="109"/>
    </row>
    <row r="186" spans="5:26" s="110" customFormat="1" x14ac:dyDescent="0.25">
      <c r="E186" s="161"/>
      <c r="F186" s="159"/>
      <c r="G186" s="150"/>
      <c r="H186" s="150"/>
      <c r="I186" s="150"/>
      <c r="J186" s="150"/>
      <c r="K186" s="150"/>
      <c r="L186" s="150"/>
      <c r="M186" s="150"/>
      <c r="N186" s="150"/>
      <c r="O186" s="150"/>
      <c r="P186" s="150"/>
      <c r="Q186" s="150"/>
      <c r="R186" s="150"/>
      <c r="S186" s="150"/>
      <c r="T186" s="150"/>
      <c r="U186" s="151"/>
      <c r="V186" s="151"/>
      <c r="W186" s="151"/>
      <c r="X186" s="151"/>
      <c r="Z186" s="109"/>
    </row>
    <row r="187" spans="5:26" s="110" customFormat="1" x14ac:dyDescent="0.25">
      <c r="E187" s="161"/>
      <c r="F187" s="159"/>
      <c r="G187" s="150"/>
      <c r="H187" s="150"/>
      <c r="I187" s="150"/>
      <c r="J187" s="150"/>
      <c r="K187" s="150"/>
      <c r="L187" s="150"/>
      <c r="M187" s="150"/>
      <c r="N187" s="150"/>
      <c r="O187" s="150"/>
      <c r="P187" s="150"/>
      <c r="Q187" s="150"/>
      <c r="R187" s="150"/>
      <c r="S187" s="150"/>
      <c r="T187" s="150"/>
      <c r="U187" s="150"/>
      <c r="V187" s="151"/>
      <c r="W187" s="151"/>
      <c r="X187" s="151"/>
      <c r="Z187" s="109"/>
    </row>
    <row r="188" spans="5:26" s="110" customFormat="1" x14ac:dyDescent="0.25">
      <c r="E188" s="161"/>
      <c r="F188" s="159"/>
      <c r="G188" s="150"/>
      <c r="H188" s="150"/>
      <c r="I188" s="150"/>
      <c r="J188" s="150"/>
      <c r="K188" s="150"/>
      <c r="L188" s="150"/>
      <c r="M188" s="150"/>
      <c r="N188" s="150"/>
      <c r="O188" s="150"/>
      <c r="P188" s="150"/>
      <c r="Q188" s="150"/>
      <c r="R188" s="150"/>
      <c r="S188" s="150"/>
      <c r="T188" s="150"/>
      <c r="U188" s="150"/>
      <c r="V188" s="150"/>
      <c r="W188" s="151"/>
      <c r="X188" s="151"/>
      <c r="Z188" s="109"/>
    </row>
    <row r="189" spans="5:26" s="110" customFormat="1" x14ac:dyDescent="0.25">
      <c r="E189" s="161"/>
      <c r="F189" s="159"/>
      <c r="G189" s="150"/>
      <c r="H189" s="150"/>
      <c r="I189" s="150"/>
      <c r="J189" s="150"/>
      <c r="K189" s="150"/>
      <c r="L189" s="150"/>
      <c r="M189" s="150"/>
      <c r="N189" s="150"/>
      <c r="O189" s="150"/>
      <c r="P189" s="150"/>
      <c r="Q189" s="150"/>
      <c r="R189" s="150"/>
      <c r="S189" s="150"/>
      <c r="T189" s="150"/>
      <c r="U189" s="150"/>
      <c r="V189" s="150"/>
      <c r="W189" s="150"/>
      <c r="X189" s="151"/>
      <c r="Z189" s="109"/>
    </row>
    <row r="190" spans="5:26" s="110" customFormat="1" x14ac:dyDescent="0.25">
      <c r="E190" s="161"/>
      <c r="F190" s="159"/>
      <c r="G190" s="150"/>
      <c r="H190" s="150"/>
      <c r="I190" s="150"/>
      <c r="J190" s="150"/>
      <c r="K190" s="150"/>
      <c r="L190" s="150"/>
      <c r="M190" s="150"/>
      <c r="N190" s="150"/>
      <c r="O190" s="150"/>
      <c r="P190" s="150"/>
      <c r="Q190" s="150"/>
      <c r="R190" s="150"/>
      <c r="S190" s="150"/>
      <c r="T190" s="150"/>
      <c r="U190" s="150"/>
      <c r="V190" s="150"/>
      <c r="W190" s="150"/>
      <c r="X190" s="150"/>
      <c r="Z190" s="109"/>
    </row>
    <row r="191" spans="5:26" s="110" customFormat="1" x14ac:dyDescent="0.25">
      <c r="Z191" s="109"/>
    </row>
    <row r="192" spans="5:26" s="110" customFormat="1" x14ac:dyDescent="0.25">
      <c r="Z192" s="109"/>
    </row>
    <row r="193" spans="26:26" s="110" customFormat="1" x14ac:dyDescent="0.25">
      <c r="Z193" s="109"/>
    </row>
    <row r="194" spans="26:26" s="110" customFormat="1" x14ac:dyDescent="0.25">
      <c r="Z194" s="109"/>
    </row>
    <row r="195" spans="26:26" s="110" customFormat="1" x14ac:dyDescent="0.25">
      <c r="Z195" s="109"/>
    </row>
    <row r="196" spans="26:26" s="110" customFormat="1" x14ac:dyDescent="0.25">
      <c r="Z196" s="109"/>
    </row>
    <row r="197" spans="26:26" s="110" customFormat="1" x14ac:dyDescent="0.25">
      <c r="Z197" s="109"/>
    </row>
    <row r="198" spans="26:26" s="110" customFormat="1" x14ac:dyDescent="0.25">
      <c r="Z198" s="109"/>
    </row>
    <row r="199" spans="26:26" s="110" customFormat="1" x14ac:dyDescent="0.25">
      <c r="Z199" s="109"/>
    </row>
    <row r="200" spans="26:26" s="110" customFormat="1" x14ac:dyDescent="0.25">
      <c r="Z200" s="109"/>
    </row>
    <row r="201" spans="26:26" s="110" customFormat="1" x14ac:dyDescent="0.25">
      <c r="Z201" s="109"/>
    </row>
    <row r="202" spans="26:26" s="110" customFormat="1" x14ac:dyDescent="0.25">
      <c r="Z202" s="109"/>
    </row>
    <row r="203" spans="26:26" s="110" customFormat="1" x14ac:dyDescent="0.25">
      <c r="Z203" s="109"/>
    </row>
    <row r="204" spans="26:26" s="110" customFormat="1" x14ac:dyDescent="0.25">
      <c r="Z204" s="109"/>
    </row>
    <row r="205" spans="26:26" s="110" customFormat="1" x14ac:dyDescent="0.25">
      <c r="Z205" s="109"/>
    </row>
    <row r="206" spans="26:26" s="110" customFormat="1" x14ac:dyDescent="0.25">
      <c r="Z206" s="109"/>
    </row>
    <row r="207" spans="26:26" s="110" customFormat="1" x14ac:dyDescent="0.25">
      <c r="Z207" s="109"/>
    </row>
    <row r="208" spans="26:26" s="110" customFormat="1" x14ac:dyDescent="0.25">
      <c r="Z208" s="109"/>
    </row>
    <row r="209" spans="26:26" s="110" customFormat="1" x14ac:dyDescent="0.25">
      <c r="Z209" s="109"/>
    </row>
    <row r="210" spans="26:26" s="110" customFormat="1" x14ac:dyDescent="0.25">
      <c r="Z210" s="109"/>
    </row>
    <row r="211" spans="26:26" s="110" customFormat="1" x14ac:dyDescent="0.25">
      <c r="Z211" s="109"/>
    </row>
    <row r="212" spans="26:26" s="110" customFormat="1" x14ac:dyDescent="0.25">
      <c r="Z212" s="109"/>
    </row>
    <row r="213" spans="26:26" s="110" customFormat="1" x14ac:dyDescent="0.25">
      <c r="Z213" s="109"/>
    </row>
    <row r="214" spans="26:26" s="110" customFormat="1" x14ac:dyDescent="0.25">
      <c r="Z214" s="109"/>
    </row>
    <row r="215" spans="26:26" s="110" customFormat="1" x14ac:dyDescent="0.25">
      <c r="Z215" s="109"/>
    </row>
    <row r="216" spans="26:26" s="110" customFormat="1" x14ac:dyDescent="0.25">
      <c r="Z216" s="109"/>
    </row>
    <row r="217" spans="26:26" s="110" customFormat="1" x14ac:dyDescent="0.25">
      <c r="Z217" s="109"/>
    </row>
    <row r="218" spans="26:26" s="110" customFormat="1" x14ac:dyDescent="0.25">
      <c r="Z218" s="109"/>
    </row>
    <row r="219" spans="26:26" s="110" customFormat="1" x14ac:dyDescent="0.25">
      <c r="Z219" s="109"/>
    </row>
    <row r="220" spans="26:26" s="110" customFormat="1" x14ac:dyDescent="0.25">
      <c r="Z220" s="109"/>
    </row>
    <row r="221" spans="26:26" s="110" customFormat="1" x14ac:dyDescent="0.25">
      <c r="Z221" s="109"/>
    </row>
    <row r="222" spans="26:26" s="110" customFormat="1" x14ac:dyDescent="0.25">
      <c r="Z222" s="109"/>
    </row>
    <row r="223" spans="26:26" s="110" customFormat="1" x14ac:dyDescent="0.25">
      <c r="Z223" s="109"/>
    </row>
    <row r="224" spans="26:26" s="110" customFormat="1" x14ac:dyDescent="0.25">
      <c r="Z224" s="109"/>
    </row>
    <row r="225" spans="26:26" s="110" customFormat="1" x14ac:dyDescent="0.25">
      <c r="Z225" s="109"/>
    </row>
    <row r="226" spans="26:26" s="110" customFormat="1" x14ac:dyDescent="0.25">
      <c r="Z226" s="109"/>
    </row>
    <row r="227" spans="26:26" s="110" customFormat="1" x14ac:dyDescent="0.25">
      <c r="Z227" s="109"/>
    </row>
    <row r="228" spans="26:26" s="110" customFormat="1" x14ac:dyDescent="0.25">
      <c r="Z228" s="109"/>
    </row>
    <row r="229" spans="26:26" s="110" customFormat="1" x14ac:dyDescent="0.25">
      <c r="Z229" s="109"/>
    </row>
    <row r="230" spans="26:26" s="110" customFormat="1" x14ac:dyDescent="0.25">
      <c r="Z230" s="109"/>
    </row>
    <row r="231" spans="26:26" s="110" customFormat="1" x14ac:dyDescent="0.25">
      <c r="Z231" s="109"/>
    </row>
    <row r="232" spans="26:26" s="110" customFormat="1" x14ac:dyDescent="0.25">
      <c r="Z232" s="109"/>
    </row>
    <row r="233" spans="26:26" s="110" customFormat="1" x14ac:dyDescent="0.25">
      <c r="Z233" s="109"/>
    </row>
    <row r="234" spans="26:26" s="110" customFormat="1" x14ac:dyDescent="0.25">
      <c r="Z234" s="109"/>
    </row>
  </sheetData>
  <mergeCells count="8">
    <mergeCell ref="E65:E83"/>
    <mergeCell ref="F65:X65"/>
    <mergeCell ref="E6:E24"/>
    <mergeCell ref="F6:X6"/>
    <mergeCell ref="G38:X38"/>
    <mergeCell ref="E39:E57"/>
    <mergeCell ref="F39:X39"/>
    <mergeCell ref="G64:X64"/>
  </mergeCells>
  <conditionalFormatting sqref="AB7:AC23">
    <cfRule type="dataBar" priority="3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{81C0797F-7FF4-4680-B1E4-9F8E481C8FDC}</x14:id>
        </ext>
      </extLst>
    </cfRule>
  </conditionalFormatting>
  <conditionalFormatting sqref="AD7:AE23">
    <cfRule type="dataBar" priority="3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{6189902D-96FE-43F7-AF7B-96349488CDF7}</x14:id>
        </ext>
      </extLst>
    </cfRule>
  </conditionalFormatting>
  <conditionalFormatting sqref="AF7:AI23">
    <cfRule type="dataBar" priority="2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{84C6D795-8172-4452-A582-B9284904F8FB}</x14:id>
        </ext>
      </extLst>
    </cfRule>
  </conditionalFormatting>
  <conditionalFormatting sqref="H8:H24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9:I24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0:J24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1:K24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2:L24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3:M24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4:N24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5:O2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6:P2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7:Q2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8:R2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9:S2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0:T2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1:U2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2:V2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3:W2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5:X25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K7:AK23">
    <cfRule type="dataBar" priority="2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{38F630F7-BDFA-4EBC-B37B-6738EB3532D7}</x14:id>
        </ext>
      </extLst>
    </cfRule>
  </conditionalFormatting>
  <conditionalFormatting sqref="AM7:AM23">
    <cfRule type="expression" dxfId="3" priority="26">
      <formula>AM7&lt;AK7</formula>
    </cfRule>
  </conditionalFormatting>
  <conditionalFormatting sqref="AP7:AP23">
    <cfRule type="dataBar" priority="2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{B18BF822-6343-4DEF-A41A-FF31F64CC6BA}</x14:id>
        </ext>
      </extLst>
    </cfRule>
  </conditionalFormatting>
  <conditionalFormatting sqref="AR7:AR23">
    <cfRule type="expression" dxfId="2" priority="24">
      <formula>AR7&lt;AP7</formula>
    </cfRule>
  </conditionalFormatting>
  <conditionalFormatting sqref="G38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86:X86 G60:X63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67:X8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47:X163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1:X57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X5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90:X190 G173 G174:H174 G175:I175 G176:J176 G177:K177 G178:L178 G179:M179 G180:N180 G181:O181 G182:P182 G186:T186 G189:W189 G188:V188 G187:U187 G185:S185 G184:R184 G183:Q18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promptTitle="Select Year" prompt="Pick the year of operation (range: 1-5)" sqref="C27" xr:uid="{30C3F353-2266-4B60-9627-287D8A268D58}">
      <formula1>$A$58:$A$62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1C0797F-7FF4-4680-B1E4-9F8E481C8F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AB7:AC23</xm:sqref>
        </x14:conditionalFormatting>
        <x14:conditionalFormatting xmlns:xm="http://schemas.microsoft.com/office/excel/2006/main">
          <x14:cfRule type="dataBar" id="{6189902D-96FE-43F7-AF7B-96349488CDF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AD7:AE23</xm:sqref>
        </x14:conditionalFormatting>
        <x14:conditionalFormatting xmlns:xm="http://schemas.microsoft.com/office/excel/2006/main">
          <x14:cfRule type="dataBar" id="{84C6D795-8172-4452-A582-B9284904F8F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AF7:AI23</xm:sqref>
        </x14:conditionalFormatting>
        <x14:conditionalFormatting xmlns:xm="http://schemas.microsoft.com/office/excel/2006/main">
          <x14:cfRule type="dataBar" id="{38F630F7-BDFA-4EBC-B37B-6738EB3532D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AK7:AK23</xm:sqref>
        </x14:conditionalFormatting>
        <x14:conditionalFormatting xmlns:xm="http://schemas.microsoft.com/office/excel/2006/main">
          <x14:cfRule type="dataBar" id="{B18BF822-6343-4DEF-A41A-FF31F64CC6B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AP7:AP23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88A63-4D53-45CA-AFE9-135222D035C4}">
  <dimension ref="A1:C41"/>
  <sheetViews>
    <sheetView workbookViewId="0">
      <selection activeCell="F32" sqref="F32"/>
    </sheetView>
  </sheetViews>
  <sheetFormatPr defaultRowHeight="15" x14ac:dyDescent="0.25"/>
  <cols>
    <col min="2" max="2" width="15.7109375" style="207" bestFit="1" customWidth="1"/>
    <col min="3" max="3" width="9.28515625" bestFit="1" customWidth="1"/>
  </cols>
  <sheetData>
    <row r="1" spans="1:3" x14ac:dyDescent="0.25">
      <c r="A1" t="s">
        <v>55</v>
      </c>
      <c r="B1" s="207" t="s">
        <v>136</v>
      </c>
    </row>
    <row r="2" spans="1:3" x14ac:dyDescent="0.25">
      <c r="A2">
        <v>211</v>
      </c>
      <c r="B2" s="207">
        <v>44061.738888888889</v>
      </c>
    </row>
    <row r="3" spans="1:3" x14ac:dyDescent="0.25">
      <c r="A3">
        <v>212</v>
      </c>
      <c r="B3" s="207">
        <f>B2+5</f>
        <v>44066.738888888889</v>
      </c>
      <c r="C3" s="206"/>
    </row>
    <row r="4" spans="1:3" x14ac:dyDescent="0.25">
      <c r="A4">
        <v>213</v>
      </c>
      <c r="B4" s="207">
        <f t="shared" ref="B4:B41" si="0">B3+5</f>
        <v>44071.738888888889</v>
      </c>
    </row>
    <row r="5" spans="1:3" x14ac:dyDescent="0.25">
      <c r="A5">
        <v>214</v>
      </c>
      <c r="B5" s="207">
        <f t="shared" si="0"/>
        <v>44076.738888888889</v>
      </c>
    </row>
    <row r="6" spans="1:3" x14ac:dyDescent="0.25">
      <c r="A6">
        <v>215</v>
      </c>
      <c r="B6" s="207">
        <f t="shared" si="0"/>
        <v>44081.738888888889</v>
      </c>
    </row>
    <row r="7" spans="1:3" x14ac:dyDescent="0.25">
      <c r="A7">
        <v>216</v>
      </c>
      <c r="B7" s="207">
        <f t="shared" si="0"/>
        <v>44086.738888888889</v>
      </c>
    </row>
    <row r="8" spans="1:3" x14ac:dyDescent="0.25">
      <c r="A8">
        <v>217</v>
      </c>
      <c r="B8" s="207">
        <f t="shared" si="0"/>
        <v>44091.738888888889</v>
      </c>
    </row>
    <row r="9" spans="1:3" x14ac:dyDescent="0.25">
      <c r="A9">
        <v>218</v>
      </c>
      <c r="B9" s="207">
        <f t="shared" si="0"/>
        <v>44096.738888888889</v>
      </c>
    </row>
    <row r="10" spans="1:3" x14ac:dyDescent="0.25">
      <c r="A10">
        <v>219</v>
      </c>
      <c r="B10" s="207">
        <f t="shared" si="0"/>
        <v>44101.738888888889</v>
      </c>
    </row>
    <row r="11" spans="1:3" x14ac:dyDescent="0.25">
      <c r="A11">
        <v>220</v>
      </c>
      <c r="B11" s="207">
        <f t="shared" si="0"/>
        <v>44106.738888888889</v>
      </c>
    </row>
    <row r="12" spans="1:3" x14ac:dyDescent="0.25">
      <c r="A12">
        <v>221</v>
      </c>
      <c r="B12" s="207">
        <f t="shared" si="0"/>
        <v>44111.738888888889</v>
      </c>
    </row>
    <row r="13" spans="1:3" x14ac:dyDescent="0.25">
      <c r="A13">
        <v>222</v>
      </c>
      <c r="B13" s="207">
        <f t="shared" si="0"/>
        <v>44116.738888888889</v>
      </c>
    </row>
    <row r="14" spans="1:3" x14ac:dyDescent="0.25">
      <c r="A14">
        <v>223</v>
      </c>
      <c r="B14" s="207">
        <f t="shared" si="0"/>
        <v>44121.738888888889</v>
      </c>
    </row>
    <row r="15" spans="1:3" x14ac:dyDescent="0.25">
      <c r="A15">
        <v>224</v>
      </c>
      <c r="B15" s="207">
        <f t="shared" si="0"/>
        <v>44126.738888888889</v>
      </c>
    </row>
    <row r="16" spans="1:3" x14ac:dyDescent="0.25">
      <c r="A16">
        <v>225</v>
      </c>
      <c r="B16" s="207">
        <f t="shared" si="0"/>
        <v>44131.738888888889</v>
      </c>
    </row>
    <row r="17" spans="1:2" x14ac:dyDescent="0.25">
      <c r="A17">
        <v>226</v>
      </c>
      <c r="B17" s="207">
        <f t="shared" si="0"/>
        <v>44136.738888888889</v>
      </c>
    </row>
    <row r="18" spans="1:2" x14ac:dyDescent="0.25">
      <c r="A18">
        <v>227</v>
      </c>
      <c r="B18" s="207">
        <f t="shared" si="0"/>
        <v>44141.738888888889</v>
      </c>
    </row>
    <row r="19" spans="1:2" x14ac:dyDescent="0.25">
      <c r="A19">
        <v>228</v>
      </c>
      <c r="B19" s="207">
        <f t="shared" si="0"/>
        <v>44146.738888888889</v>
      </c>
    </row>
    <row r="20" spans="1:2" x14ac:dyDescent="0.25">
      <c r="A20">
        <v>229</v>
      </c>
      <c r="B20" s="207">
        <f t="shared" si="0"/>
        <v>44151.738888888889</v>
      </c>
    </row>
    <row r="21" spans="1:2" x14ac:dyDescent="0.25">
      <c r="A21">
        <v>230</v>
      </c>
      <c r="B21" s="207">
        <f t="shared" si="0"/>
        <v>44156.738888888889</v>
      </c>
    </row>
    <row r="22" spans="1:2" x14ac:dyDescent="0.25">
      <c r="A22">
        <v>231</v>
      </c>
      <c r="B22" s="207">
        <f t="shared" si="0"/>
        <v>44161.738888888889</v>
      </c>
    </row>
    <row r="23" spans="1:2" x14ac:dyDescent="0.25">
      <c r="A23">
        <v>232</v>
      </c>
      <c r="B23" s="207">
        <f t="shared" si="0"/>
        <v>44166.738888888889</v>
      </c>
    </row>
    <row r="24" spans="1:2" x14ac:dyDescent="0.25">
      <c r="A24">
        <v>233</v>
      </c>
      <c r="B24" s="207">
        <f t="shared" si="0"/>
        <v>44171.738888888889</v>
      </c>
    </row>
    <row r="25" spans="1:2" x14ac:dyDescent="0.25">
      <c r="A25">
        <v>234</v>
      </c>
      <c r="B25" s="207">
        <f t="shared" si="0"/>
        <v>44176.738888888889</v>
      </c>
    </row>
    <row r="26" spans="1:2" x14ac:dyDescent="0.25">
      <c r="A26">
        <v>235</v>
      </c>
      <c r="B26" s="207">
        <f t="shared" si="0"/>
        <v>44181.738888888889</v>
      </c>
    </row>
    <row r="27" spans="1:2" x14ac:dyDescent="0.25">
      <c r="A27">
        <v>236</v>
      </c>
      <c r="B27" s="207">
        <f t="shared" si="0"/>
        <v>44186.738888888889</v>
      </c>
    </row>
    <row r="28" spans="1:2" x14ac:dyDescent="0.25">
      <c r="A28">
        <v>237</v>
      </c>
      <c r="B28" s="207">
        <f t="shared" si="0"/>
        <v>44191.738888888889</v>
      </c>
    </row>
    <row r="29" spans="1:2" x14ac:dyDescent="0.25">
      <c r="A29">
        <v>238</v>
      </c>
      <c r="B29" s="207">
        <f t="shared" si="0"/>
        <v>44196.738888888889</v>
      </c>
    </row>
    <row r="30" spans="1:2" x14ac:dyDescent="0.25">
      <c r="A30">
        <v>239</v>
      </c>
      <c r="B30" s="207">
        <f t="shared" si="0"/>
        <v>44201.738888888889</v>
      </c>
    </row>
    <row r="31" spans="1:2" x14ac:dyDescent="0.25">
      <c r="A31">
        <v>240</v>
      </c>
      <c r="B31" s="207">
        <f t="shared" si="0"/>
        <v>44206.738888888889</v>
      </c>
    </row>
    <row r="32" spans="1:2" x14ac:dyDescent="0.25">
      <c r="A32">
        <v>241</v>
      </c>
      <c r="B32" s="207">
        <f t="shared" si="0"/>
        <v>44211.738888888889</v>
      </c>
    </row>
    <row r="33" spans="1:2" x14ac:dyDescent="0.25">
      <c r="A33">
        <v>242</v>
      </c>
      <c r="B33" s="207">
        <f t="shared" si="0"/>
        <v>44216.738888888889</v>
      </c>
    </row>
    <row r="34" spans="1:2" x14ac:dyDescent="0.25">
      <c r="A34">
        <v>243</v>
      </c>
      <c r="B34" s="207">
        <f t="shared" si="0"/>
        <v>44221.738888888889</v>
      </c>
    </row>
    <row r="35" spans="1:2" x14ac:dyDescent="0.25">
      <c r="A35">
        <v>244</v>
      </c>
      <c r="B35" s="207">
        <f t="shared" si="0"/>
        <v>44226.738888888889</v>
      </c>
    </row>
    <row r="36" spans="1:2" x14ac:dyDescent="0.25">
      <c r="A36">
        <v>245</v>
      </c>
      <c r="B36" s="207">
        <f t="shared" si="0"/>
        <v>44231.738888888889</v>
      </c>
    </row>
    <row r="37" spans="1:2" x14ac:dyDescent="0.25">
      <c r="A37">
        <v>246</v>
      </c>
      <c r="B37" s="207">
        <f t="shared" si="0"/>
        <v>44236.738888888889</v>
      </c>
    </row>
    <row r="38" spans="1:2" x14ac:dyDescent="0.25">
      <c r="A38">
        <v>247</v>
      </c>
      <c r="B38" s="207">
        <f t="shared" si="0"/>
        <v>44241.738888888889</v>
      </c>
    </row>
    <row r="39" spans="1:2" x14ac:dyDescent="0.25">
      <c r="A39">
        <v>248</v>
      </c>
      <c r="B39" s="207">
        <f t="shared" si="0"/>
        <v>44246.738888888889</v>
      </c>
    </row>
    <row r="40" spans="1:2" x14ac:dyDescent="0.25">
      <c r="A40">
        <v>249</v>
      </c>
      <c r="B40" s="207">
        <f t="shared" si="0"/>
        <v>44251.738888888889</v>
      </c>
    </row>
    <row r="41" spans="1:2" x14ac:dyDescent="0.25">
      <c r="A41">
        <v>250</v>
      </c>
      <c r="B41" s="207">
        <f t="shared" si="0"/>
        <v>44256.738888888889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3BDF7-BE42-4DEF-AF56-AD9FC318459F}">
  <dimension ref="A1"/>
  <sheetViews>
    <sheetView topLeftCell="A9" zoomScaleNormal="100" workbookViewId="0">
      <selection activeCell="Z39" sqref="Z3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B5E65-8124-4D59-B83F-04A19C4FEFFF}">
  <dimension ref="B1:R42"/>
  <sheetViews>
    <sheetView topLeftCell="B1" zoomScaleNormal="100" workbookViewId="0">
      <selection activeCell="O6" sqref="O6"/>
    </sheetView>
  </sheetViews>
  <sheetFormatPr defaultColWidth="9.140625" defaultRowHeight="15" x14ac:dyDescent="0.25"/>
  <cols>
    <col min="1" max="1" width="9.140625" style="6"/>
    <col min="2" max="2" width="11.85546875" style="6" customWidth="1"/>
    <col min="3" max="9" width="9.140625" style="6"/>
    <col min="10" max="10" width="9.140625" style="6" customWidth="1"/>
    <col min="11" max="16" width="9.140625" style="6"/>
    <col min="17" max="17" width="53.5703125" style="6" bestFit="1" customWidth="1"/>
    <col min="18" max="18" width="25.7109375" style="6" bestFit="1" customWidth="1"/>
    <col min="19" max="16384" width="9.140625" style="6"/>
  </cols>
  <sheetData>
    <row r="1" spans="2:18" ht="15.75" thickBot="1" x14ac:dyDescent="0.3"/>
    <row r="2" spans="2:18" ht="27" thickBot="1" x14ac:dyDescent="0.45">
      <c r="E2" s="301" t="s">
        <v>97</v>
      </c>
      <c r="F2" s="302"/>
      <c r="G2" s="303"/>
      <c r="K2" s="301" t="s">
        <v>89</v>
      </c>
      <c r="L2" s="302"/>
      <c r="M2" s="303"/>
      <c r="R2" s="286" t="s">
        <v>141</v>
      </c>
    </row>
    <row r="4" spans="2:18" ht="26.25" x14ac:dyDescent="0.4">
      <c r="R4" s="283" t="s">
        <v>164</v>
      </c>
    </row>
    <row r="5" spans="2:18" ht="26.25" x14ac:dyDescent="0.4">
      <c r="Q5" s="279" t="s">
        <v>159</v>
      </c>
      <c r="R5" s="281">
        <v>25000000</v>
      </c>
    </row>
    <row r="6" spans="2:18" ht="26.25" x14ac:dyDescent="0.4">
      <c r="Q6" s="279" t="s">
        <v>166</v>
      </c>
      <c r="R6" s="281">
        <v>250000</v>
      </c>
    </row>
    <row r="7" spans="2:18" ht="26.25" x14ac:dyDescent="0.4">
      <c r="Q7" s="279" t="s">
        <v>131</v>
      </c>
      <c r="R7" s="281">
        <v>100000</v>
      </c>
    </row>
    <row r="8" spans="2:18" ht="26.25" x14ac:dyDescent="0.4">
      <c r="Q8" s="279" t="s">
        <v>160</v>
      </c>
      <c r="R8" s="281">
        <v>340</v>
      </c>
    </row>
    <row r="9" spans="2:18" ht="26.25" x14ac:dyDescent="0.4">
      <c r="Q9" s="279" t="s">
        <v>161</v>
      </c>
      <c r="R9" s="282">
        <v>0.05</v>
      </c>
    </row>
    <row r="10" spans="2:18" ht="23.25" x14ac:dyDescent="0.35">
      <c r="B10" s="287" t="s">
        <v>54</v>
      </c>
    </row>
    <row r="12" spans="2:18" ht="26.25" x14ac:dyDescent="0.4">
      <c r="Q12" s="279"/>
      <c r="R12" s="283" t="s">
        <v>165</v>
      </c>
    </row>
    <row r="13" spans="2:18" ht="26.25" x14ac:dyDescent="0.4">
      <c r="Q13" s="279" t="s">
        <v>132</v>
      </c>
      <c r="R13" s="280">
        <f xml:space="preserve"> 'Reward mechanism'!R7/'Reward mechanism'!R5* Pool_calculations!C46</f>
        <v>84.492832994160395</v>
      </c>
    </row>
    <row r="14" spans="2:18" ht="26.25" x14ac:dyDescent="0.4">
      <c r="Q14" s="279" t="s">
        <v>107</v>
      </c>
      <c r="R14" s="284">
        <v>1.2</v>
      </c>
    </row>
    <row r="15" spans="2:18" ht="26.25" x14ac:dyDescent="0.4">
      <c r="Q15" s="279" t="s">
        <v>162</v>
      </c>
      <c r="R15" s="280">
        <f>R13*R14</f>
        <v>101.39139959299247</v>
      </c>
    </row>
    <row r="16" spans="2:18" ht="26.25" x14ac:dyDescent="0.4">
      <c r="Q16" s="279" t="s">
        <v>163</v>
      </c>
      <c r="R16" s="285">
        <f>(R15/R7+1)^73 -1</f>
        <v>7.6783357485194603E-2</v>
      </c>
    </row>
    <row r="42" spans="5:5" x14ac:dyDescent="0.25">
      <c r="E42" s="17" t="s">
        <v>98</v>
      </c>
    </row>
  </sheetData>
  <mergeCells count="2">
    <mergeCell ref="K2:M2"/>
    <mergeCell ref="E2:G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317E1-9E86-4EA9-9481-3906F3508E20}">
  <dimension ref="A1:AT234"/>
  <sheetViews>
    <sheetView topLeftCell="B13" zoomScale="85" zoomScaleNormal="85" workbookViewId="0">
      <selection activeCell="C44" sqref="C44"/>
    </sheetView>
  </sheetViews>
  <sheetFormatPr defaultRowHeight="15" x14ac:dyDescent="0.25"/>
  <cols>
    <col min="1" max="1" width="4" style="6" bestFit="1" customWidth="1"/>
    <col min="2" max="2" width="40.85546875" bestFit="1" customWidth="1"/>
    <col min="3" max="3" width="14.85546875" bestFit="1" customWidth="1"/>
    <col min="4" max="4" width="41" style="6" bestFit="1" customWidth="1"/>
    <col min="5" max="5" width="10.42578125" customWidth="1"/>
    <col min="6" max="6" width="12" customWidth="1"/>
    <col min="7" max="24" width="10.85546875" customWidth="1"/>
    <col min="25" max="25" width="8.140625" bestFit="1" customWidth="1"/>
    <col min="26" max="26" width="15.42578125" style="1" bestFit="1" customWidth="1"/>
    <col min="27" max="27" width="5.28515625" style="6" customWidth="1"/>
    <col min="28" max="28" width="21.140625" bestFit="1" customWidth="1"/>
    <col min="29" max="29" width="2.5703125" customWidth="1"/>
    <col min="30" max="30" width="21.7109375" bestFit="1" customWidth="1"/>
    <col min="31" max="31" width="2" style="6" customWidth="1"/>
    <col min="32" max="32" width="20.7109375" bestFit="1" customWidth="1"/>
    <col min="33" max="33" width="1.7109375" style="6" customWidth="1"/>
    <col min="34" max="34" width="20.7109375" bestFit="1" customWidth="1"/>
    <col min="35" max="35" width="6.7109375" customWidth="1"/>
    <col min="36" max="36" width="11.7109375" customWidth="1"/>
    <col min="37" max="37" width="22.28515625" customWidth="1"/>
    <col min="38" max="38" width="1.85546875" customWidth="1"/>
    <col min="39" max="39" width="20.85546875" customWidth="1"/>
    <col min="41" max="41" width="8.85546875" customWidth="1"/>
    <col min="42" max="42" width="24.85546875" customWidth="1"/>
    <col min="43" max="43" width="1.7109375" customWidth="1"/>
    <col min="44" max="44" width="20.42578125" customWidth="1"/>
    <col min="57" max="57" width="11.28515625" bestFit="1" customWidth="1"/>
  </cols>
  <sheetData>
    <row r="1" spans="1:46" x14ac:dyDescent="0.25">
      <c r="B1" s="6"/>
      <c r="C1" s="6"/>
      <c r="E1" s="17" t="s">
        <v>55</v>
      </c>
      <c r="F1" s="31">
        <f>$C$27</f>
        <v>217</v>
      </c>
      <c r="G1" s="89">
        <v>0</v>
      </c>
      <c r="H1" s="216">
        <v>7.0878172863681301E-4</v>
      </c>
      <c r="I1" s="216">
        <v>1.1813028810613551E-3</v>
      </c>
      <c r="J1" s="217">
        <v>9.4504230484908393E-3</v>
      </c>
      <c r="K1" s="217">
        <v>1.8924565042470826E-2</v>
      </c>
      <c r="L1" s="89">
        <v>0.04</v>
      </c>
      <c r="M1" s="89">
        <v>0.06</v>
      </c>
      <c r="N1" s="89">
        <v>0.08</v>
      </c>
      <c r="O1" s="89">
        <v>0.1</v>
      </c>
      <c r="P1" s="89">
        <v>0.2</v>
      </c>
      <c r="Q1" s="89">
        <v>0.3</v>
      </c>
      <c r="R1" s="89">
        <v>0.4</v>
      </c>
      <c r="S1" s="89">
        <v>0.45</v>
      </c>
      <c r="T1" s="89">
        <v>0.5</v>
      </c>
      <c r="U1" s="89">
        <v>0.75</v>
      </c>
      <c r="V1" s="89">
        <v>0.8</v>
      </c>
      <c r="W1" s="89">
        <v>0.95</v>
      </c>
      <c r="X1" s="89">
        <v>1</v>
      </c>
      <c r="AC1" s="6"/>
    </row>
    <row r="2" spans="1:46" x14ac:dyDescent="0.25">
      <c r="B2" s="6"/>
      <c r="C2" s="6"/>
      <c r="E2" s="17" t="s">
        <v>72</v>
      </c>
      <c r="F2" s="71">
        <f>$C$39</f>
        <v>9.5000000000000001E-2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Z2" s="109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</row>
    <row r="3" spans="1:46" x14ac:dyDescent="0.25">
      <c r="B3" s="6"/>
      <c r="C3" s="6"/>
      <c r="E3" s="17" t="s">
        <v>71</v>
      </c>
      <c r="F3" s="72">
        <f>$C$41</f>
        <v>0.05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Z3" s="109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/>
      <c r="AQ3" s="110"/>
      <c r="AR3" s="110"/>
      <c r="AS3" s="110"/>
      <c r="AT3" s="110"/>
    </row>
    <row r="4" spans="1:46" x14ac:dyDescent="0.25">
      <c r="B4" s="6"/>
      <c r="C4" s="6"/>
      <c r="E4" s="17" t="s">
        <v>46</v>
      </c>
      <c r="F4" s="102">
        <f>$C$42</f>
        <v>250000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Z4" s="109"/>
      <c r="AA4" s="110"/>
      <c r="AB4" s="110"/>
      <c r="AC4" s="110"/>
      <c r="AD4" s="110"/>
      <c r="AE4" s="110"/>
      <c r="AF4" s="110"/>
      <c r="AG4" s="110"/>
      <c r="AH4" s="110"/>
      <c r="AI4" s="110"/>
      <c r="AJ4" s="110"/>
      <c r="AK4" s="110"/>
      <c r="AL4" s="110"/>
      <c r="AM4" s="110"/>
      <c r="AN4" s="110"/>
      <c r="AO4" s="110"/>
      <c r="AP4" s="110"/>
      <c r="AQ4" s="110"/>
      <c r="AR4" s="110"/>
      <c r="AS4" s="110"/>
      <c r="AT4" s="110"/>
    </row>
    <row r="5" spans="1:46" ht="18.75" x14ac:dyDescent="0.3">
      <c r="B5" s="6"/>
      <c r="C5" s="6"/>
      <c r="E5" s="94" t="s">
        <v>87</v>
      </c>
      <c r="F5" s="103">
        <f>$C$28</f>
        <v>150</v>
      </c>
      <c r="G5" s="5"/>
      <c r="H5" s="5"/>
      <c r="I5" s="5"/>
      <c r="J5" s="5"/>
      <c r="K5" s="5"/>
      <c r="L5" s="5"/>
      <c r="M5" s="5"/>
      <c r="N5" s="5"/>
      <c r="O5" s="218" t="s">
        <v>127</v>
      </c>
      <c r="P5" s="5"/>
      <c r="Q5" s="5"/>
      <c r="R5" s="5"/>
      <c r="S5" s="5"/>
      <c r="T5" s="5"/>
      <c r="U5" s="5"/>
      <c r="V5" s="5"/>
      <c r="W5" s="5"/>
      <c r="X5" s="5"/>
      <c r="Z5" s="109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0"/>
    </row>
    <row r="6" spans="1:46" ht="15" customHeight="1" x14ac:dyDescent="0.25">
      <c r="B6" s="3" t="s">
        <v>26</v>
      </c>
      <c r="C6" s="3" t="s">
        <v>4</v>
      </c>
      <c r="D6" s="17" t="s">
        <v>27</v>
      </c>
      <c r="E6" s="292" t="s">
        <v>28</v>
      </c>
      <c r="F6" s="293" t="s">
        <v>31</v>
      </c>
      <c r="G6" s="293"/>
      <c r="H6" s="293"/>
      <c r="I6" s="293"/>
      <c r="J6" s="293"/>
      <c r="K6" s="293"/>
      <c r="L6" s="293"/>
      <c r="M6" s="293"/>
      <c r="N6" s="293"/>
      <c r="O6" s="293"/>
      <c r="P6" s="293"/>
      <c r="Q6" s="293"/>
      <c r="R6" s="293"/>
      <c r="S6" s="293"/>
      <c r="T6" s="293"/>
      <c r="U6" s="293"/>
      <c r="V6" s="293"/>
      <c r="W6" s="293"/>
      <c r="X6" s="293"/>
      <c r="Z6" s="111"/>
      <c r="AA6" s="110"/>
      <c r="AB6" s="111"/>
      <c r="AC6" s="111"/>
      <c r="AD6" s="112"/>
      <c r="AE6" s="112"/>
      <c r="AF6" s="112"/>
      <c r="AG6" s="112"/>
      <c r="AH6" s="112"/>
      <c r="AI6" s="112"/>
      <c r="AJ6" s="111"/>
      <c r="AK6" s="112"/>
      <c r="AL6" s="110"/>
      <c r="AM6" s="112"/>
      <c r="AN6" s="110"/>
      <c r="AO6" s="111"/>
      <c r="AP6" s="112"/>
      <c r="AQ6" s="110"/>
      <c r="AR6" s="112"/>
      <c r="AS6" s="110"/>
      <c r="AT6" s="110"/>
    </row>
    <row r="7" spans="1:46" x14ac:dyDescent="0.25">
      <c r="A7" s="6">
        <v>1</v>
      </c>
      <c r="B7" s="31" t="s">
        <v>0</v>
      </c>
      <c r="C7" s="106">
        <f>nOps</f>
        <v>150</v>
      </c>
      <c r="D7" s="6" t="s">
        <v>1</v>
      </c>
      <c r="E7" s="292"/>
      <c r="F7" s="9">
        <f>C48</f>
        <v>6.3593985226913619E-2</v>
      </c>
      <c r="G7" s="10">
        <v>100000</v>
      </c>
      <c r="H7" s="10">
        <f t="shared" ref="H7:X7" si="0">H1*saturation_point</f>
        <v>150931.57994213203</v>
      </c>
      <c r="I7" s="10">
        <f t="shared" si="0"/>
        <v>251552.63323688676</v>
      </c>
      <c r="J7" s="10">
        <f t="shared" si="0"/>
        <v>2012421.0658950936</v>
      </c>
      <c r="K7" s="10">
        <f t="shared" si="0"/>
        <v>4029892.9644691329</v>
      </c>
      <c r="L7" s="10">
        <f t="shared" si="0"/>
        <v>8517803.0891070515</v>
      </c>
      <c r="M7" s="10">
        <f t="shared" si="0"/>
        <v>12776704.633660575</v>
      </c>
      <c r="N7" s="10">
        <f t="shared" si="0"/>
        <v>17035606.178214103</v>
      </c>
      <c r="O7" s="10">
        <f t="shared" si="0"/>
        <v>21294507.722767629</v>
      </c>
      <c r="P7" s="10">
        <f t="shared" si="0"/>
        <v>42589015.445535257</v>
      </c>
      <c r="Q7" s="10">
        <f t="shared" si="0"/>
        <v>63883523.168302879</v>
      </c>
      <c r="R7" s="10">
        <f t="shared" si="0"/>
        <v>85178030.891070515</v>
      </c>
      <c r="S7" s="10">
        <f t="shared" si="0"/>
        <v>95825284.752454326</v>
      </c>
      <c r="T7" s="10">
        <f t="shared" si="0"/>
        <v>106472538.61383814</v>
      </c>
      <c r="U7" s="10">
        <f t="shared" si="0"/>
        <v>159708807.9207572</v>
      </c>
      <c r="V7" s="10">
        <f t="shared" si="0"/>
        <v>170356061.78214103</v>
      </c>
      <c r="W7" s="10">
        <f t="shared" si="0"/>
        <v>202297823.36629245</v>
      </c>
      <c r="X7" s="11">
        <f t="shared" si="0"/>
        <v>212945077.22767627</v>
      </c>
      <c r="Z7" s="113"/>
      <c r="AA7" s="114"/>
      <c r="AB7" s="115"/>
      <c r="AC7" s="115"/>
      <c r="AD7" s="115"/>
      <c r="AE7" s="116"/>
      <c r="AF7" s="115"/>
      <c r="AG7" s="115"/>
      <c r="AH7" s="115"/>
      <c r="AI7" s="116"/>
      <c r="AJ7" s="117"/>
      <c r="AK7" s="118"/>
      <c r="AL7" s="114"/>
      <c r="AM7" s="118"/>
      <c r="AN7" s="110"/>
      <c r="AO7" s="117"/>
      <c r="AP7" s="118"/>
      <c r="AQ7" s="114"/>
      <c r="AR7" s="118"/>
      <c r="AS7" s="110"/>
      <c r="AT7" s="110"/>
    </row>
    <row r="8" spans="1:46" ht="15.75" thickBot="1" x14ac:dyDescent="0.3">
      <c r="A8" s="6">
        <v>2</v>
      </c>
      <c r="B8" s="31" t="s">
        <v>37</v>
      </c>
      <c r="C8" s="107">
        <v>0.3</v>
      </c>
      <c r="D8" s="23" t="s">
        <v>35</v>
      </c>
      <c r="E8" s="292"/>
      <c r="F8" s="12">
        <v>150000</v>
      </c>
      <c r="G8" s="13">
        <f t="dataTable" ref="G8:X24" dt2D="1" dtr="1" r1="C42" r2="C43" ca="1"/>
        <v>5.6475806400652084E-2</v>
      </c>
      <c r="H8" s="13">
        <v>5.6473010198396567E-2</v>
      </c>
      <c r="I8" s="61">
        <v>5.6459182580491429E-2</v>
      </c>
      <c r="J8" s="63">
        <v>5.4434311706238692E-2</v>
      </c>
      <c r="K8" s="61">
        <v>4.7993277774679655E-2</v>
      </c>
      <c r="L8" s="61">
        <v>1.8357954947729294E-2</v>
      </c>
      <c r="M8" s="61">
        <v>-2.7864503937891416E-2</v>
      </c>
      <c r="N8" s="61">
        <v>-8.9238341062854443E-2</v>
      </c>
      <c r="O8" s="61">
        <v>-0.162639581468081</v>
      </c>
      <c r="P8" s="61">
        <v>-0.58630333647135979</v>
      </c>
      <c r="Q8" s="61">
        <v>-0.87435634857675182</v>
      </c>
      <c r="R8" s="61">
        <v>-0.97710255855753902</v>
      </c>
      <c r="S8" s="61">
        <v>-0.99201542108984231</v>
      </c>
      <c r="T8" s="61">
        <v>-0.99758506163985705</v>
      </c>
      <c r="U8" s="61">
        <v>-0.99999945624891307</v>
      </c>
      <c r="V8" s="61">
        <v>-0.99999994221347621</v>
      </c>
      <c r="W8" s="61">
        <v>-0.99999999998330835</v>
      </c>
      <c r="X8" s="62">
        <v>-0.99999999999936873</v>
      </c>
      <c r="Z8" s="113"/>
      <c r="AA8" s="114"/>
      <c r="AB8" s="115"/>
      <c r="AC8" s="115"/>
      <c r="AD8" s="115"/>
      <c r="AE8" s="116"/>
      <c r="AF8" s="115"/>
      <c r="AG8" s="115"/>
      <c r="AH8" s="115"/>
      <c r="AI8" s="116"/>
      <c r="AJ8" s="117"/>
      <c r="AK8" s="118"/>
      <c r="AL8" s="114"/>
      <c r="AM8" s="118"/>
      <c r="AN8" s="110"/>
      <c r="AO8" s="117"/>
      <c r="AP8" s="118"/>
      <c r="AQ8" s="114"/>
      <c r="AR8" s="118"/>
      <c r="AS8" s="110"/>
      <c r="AT8" s="110"/>
    </row>
    <row r="9" spans="1:46" ht="15.75" thickBot="1" x14ac:dyDescent="0.3">
      <c r="A9" s="6">
        <v>3</v>
      </c>
      <c r="B9" s="31" t="s">
        <v>2</v>
      </c>
      <c r="C9" s="108">
        <v>1</v>
      </c>
      <c r="D9" s="6" t="s">
        <v>11</v>
      </c>
      <c r="E9" s="292"/>
      <c r="F9" s="12">
        <v>250000</v>
      </c>
      <c r="G9" s="13">
        <v>5.6477985999623614E-2</v>
      </c>
      <c r="H9" s="13">
        <v>5.6477975392827506E-2</v>
      </c>
      <c r="I9" s="210">
        <v>5.6472974666054832E-2</v>
      </c>
      <c r="J9" s="63">
        <v>5.5315693960732659E-2</v>
      </c>
      <c r="K9" s="61">
        <v>5.15107276352893E-2</v>
      </c>
      <c r="L9" s="61">
        <v>3.3721873704177341E-2</v>
      </c>
      <c r="M9" s="61">
        <v>5.4640315576375276E-3</v>
      </c>
      <c r="N9" s="61">
        <v>-3.294869403499967E-2</v>
      </c>
      <c r="O9" s="61">
        <v>-8.030288942243391E-2</v>
      </c>
      <c r="P9" s="61">
        <v>-0.3962282181253326</v>
      </c>
      <c r="Q9" s="61">
        <v>-0.70255529267384276</v>
      </c>
      <c r="R9" s="61">
        <v>-0.89095998694565115</v>
      </c>
      <c r="S9" s="61">
        <v>-0.94112268571625612</v>
      </c>
      <c r="T9" s="61">
        <v>-0.97061803999044816</v>
      </c>
      <c r="U9" s="61">
        <v>-0.99974506462797508</v>
      </c>
      <c r="V9" s="61">
        <v>-0.99992525170201119</v>
      </c>
      <c r="W9" s="61">
        <v>-0.99999900204586289</v>
      </c>
      <c r="X9" s="62">
        <v>-0.9999998122462963</v>
      </c>
      <c r="Z9" s="113"/>
      <c r="AA9" s="114"/>
      <c r="AB9" s="115"/>
      <c r="AC9" s="115"/>
      <c r="AD9" s="115"/>
      <c r="AE9" s="116"/>
      <c r="AF9" s="115"/>
      <c r="AG9" s="115"/>
      <c r="AH9" s="115"/>
      <c r="AI9" s="116"/>
      <c r="AJ9" s="117"/>
      <c r="AK9" s="118"/>
      <c r="AL9" s="114"/>
      <c r="AM9" s="118"/>
      <c r="AN9" s="110"/>
      <c r="AO9" s="117"/>
      <c r="AP9" s="118"/>
      <c r="AQ9" s="114"/>
      <c r="AR9" s="118"/>
      <c r="AS9" s="110"/>
      <c r="AT9" s="110"/>
    </row>
    <row r="10" spans="1:46" x14ac:dyDescent="0.25">
      <c r="A10" s="6">
        <v>4</v>
      </c>
      <c r="B10" s="32" t="s">
        <v>3</v>
      </c>
      <c r="C10" s="129">
        <f>C42/C32</f>
        <v>7.8267442871417156E-6</v>
      </c>
      <c r="D10" s="6" t="s">
        <v>50</v>
      </c>
      <c r="E10" s="292"/>
      <c r="F10" s="12">
        <v>2000000</v>
      </c>
      <c r="G10" s="13">
        <v>5.6480846729979328E-2</v>
      </c>
      <c r="H10" s="13">
        <v>5.6484492245470364E-2</v>
      </c>
      <c r="I10" s="13">
        <v>5.6491077047860827E-2</v>
      </c>
      <c r="J10" s="13">
        <v>5.6473610981951694E-2</v>
      </c>
      <c r="K10" s="61">
        <v>5.6145056643767344E-2</v>
      </c>
      <c r="L10" s="61">
        <v>5.4234422025377649E-2</v>
      </c>
      <c r="M10" s="61">
        <v>5.0923109491632701E-2</v>
      </c>
      <c r="N10" s="61">
        <v>4.6166590419900455E-2</v>
      </c>
      <c r="O10" s="61">
        <v>3.9984324168277574E-2</v>
      </c>
      <c r="P10" s="61">
        <v>-1.1240207220107767E-2</v>
      </c>
      <c r="Q10" s="61">
        <v>-9.213961398553594E-2</v>
      </c>
      <c r="R10" s="61">
        <v>-0.1950693816622926</v>
      </c>
      <c r="S10" s="61">
        <v>-0.25198607468304202</v>
      </c>
      <c r="T10" s="61">
        <v>-0.31097692399396271</v>
      </c>
      <c r="U10" s="61">
        <v>-0.60010575181388781</v>
      </c>
      <c r="V10" s="61">
        <v>-0.6508718512752365</v>
      </c>
      <c r="W10" s="61">
        <v>-0.78005173839323094</v>
      </c>
      <c r="X10" s="62">
        <v>-0.81489356416091474</v>
      </c>
      <c r="Z10" s="113"/>
      <c r="AA10" s="114"/>
      <c r="AB10" s="115"/>
      <c r="AC10" s="115"/>
      <c r="AD10" s="115"/>
      <c r="AE10" s="116"/>
      <c r="AF10" s="115"/>
      <c r="AG10" s="115"/>
      <c r="AH10" s="115"/>
      <c r="AI10" s="116"/>
      <c r="AJ10" s="117"/>
      <c r="AK10" s="118"/>
      <c r="AL10" s="114"/>
      <c r="AM10" s="118"/>
      <c r="AN10" s="110"/>
      <c r="AO10" s="117"/>
      <c r="AP10" s="118"/>
      <c r="AQ10" s="114"/>
      <c r="AR10" s="118"/>
      <c r="AS10" s="110"/>
      <c r="AT10" s="110"/>
    </row>
    <row r="11" spans="1:46" ht="19.5" customHeight="1" x14ac:dyDescent="0.25">
      <c r="A11" s="6">
        <v>5</v>
      </c>
      <c r="B11" s="32" t="s">
        <v>5</v>
      </c>
      <c r="C11" s="130">
        <f>C43/C32</f>
        <v>7.8267442871417161E-4</v>
      </c>
      <c r="D11" s="6" t="s">
        <v>36</v>
      </c>
      <c r="E11" s="292"/>
      <c r="F11" s="12">
        <f t="shared" ref="F11:F24" si="1">Y68*$C$36</f>
        <v>9965854.4984438159</v>
      </c>
      <c r="G11" s="13">
        <v>5.6481173391047967E-2</v>
      </c>
      <c r="H11" s="13">
        <v>5.6485236393197802E-2</v>
      </c>
      <c r="I11" s="13">
        <v>5.6493144138857865E-2</v>
      </c>
      <c r="J11" s="13">
        <v>5.6605910690943784E-2</v>
      </c>
      <c r="K11" s="13">
        <v>5.6675520379096955E-2</v>
      </c>
      <c r="L11" s="61">
        <v>5.6602092556814476E-2</v>
      </c>
      <c r="M11" s="61">
        <v>5.624121841573726E-2</v>
      </c>
      <c r="N11" s="61">
        <v>5.5597063707294447E-2</v>
      </c>
      <c r="O11" s="61">
        <v>5.4670139777369675E-2</v>
      </c>
      <c r="P11" s="61">
        <v>4.5827505603754259E-2</v>
      </c>
      <c r="Q11" s="61">
        <v>3.0119608490803751E-2</v>
      </c>
      <c r="R11" s="61">
        <v>7.8539903765488805E-3</v>
      </c>
      <c r="S11" s="61">
        <v>-5.6078109843676893E-3</v>
      </c>
      <c r="T11" s="61">
        <v>-2.053857648655355E-2</v>
      </c>
      <c r="U11" s="61">
        <v>-0.11455614522944568</v>
      </c>
      <c r="V11" s="61">
        <v>-0.13663065160726362</v>
      </c>
      <c r="W11" s="61">
        <v>-0.20769588873949452</v>
      </c>
      <c r="X11" s="62">
        <v>-0.23266745207027495</v>
      </c>
      <c r="Z11" s="113"/>
      <c r="AA11" s="114"/>
      <c r="AB11" s="115"/>
      <c r="AC11" s="115"/>
      <c r="AD11" s="115"/>
      <c r="AE11" s="116"/>
      <c r="AF11" s="115"/>
      <c r="AG11" s="115"/>
      <c r="AH11" s="115"/>
      <c r="AI11" s="116"/>
      <c r="AJ11" s="117"/>
      <c r="AK11" s="118"/>
      <c r="AL11" s="114"/>
      <c r="AM11" s="118"/>
      <c r="AN11" s="110"/>
      <c r="AO11" s="117"/>
      <c r="AP11" s="118"/>
      <c r="AQ11" s="114"/>
      <c r="AR11" s="118"/>
      <c r="AS11" s="110"/>
      <c r="AT11" s="110"/>
    </row>
    <row r="12" spans="1:46" x14ac:dyDescent="0.25">
      <c r="A12" s="6">
        <v>6</v>
      </c>
      <c r="B12" s="31" t="s">
        <v>38</v>
      </c>
      <c r="C12" s="95">
        <f>1/C7</f>
        <v>6.6666666666666671E-3</v>
      </c>
      <c r="D12" s="6" t="s">
        <v>8</v>
      </c>
      <c r="E12" s="292"/>
      <c r="F12" s="12">
        <v>11000000</v>
      </c>
      <c r="G12" s="13">
        <v>5.6481181101564637E-2</v>
      </c>
      <c r="H12" s="13">
        <v>5.6485253958104886E-2</v>
      </c>
      <c r="I12" s="13">
        <v>5.6493192930619163E-2</v>
      </c>
      <c r="J12" s="13">
        <v>5.6609033697726741E-2</v>
      </c>
      <c r="K12" s="13">
        <v>5.6688044647470681E-2</v>
      </c>
      <c r="L12" s="13">
        <v>5.6658042489810434E-2</v>
      </c>
      <c r="M12" s="61">
        <v>5.6367067465901366E-2</v>
      </c>
      <c r="N12" s="61">
        <v>5.5820670995142541E-2</v>
      </c>
      <c r="O12" s="61">
        <v>5.501924408053771E-2</v>
      </c>
      <c r="P12" s="61">
        <v>4.7213053033558161E-2</v>
      </c>
      <c r="Q12" s="61">
        <v>3.3193412980250692E-2</v>
      </c>
      <c r="R12" s="61">
        <v>1.3208142024085268E-2</v>
      </c>
      <c r="S12" s="61">
        <v>1.0839092326864197E-3</v>
      </c>
      <c r="T12" s="61">
        <v>-1.2393219739953776E-2</v>
      </c>
      <c r="U12" s="61">
        <v>-9.7880058858817121E-2</v>
      </c>
      <c r="V12" s="61">
        <v>-0.11809997365286695</v>
      </c>
      <c r="W12" s="61">
        <v>-0.18358320271474782</v>
      </c>
      <c r="X12" s="62">
        <v>-0.20673873898358885</v>
      </c>
      <c r="Z12" s="113"/>
      <c r="AA12" s="114"/>
      <c r="AB12" s="115"/>
      <c r="AC12" s="115"/>
      <c r="AD12" s="115"/>
      <c r="AE12" s="116"/>
      <c r="AF12" s="115"/>
      <c r="AG12" s="115"/>
      <c r="AH12" s="115"/>
      <c r="AI12" s="116"/>
      <c r="AJ12" s="117"/>
      <c r="AK12" s="118"/>
      <c r="AL12" s="114"/>
      <c r="AM12" s="118"/>
      <c r="AN12" s="110"/>
      <c r="AO12" s="117"/>
      <c r="AP12" s="118"/>
      <c r="AQ12" s="114"/>
      <c r="AR12" s="118"/>
      <c r="AS12" s="110"/>
      <c r="AT12" s="110"/>
    </row>
    <row r="13" spans="1:46" x14ac:dyDescent="0.25">
      <c r="A13" s="6">
        <v>7</v>
      </c>
      <c r="B13" s="32" t="s">
        <v>6</v>
      </c>
      <c r="C13" s="96">
        <f>MIN(C11,C12)</f>
        <v>7.8267442871417161E-4</v>
      </c>
      <c r="D13" s="6" t="s">
        <v>7</v>
      </c>
      <c r="E13" s="292"/>
      <c r="F13" s="12">
        <f t="shared" si="1"/>
        <v>31941761.584151439</v>
      </c>
      <c r="G13" s="13">
        <v>5.6481229817525236E-2</v>
      </c>
      <c r="H13" s="13">
        <v>5.6485364935154214E-2</v>
      </c>
      <c r="I13" s="13">
        <v>5.6493501202510288E-2</v>
      </c>
      <c r="J13" s="13">
        <v>5.6628765411326665E-2</v>
      </c>
      <c r="K13" s="13">
        <v>5.6767177748413555E-2</v>
      </c>
      <c r="L13" s="13">
        <v>5.7011607929778663E-2</v>
      </c>
      <c r="M13" s="13">
        <v>5.7162537689483761E-2</v>
      </c>
      <c r="N13" s="61">
        <v>5.7234527060798346E-2</v>
      </c>
      <c r="O13" s="61">
        <v>5.7227560136128508E-2</v>
      </c>
      <c r="P13" s="61">
        <v>5.6009045395835955E-2</v>
      </c>
      <c r="Q13" s="61">
        <v>5.2824258031930693E-2</v>
      </c>
      <c r="R13" s="61">
        <v>4.7690749530973076E-2</v>
      </c>
      <c r="S13" s="61">
        <v>4.4401633163085652E-2</v>
      </c>
      <c r="T13" s="61">
        <v>4.0636739794331689E-2</v>
      </c>
      <c r="U13" s="61">
        <v>1.4877720805237971E-2</v>
      </c>
      <c r="V13" s="61">
        <v>8.3879315752808381E-3</v>
      </c>
      <c r="W13" s="61">
        <v>-1.3605847934204607E-2</v>
      </c>
      <c r="X13" s="62">
        <v>-2.1746080484056352E-2</v>
      </c>
      <c r="Z13" s="113"/>
      <c r="AA13" s="114"/>
      <c r="AB13" s="115"/>
      <c r="AC13" s="115"/>
      <c r="AD13" s="115"/>
      <c r="AE13" s="116"/>
      <c r="AF13" s="115"/>
      <c r="AG13" s="115"/>
      <c r="AH13" s="115"/>
      <c r="AI13" s="116"/>
      <c r="AJ13" s="117"/>
      <c r="AK13" s="118"/>
      <c r="AL13" s="114"/>
      <c r="AM13" s="118"/>
      <c r="AN13" s="110"/>
      <c r="AO13" s="117"/>
      <c r="AP13" s="118"/>
      <c r="AQ13" s="114"/>
      <c r="AR13" s="118"/>
      <c r="AS13" s="110"/>
      <c r="AT13" s="110"/>
    </row>
    <row r="14" spans="1:46" x14ac:dyDescent="0.25">
      <c r="A14" s="6">
        <v>8</v>
      </c>
      <c r="B14" s="31" t="s">
        <v>9</v>
      </c>
      <c r="C14" s="97">
        <f>MIN(C10,C12)</f>
        <v>7.8267442871417156E-6</v>
      </c>
      <c r="D14" s="6" t="s">
        <v>10</v>
      </c>
      <c r="E14" s="292"/>
      <c r="F14" s="12">
        <f t="shared" si="1"/>
        <v>42589015.445535257</v>
      </c>
      <c r="G14" s="13">
        <v>5.6481236214735331E-2</v>
      </c>
      <c r="H14" s="13">
        <v>5.648537950828203E-2</v>
      </c>
      <c r="I14" s="13">
        <v>5.6493541683735549E-2</v>
      </c>
      <c r="J14" s="13">
        <v>5.6631356539001088E-2</v>
      </c>
      <c r="K14" s="13">
        <v>5.6777569668832406E-2</v>
      </c>
      <c r="L14" s="13">
        <v>5.7058045592075723E-2</v>
      </c>
      <c r="M14" s="13">
        <v>5.7267039974605138E-2</v>
      </c>
      <c r="N14" s="13">
        <v>5.7420328423294142E-2</v>
      </c>
      <c r="O14" s="61">
        <v>5.7517887030679171E-2</v>
      </c>
      <c r="P14" s="61">
        <v>5.7169504191528775E-2</v>
      </c>
      <c r="Q14" s="61">
        <v>5.5429287235181368E-2</v>
      </c>
      <c r="R14" s="61">
        <v>5.2304013708733832E-2</v>
      </c>
      <c r="S14" s="61">
        <v>5.0225570743065884E-2</v>
      </c>
      <c r="T14" s="61">
        <v>4.7805837657580064E-2</v>
      </c>
      <c r="U14" s="61">
        <v>3.0681215100705206E-2</v>
      </c>
      <c r="V14" s="61">
        <v>2.6274217228531072E-2</v>
      </c>
      <c r="W14" s="61">
        <v>1.1162258110263279E-2</v>
      </c>
      <c r="X14" s="62">
        <v>5.5105961083712351E-3</v>
      </c>
      <c r="Z14" s="113"/>
      <c r="AA14" s="112"/>
      <c r="AB14" s="25"/>
      <c r="AC14" s="25"/>
      <c r="AD14" s="25"/>
      <c r="AE14" s="25"/>
      <c r="AF14" s="25"/>
      <c r="AG14" s="25"/>
      <c r="AH14" s="25"/>
      <c r="AI14" s="116"/>
      <c r="AJ14" s="117"/>
      <c r="AK14" s="119"/>
      <c r="AL14" s="112"/>
      <c r="AM14" s="119"/>
      <c r="AN14" s="110"/>
      <c r="AO14" s="117"/>
      <c r="AP14" s="119"/>
      <c r="AQ14" s="112"/>
      <c r="AR14" s="119"/>
      <c r="AS14" s="110"/>
      <c r="AT14" s="110"/>
    </row>
    <row r="15" spans="1:46" x14ac:dyDescent="0.25">
      <c r="B15" s="6"/>
      <c r="C15" s="6"/>
      <c r="E15" s="292"/>
      <c r="F15" s="12">
        <f t="shared" si="1"/>
        <v>53236269.306919068</v>
      </c>
      <c r="G15" s="13">
        <v>5.6481240053064985E-2</v>
      </c>
      <c r="H15" s="13">
        <v>5.6485388252155433E-2</v>
      </c>
      <c r="I15" s="13">
        <v>5.6493565972461468E-2</v>
      </c>
      <c r="J15" s="13">
        <v>5.6632911218603699E-2</v>
      </c>
      <c r="K15" s="13">
        <v>5.6783804869452226E-2</v>
      </c>
      <c r="L15" s="13">
        <v>5.7085909155312642E-2</v>
      </c>
      <c r="M15" s="13">
        <v>5.7329746236210122E-2</v>
      </c>
      <c r="N15" s="13">
        <v>5.7531824699265544E-2</v>
      </c>
      <c r="O15" s="13">
        <v>5.7692120910711076E-2</v>
      </c>
      <c r="P15" s="61">
        <v>5.7866383103756691E-2</v>
      </c>
      <c r="Q15" s="61">
        <v>5.699535522333643E-2</v>
      </c>
      <c r="R15" s="61">
        <v>5.5081583038083082E-2</v>
      </c>
      <c r="S15" s="61">
        <v>5.3735296079882922E-2</v>
      </c>
      <c r="T15" s="61">
        <v>5.2130655285811622E-2</v>
      </c>
      <c r="U15" s="61">
        <v>4.0279557657308951E-2</v>
      </c>
      <c r="V15" s="61">
        <v>3.7155806787483758E-2</v>
      </c>
      <c r="W15" s="61">
        <v>2.6316503585234186E-2</v>
      </c>
      <c r="X15" s="62">
        <v>2.2222717801422709E-2</v>
      </c>
      <c r="Z15" s="113"/>
      <c r="AA15" s="110"/>
      <c r="AB15" s="115"/>
      <c r="AC15" s="115"/>
      <c r="AD15" s="115"/>
      <c r="AE15" s="116"/>
      <c r="AF15" s="115"/>
      <c r="AG15" s="115"/>
      <c r="AH15" s="115"/>
      <c r="AI15" s="116"/>
      <c r="AJ15" s="117"/>
      <c r="AK15" s="118"/>
      <c r="AL15" s="114"/>
      <c r="AM15" s="118"/>
      <c r="AN15" s="120"/>
      <c r="AO15" s="117"/>
      <c r="AP15" s="118"/>
      <c r="AQ15" s="114"/>
      <c r="AR15" s="118"/>
      <c r="AS15" s="110"/>
      <c r="AT15" s="110"/>
    </row>
    <row r="16" spans="1:46" x14ac:dyDescent="0.25">
      <c r="A16" s="17" t="s">
        <v>12</v>
      </c>
      <c r="B16" s="31" t="s">
        <v>42</v>
      </c>
      <c r="C16" s="33">
        <f>(1-C13/C12)</f>
        <v>0.88259883569287423</v>
      </c>
      <c r="E16" s="292"/>
      <c r="F16" s="12">
        <v>77590000</v>
      </c>
      <c r="G16" s="13">
        <v>5.6481244872123471E-2</v>
      </c>
      <c r="H16" s="13">
        <v>5.6485399230159272E-2</v>
      </c>
      <c r="I16" s="13">
        <v>5.6493596467161344E-2</v>
      </c>
      <c r="J16" s="13">
        <v>5.6634863135631264E-2</v>
      </c>
      <c r="K16" s="13">
        <v>5.6791633269667186E-2</v>
      </c>
      <c r="L16" s="13">
        <v>5.7120893128040695E-2</v>
      </c>
      <c r="M16" s="13">
        <v>5.74084796891563E-2</v>
      </c>
      <c r="N16" s="13">
        <v>5.7671825665699616E-2</v>
      </c>
      <c r="O16" s="13">
        <v>5.7910913158168098E-2</v>
      </c>
      <c r="P16" s="13">
        <v>5.8741962220218102E-2</v>
      </c>
      <c r="Q16" s="61">
        <v>5.8964812754299656E-2</v>
      </c>
      <c r="R16" s="61">
        <v>5.8579085870346992E-2</v>
      </c>
      <c r="S16" s="61">
        <v>5.815817044144711E-2</v>
      </c>
      <c r="T16" s="61">
        <v>5.7585437348489865E-2</v>
      </c>
      <c r="U16" s="61">
        <v>5.2455268773640373E-2</v>
      </c>
      <c r="V16" s="61">
        <v>5.0978981170351378E-2</v>
      </c>
      <c r="W16" s="61">
        <v>4.5660288291629936E-2</v>
      </c>
      <c r="X16" s="62">
        <v>4.3593277088595839E-2</v>
      </c>
      <c r="Z16" s="113"/>
      <c r="AA16" s="110"/>
      <c r="AB16" s="115"/>
      <c r="AC16" s="115"/>
      <c r="AD16" s="115"/>
      <c r="AE16" s="116"/>
      <c r="AF16" s="115"/>
      <c r="AG16" s="115"/>
      <c r="AH16" s="115"/>
      <c r="AI16" s="116"/>
      <c r="AJ16" s="117"/>
      <c r="AK16" s="118"/>
      <c r="AL16" s="114"/>
      <c r="AM16" s="118"/>
      <c r="AN16" s="110"/>
      <c r="AO16" s="117"/>
      <c r="AP16" s="118"/>
      <c r="AQ16" s="114"/>
      <c r="AR16" s="118"/>
      <c r="AS16" s="110"/>
      <c r="AT16" s="110"/>
    </row>
    <row r="17" spans="1:46" x14ac:dyDescent="0.25">
      <c r="A17" s="17" t="s">
        <v>13</v>
      </c>
      <c r="B17" s="31" t="s">
        <v>14</v>
      </c>
      <c r="C17" s="34">
        <f>C14 *C16</f>
        <v>6.9078753950971328E-6</v>
      </c>
      <c r="E17" s="292"/>
      <c r="F17" s="12">
        <v>25000000</v>
      </c>
      <c r="G17" s="214">
        <v>5.6481222712251311E-2</v>
      </c>
      <c r="H17" s="213">
        <v>5.6485348749045539E-2</v>
      </c>
      <c r="I17" s="213">
        <v>5.6493456240772622E-2</v>
      </c>
      <c r="J17" s="215">
        <v>5.6625887500212801E-2</v>
      </c>
      <c r="K17" s="13">
        <v>5.6755635749145439E-2</v>
      </c>
      <c r="L17" s="13">
        <v>5.6960032819436845E-2</v>
      </c>
      <c r="M17" s="13">
        <v>5.7046480839228142E-2</v>
      </c>
      <c r="N17" s="13">
        <v>5.7028198602460778E-2</v>
      </c>
      <c r="O17" s="13">
        <v>5.6905191468733296E-2</v>
      </c>
      <c r="P17" s="13">
        <v>5.4721617508912468E-2</v>
      </c>
      <c r="Q17" s="13">
        <v>4.9938332371731065E-2</v>
      </c>
      <c r="R17" s="61">
        <v>4.2590259684758491E-2</v>
      </c>
      <c r="S17" s="61">
        <v>3.7970424076674059E-2</v>
      </c>
      <c r="T17" s="61">
        <v>3.273085173710677E-2</v>
      </c>
      <c r="U17" s="61">
        <v>-2.3948900749989344E-3</v>
      </c>
      <c r="V17" s="61">
        <v>-1.1117794621043342E-2</v>
      </c>
      <c r="W17" s="61">
        <v>-4.041433271782624E-2</v>
      </c>
      <c r="X17" s="62">
        <v>-5.1165911548375576E-2</v>
      </c>
      <c r="Z17" s="113"/>
      <c r="AA17" s="110"/>
      <c r="AB17" s="115"/>
      <c r="AC17" s="115"/>
      <c r="AD17" s="115"/>
      <c r="AE17" s="116"/>
      <c r="AF17" s="115"/>
      <c r="AG17" s="115"/>
      <c r="AH17" s="115"/>
      <c r="AI17" s="116"/>
      <c r="AJ17" s="117"/>
      <c r="AK17" s="118"/>
      <c r="AL17" s="114"/>
      <c r="AM17" s="118"/>
      <c r="AN17" s="110"/>
      <c r="AO17" s="117"/>
      <c r="AP17" s="118"/>
      <c r="AQ17" s="114"/>
      <c r="AR17" s="118"/>
      <c r="AS17" s="110"/>
      <c r="AT17" s="110"/>
    </row>
    <row r="18" spans="1:46" x14ac:dyDescent="0.25">
      <c r="A18" s="17" t="s">
        <v>15</v>
      </c>
      <c r="B18" s="31" t="s">
        <v>16</v>
      </c>
      <c r="C18" s="34">
        <f>C13-C17</f>
        <v>7.7576655331907448E-4</v>
      </c>
      <c r="E18" s="292"/>
      <c r="F18" s="12">
        <f t="shared" si="1"/>
        <v>106472538.61383814</v>
      </c>
      <c r="G18" s="13">
        <v>5.6481247729719186E-2</v>
      </c>
      <c r="H18" s="13">
        <v>5.6485405739908012E-2</v>
      </c>
      <c r="I18" s="13">
        <v>5.649361454991686E-2</v>
      </c>
      <c r="J18" s="13">
        <v>5.6636020584574176E-2</v>
      </c>
      <c r="K18" s="13">
        <v>5.6796275379540129E-2</v>
      </c>
      <c r="L18" s="13">
        <v>5.7141638455008303E-2</v>
      </c>
      <c r="M18" s="13">
        <v>5.7455169764025982E-2</v>
      </c>
      <c r="N18" s="13">
        <v>5.7754852038315985E-2</v>
      </c>
      <c r="O18" s="13">
        <v>5.8040673614362159E-2</v>
      </c>
      <c r="P18" s="13">
        <v>5.9261500461317507E-2</v>
      </c>
      <c r="Q18" s="13">
        <v>6.0134370163198669E-2</v>
      </c>
      <c r="R18" s="13">
        <v>6.0658432467158629E-2</v>
      </c>
      <c r="S18" s="61">
        <v>6.0789487962130018E-2</v>
      </c>
      <c r="T18" s="61">
        <v>6.0833176676229339E-2</v>
      </c>
      <c r="U18" s="61">
        <v>5.9741491041220618E-2</v>
      </c>
      <c r="V18" s="61">
        <v>5.9261500461317507E-2</v>
      </c>
      <c r="W18" s="61">
        <v>5.7300134488914356E-2</v>
      </c>
      <c r="X18" s="62">
        <v>5.6473078069881444E-2</v>
      </c>
      <c r="Z18" s="113"/>
      <c r="AA18" s="110"/>
      <c r="AB18" s="115"/>
      <c r="AC18" s="115"/>
      <c r="AD18" s="115"/>
      <c r="AE18" s="116"/>
      <c r="AF18" s="115"/>
      <c r="AG18" s="115"/>
      <c r="AH18" s="115"/>
      <c r="AI18" s="116"/>
      <c r="AJ18" s="117"/>
      <c r="AK18" s="118"/>
      <c r="AL18" s="114"/>
      <c r="AM18" s="118"/>
      <c r="AN18" s="110"/>
      <c r="AO18" s="117"/>
      <c r="AP18" s="118"/>
      <c r="AQ18" s="114"/>
      <c r="AR18" s="118"/>
      <c r="AS18" s="110"/>
      <c r="AT18" s="110"/>
    </row>
    <row r="19" spans="1:46" x14ac:dyDescent="0.25">
      <c r="A19" s="17" t="s">
        <v>17</v>
      </c>
      <c r="B19" s="31" t="s">
        <v>41</v>
      </c>
      <c r="C19" s="34">
        <f>C18/C12</f>
        <v>0.11636498299786116</v>
      </c>
      <c r="E19" s="292"/>
      <c r="F19" s="12">
        <f t="shared" si="1"/>
        <v>127767046.33660576</v>
      </c>
      <c r="G19" s="13">
        <v>5.6481249009177503E-2</v>
      </c>
      <c r="H19" s="13">
        <v>5.6485408654530778E-2</v>
      </c>
      <c r="I19" s="13">
        <v>5.649362264615565E-2</v>
      </c>
      <c r="J19" s="13">
        <v>5.6636538813126913E-2</v>
      </c>
      <c r="K19" s="13">
        <v>5.679835381201781E-2</v>
      </c>
      <c r="L19" s="13">
        <v>5.7150926953350778E-2</v>
      </c>
      <c r="M19" s="13">
        <v>5.7476075111950742E-2</v>
      </c>
      <c r="N19" s="13">
        <v>5.7792027771435883E-2</v>
      </c>
      <c r="O19" s="13">
        <v>5.8098776744802683E-2</v>
      </c>
      <c r="P19" s="13">
        <v>5.9494196382230857E-2</v>
      </c>
      <c r="Q19" s="13">
        <v>6.0658432467158629E-2</v>
      </c>
      <c r="R19" s="13">
        <v>6.1590729758251195E-2</v>
      </c>
      <c r="S19" s="13">
        <v>6.1969706361636678E-2</v>
      </c>
      <c r="T19" s="61">
        <v>6.2290483093060178E-2</v>
      </c>
      <c r="U19" s="61">
        <v>6.3019876572462552E-2</v>
      </c>
      <c r="V19" s="61">
        <v>6.299069135157076E-2</v>
      </c>
      <c r="W19" s="61">
        <v>6.2553007862975685E-2</v>
      </c>
      <c r="X19" s="62">
        <v>6.2290483093060178E-2</v>
      </c>
      <c r="Z19" s="113"/>
      <c r="AA19" s="110"/>
      <c r="AB19" s="115"/>
      <c r="AC19" s="115"/>
      <c r="AD19" s="115"/>
      <c r="AE19" s="116"/>
      <c r="AF19" s="115"/>
      <c r="AG19" s="115"/>
      <c r="AH19" s="115"/>
      <c r="AI19" s="116"/>
      <c r="AJ19" s="117"/>
      <c r="AK19" s="118"/>
      <c r="AL19" s="114"/>
      <c r="AM19" s="118"/>
      <c r="AN19" s="110"/>
      <c r="AO19" s="117"/>
      <c r="AP19" s="118"/>
      <c r="AQ19" s="114"/>
      <c r="AR19" s="118"/>
      <c r="AS19" s="110"/>
      <c r="AT19" s="110"/>
    </row>
    <row r="20" spans="1:46" x14ac:dyDescent="0.25">
      <c r="A20" s="17" t="s">
        <v>18</v>
      </c>
      <c r="B20" s="31" t="s">
        <v>40</v>
      </c>
      <c r="C20" s="34">
        <f>C14 * C8 *C19</f>
        <v>2.7322768977055582E-7</v>
      </c>
      <c r="E20" s="292"/>
      <c r="F20" s="12">
        <f t="shared" si="1"/>
        <v>149061554.05937338</v>
      </c>
      <c r="G20" s="13">
        <v>5.6481249923053367E-2</v>
      </c>
      <c r="H20" s="13">
        <v>5.6485410736404118E-2</v>
      </c>
      <c r="I20" s="13">
        <v>5.6493628429188814E-2</v>
      </c>
      <c r="J20" s="13">
        <v>5.6636908976526845E-2</v>
      </c>
      <c r="K20" s="13">
        <v>5.679983840909486E-2</v>
      </c>
      <c r="L20" s="13">
        <v>5.7157561644311405E-2</v>
      </c>
      <c r="M20" s="13">
        <v>5.7491007752893619E-2</v>
      </c>
      <c r="N20" s="13">
        <v>5.78185826555071E-2</v>
      </c>
      <c r="O20" s="13">
        <v>5.8140280907594155E-2</v>
      </c>
      <c r="P20" s="13">
        <v>5.9660438621645495E-2</v>
      </c>
      <c r="Q20" s="13">
        <v>6.1032919113146678E-2</v>
      </c>
      <c r="R20" s="13">
        <v>6.2257151192272708E-2</v>
      </c>
      <c r="S20" s="13">
        <v>6.2813512332192678E-2</v>
      </c>
      <c r="T20" s="13">
        <v>6.3332624968930995E-2</v>
      </c>
      <c r="U20" s="61">
        <v>6.536770278919346E-2</v>
      </c>
      <c r="V20" s="61">
        <v>6.5662324115036697E-2</v>
      </c>
      <c r="W20" s="61">
        <v>6.6320811024122683E-2</v>
      </c>
      <c r="X20" s="62">
        <v>6.6465104586235002E-2</v>
      </c>
      <c r="Z20" s="113"/>
      <c r="AA20" s="110"/>
      <c r="AB20" s="115"/>
      <c r="AC20" s="115"/>
      <c r="AD20" s="115"/>
      <c r="AE20" s="116"/>
      <c r="AF20" s="115"/>
      <c r="AG20" s="115"/>
      <c r="AH20" s="115"/>
      <c r="AI20" s="116"/>
      <c r="AJ20" s="117"/>
      <c r="AK20" s="118"/>
      <c r="AL20" s="114"/>
      <c r="AM20" s="118"/>
      <c r="AN20" s="110"/>
      <c r="AO20" s="117"/>
      <c r="AP20" s="118"/>
      <c r="AQ20" s="114"/>
      <c r="AR20" s="118"/>
      <c r="AS20" s="110"/>
      <c r="AT20" s="110"/>
    </row>
    <row r="21" spans="1:46" x14ac:dyDescent="0.25">
      <c r="A21" s="17" t="s">
        <v>19</v>
      </c>
      <c r="B21" s="31" t="s">
        <v>21</v>
      </c>
      <c r="C21" s="35">
        <f>C13+C20</f>
        <v>7.8294765640394214E-4</v>
      </c>
      <c r="E21" s="292"/>
      <c r="F21" s="12">
        <f t="shared" si="1"/>
        <v>170356061.78214103</v>
      </c>
      <c r="G21" s="13">
        <v>5.6481250608468647E-2</v>
      </c>
      <c r="H21" s="13">
        <v>5.6485412297804904E-2</v>
      </c>
      <c r="I21" s="13">
        <v>5.6493632766449808E-2</v>
      </c>
      <c r="J21" s="13">
        <v>5.6637186599156175E-2</v>
      </c>
      <c r="K21" s="13">
        <v>5.6800951858264837E-2</v>
      </c>
      <c r="L21" s="13">
        <v>5.7162537689483761E-2</v>
      </c>
      <c r="M21" s="13">
        <v>5.7502207370077052E-2</v>
      </c>
      <c r="N21" s="13">
        <v>5.7838499250046249E-2</v>
      </c>
      <c r="O21" s="13">
        <v>5.8171410083430075E-2</v>
      </c>
      <c r="P21" s="13">
        <v>5.9785137184460879E-2</v>
      </c>
      <c r="Q21" s="13">
        <v>6.1313869675526211E-2</v>
      </c>
      <c r="R21" s="13">
        <v>6.2757238033658513E-2</v>
      </c>
      <c r="S21" s="13">
        <v>6.3446800739736631E-2</v>
      </c>
      <c r="T21" s="13">
        <v>6.4114893057321432E-2</v>
      </c>
      <c r="U21" s="13">
        <v>6.713192811699531E-2</v>
      </c>
      <c r="V21" s="61">
        <v>6.7670393786465333E-2</v>
      </c>
      <c r="W21" s="61">
        <v>6.9155308275186123E-2</v>
      </c>
      <c r="X21" s="62">
        <v>6.9606685420835923E-2</v>
      </c>
      <c r="Z21" s="113"/>
      <c r="AA21" s="110"/>
      <c r="AB21" s="115"/>
      <c r="AC21" s="115"/>
      <c r="AD21" s="115"/>
      <c r="AE21" s="116"/>
      <c r="AF21" s="115"/>
      <c r="AG21" s="115"/>
      <c r="AH21" s="115"/>
      <c r="AI21" s="116"/>
      <c r="AJ21" s="117"/>
      <c r="AK21" s="118"/>
      <c r="AL21" s="114"/>
      <c r="AM21" s="118"/>
      <c r="AN21" s="110"/>
      <c r="AO21" s="117"/>
      <c r="AP21" s="118"/>
      <c r="AQ21" s="114"/>
      <c r="AR21" s="118"/>
      <c r="AS21" s="110"/>
      <c r="AT21" s="110"/>
    </row>
    <row r="22" spans="1:46" ht="15.75" thickBot="1" x14ac:dyDescent="0.3">
      <c r="A22" s="17" t="s">
        <v>20</v>
      </c>
      <c r="B22" s="31" t="s">
        <v>39</v>
      </c>
      <c r="C22" s="34">
        <f>C9/(1+C8)</f>
        <v>0.76923076923076916</v>
      </c>
      <c r="E22" s="292"/>
      <c r="F22" s="12">
        <f t="shared" si="1"/>
        <v>181003315.64352483</v>
      </c>
      <c r="G22" s="13">
        <v>5.6481250890695112E-2</v>
      </c>
      <c r="H22" s="13">
        <v>5.6485412940733282E-2</v>
      </c>
      <c r="I22" s="13">
        <v>5.6493634552387872E-2</v>
      </c>
      <c r="J22" s="13">
        <v>5.663730091436614E-2</v>
      </c>
      <c r="K22" s="13">
        <v>5.6801410337656622E-2</v>
      </c>
      <c r="L22" s="13">
        <v>5.7164586655976901E-2</v>
      </c>
      <c r="M22" s="13">
        <v>5.7506819011167165E-2</v>
      </c>
      <c r="N22" s="13">
        <v>5.7846700308236798E-2</v>
      </c>
      <c r="O22" s="13">
        <v>5.8184228241894953E-2</v>
      </c>
      <c r="P22" s="13">
        <v>5.9836487858164311E-2</v>
      </c>
      <c r="Q22" s="13">
        <v>6.1429576526671692E-2</v>
      </c>
      <c r="R22" s="13">
        <v>6.2963223630318144E-2</v>
      </c>
      <c r="S22" s="13">
        <v>6.370767471898886E-2</v>
      </c>
      <c r="T22" s="13">
        <v>6.4437168402570411E-2</v>
      </c>
      <c r="U22" s="13">
        <v>6.7859211085539828E-2</v>
      </c>
      <c r="V22" s="13">
        <v>6.84983303350164E-2</v>
      </c>
      <c r="W22" s="61">
        <v>7.0324613037291872E-2</v>
      </c>
      <c r="X22" s="62">
        <v>7.0902928955961952E-2</v>
      </c>
      <c r="Y22" s="6"/>
      <c r="Z22" s="113"/>
      <c r="AA22" s="110"/>
      <c r="AB22" s="115"/>
      <c r="AC22" s="115"/>
      <c r="AD22" s="115"/>
      <c r="AE22" s="116"/>
      <c r="AF22" s="115"/>
      <c r="AG22" s="115"/>
      <c r="AH22" s="115"/>
      <c r="AI22" s="116"/>
      <c r="AJ22" s="117"/>
      <c r="AK22" s="118"/>
      <c r="AL22" s="114"/>
      <c r="AM22" s="118"/>
      <c r="AN22" s="110"/>
      <c r="AO22" s="117"/>
      <c r="AP22" s="118"/>
      <c r="AQ22" s="114"/>
      <c r="AR22" s="118"/>
      <c r="AS22" s="110"/>
      <c r="AT22" s="110"/>
    </row>
    <row r="23" spans="1:46" ht="15.75" customHeight="1" thickBot="1" x14ac:dyDescent="0.3">
      <c r="A23" s="125" t="s">
        <v>22</v>
      </c>
      <c r="B23" s="36" t="s">
        <v>23</v>
      </c>
      <c r="C23" s="122">
        <f>C22 * C21</f>
        <v>6.022674280030324E-4</v>
      </c>
      <c r="E23" s="292"/>
      <c r="F23" s="12">
        <f t="shared" si="1"/>
        <v>191650569.50490865</v>
      </c>
      <c r="G23" s="13">
        <v>5.6481251141573097E-2</v>
      </c>
      <c r="H23" s="13">
        <v>5.6485413512242344E-2</v>
      </c>
      <c r="I23" s="13">
        <v>5.6493636139892889E-2</v>
      </c>
      <c r="J23" s="13">
        <v>5.6637402527910607E-2</v>
      </c>
      <c r="K23" s="13">
        <v>5.6801817875062666E-2</v>
      </c>
      <c r="L23" s="13">
        <v>5.7166407962805366E-2</v>
      </c>
      <c r="M23" s="13">
        <v>5.7510918264322308E-2</v>
      </c>
      <c r="N23" s="13">
        <v>5.7853990190396498E-2</v>
      </c>
      <c r="O23" s="13">
        <v>5.819562228909847E-2</v>
      </c>
      <c r="P23" s="13">
        <v>5.9882134961639633E-2</v>
      </c>
      <c r="Q23" s="13">
        <v>6.1532437505960713E-2</v>
      </c>
      <c r="R23" s="13">
        <v>6.314635499589949E-2</v>
      </c>
      <c r="S23" s="13">
        <v>6.3939615688094253E-2</v>
      </c>
      <c r="T23" s="13">
        <v>6.472371619125461E-2</v>
      </c>
      <c r="U23" s="13">
        <v>6.8506095235512765E-2</v>
      </c>
      <c r="V23" s="13">
        <v>6.9234805519948539E-2</v>
      </c>
      <c r="W23" s="210">
        <v>7.1365053873943651E-2</v>
      </c>
      <c r="X23" s="62">
        <v>7.2056446069704849E-2</v>
      </c>
      <c r="Y23" s="6"/>
      <c r="Z23" s="113"/>
      <c r="AA23" s="110"/>
      <c r="AB23" s="115"/>
      <c r="AC23" s="115"/>
      <c r="AD23" s="115"/>
      <c r="AE23" s="116"/>
      <c r="AF23" s="115"/>
      <c r="AG23" s="115"/>
      <c r="AH23" s="115"/>
      <c r="AI23" s="116"/>
      <c r="AJ23" s="117"/>
      <c r="AK23" s="118"/>
      <c r="AL23" s="114"/>
      <c r="AM23" s="118"/>
      <c r="AN23" s="110"/>
      <c r="AO23" s="117"/>
      <c r="AP23" s="118"/>
      <c r="AQ23" s="114"/>
      <c r="AR23" s="118"/>
      <c r="AS23" s="110"/>
      <c r="AT23" s="110"/>
    </row>
    <row r="24" spans="1:46" x14ac:dyDescent="0.25">
      <c r="A24" s="126"/>
      <c r="B24" s="3"/>
      <c r="C24" s="98"/>
      <c r="E24" s="292"/>
      <c r="F24" s="27">
        <f t="shared" si="1"/>
        <v>212945077.22767627</v>
      </c>
      <c r="G24" s="14">
        <v>5.6481251568056612E-2</v>
      </c>
      <c r="H24" s="14">
        <v>5.64854144837732E-2</v>
      </c>
      <c r="I24" s="14">
        <v>5.649363883863967E-2</v>
      </c>
      <c r="J24" s="14">
        <v>5.6637575270946927E-2</v>
      </c>
      <c r="K24" s="14">
        <v>5.680251068902531E-2</v>
      </c>
      <c r="L24" s="14">
        <v>5.7169504191528775E-2</v>
      </c>
      <c r="M24" s="14">
        <v>5.7517887030679171E-2</v>
      </c>
      <c r="N24" s="14">
        <v>5.7866383103756691E-2</v>
      </c>
      <c r="O24" s="14">
        <v>5.8214992447054081E-2</v>
      </c>
      <c r="P24" s="14">
        <v>5.9959739487802421E-2</v>
      </c>
      <c r="Q24" s="14">
        <v>6.170732373450738E-2</v>
      </c>
      <c r="R24" s="14">
        <v>6.3457749736638425E-2</v>
      </c>
      <c r="S24" s="28">
        <v>6.4334029819700822E-2</v>
      </c>
      <c r="T24" s="14">
        <v>6.5211022050955414E-2</v>
      </c>
      <c r="U24" s="14">
        <v>6.9606685420835923E-2</v>
      </c>
      <c r="V24" s="14">
        <v>7.0487962542031379E-2</v>
      </c>
      <c r="W24" s="14">
        <v>7.313609311759639E-2</v>
      </c>
      <c r="X24" s="15">
        <v>7.402023829457427E-2</v>
      </c>
      <c r="Y24" s="6"/>
      <c r="Z24" s="109"/>
      <c r="AA24" s="110"/>
      <c r="AB24" s="110"/>
      <c r="AC24" s="110"/>
      <c r="AD24" s="110"/>
      <c r="AE24" s="110"/>
      <c r="AF24" s="110"/>
      <c r="AG24" s="110"/>
      <c r="AH24" s="110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</row>
    <row r="25" spans="1:46" ht="15" customHeight="1" x14ac:dyDescent="0.25">
      <c r="B25" s="6"/>
      <c r="C25" s="100"/>
      <c r="D25" s="99"/>
      <c r="E25" s="7" t="s">
        <v>44</v>
      </c>
      <c r="F25" s="6"/>
      <c r="G25" s="8">
        <f>G24-G8</f>
        <v>5.4451674045274956E-6</v>
      </c>
      <c r="H25" s="8">
        <f>H24-H8</f>
        <v>1.2404285376632629E-5</v>
      </c>
      <c r="I25" s="8">
        <f>I24-I9</f>
        <v>2.066417258483888E-5</v>
      </c>
      <c r="J25" s="8">
        <f>J24-J10</f>
        <v>1.6396428899523308E-4</v>
      </c>
      <c r="K25" s="8">
        <f>K24-K11</f>
        <v>1.2699030992835425E-4</v>
      </c>
      <c r="L25" s="8">
        <f>L24-L12</f>
        <v>5.1146170171834093E-4</v>
      </c>
      <c r="M25" s="8">
        <f>M24-M13</f>
        <v>3.5534934119541006E-4</v>
      </c>
      <c r="N25" s="8">
        <f>N24-N14</f>
        <v>4.460546804625487E-4</v>
      </c>
      <c r="O25" s="8">
        <f>O24-O15</f>
        <v>5.2287153634300587E-4</v>
      </c>
      <c r="P25" s="8">
        <f>P24-P16</f>
        <v>1.217777267584319E-3</v>
      </c>
      <c r="Q25" s="8">
        <f>Q24-Q17</f>
        <v>1.1768991362776315E-2</v>
      </c>
      <c r="R25" s="8">
        <f>R24-R18</f>
        <v>2.7993172694797952E-3</v>
      </c>
      <c r="S25" s="25">
        <f>S24-S19</f>
        <v>2.3643234580641437E-3</v>
      </c>
      <c r="T25" s="25">
        <f>T24-T20</f>
        <v>1.8783970820244189E-3</v>
      </c>
      <c r="U25" s="8">
        <f>U24-U21</f>
        <v>2.4747573038406134E-3</v>
      </c>
      <c r="V25" s="8">
        <f>V24-V22</f>
        <v>1.9896322070149797E-3</v>
      </c>
      <c r="W25" s="8">
        <f>W24-W23</f>
        <v>1.7710392436527389E-3</v>
      </c>
      <c r="X25" s="8">
        <f>0</f>
        <v>0</v>
      </c>
      <c r="Y25" s="6"/>
      <c r="Z25" s="109"/>
      <c r="AA25" s="110"/>
      <c r="AB25" s="110"/>
      <c r="AC25" s="110"/>
      <c r="AD25" s="110"/>
      <c r="AE25" s="110"/>
      <c r="AF25" s="110"/>
      <c r="AG25" s="110"/>
      <c r="AH25" s="110"/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0"/>
      <c r="AT25" s="110"/>
    </row>
    <row r="26" spans="1:46" ht="15.75" thickBot="1" x14ac:dyDescent="0.3">
      <c r="B26" s="19" t="s">
        <v>75</v>
      </c>
      <c r="C26" s="6"/>
      <c r="E26" s="17" t="s">
        <v>45</v>
      </c>
      <c r="F26" s="6"/>
      <c r="G26" s="24"/>
      <c r="H26" s="4">
        <f t="shared" ref="H26:X26" si="2">H7/$X$7</f>
        <v>7.0878172863681301E-4</v>
      </c>
      <c r="I26" s="4">
        <f t="shared" si="2"/>
        <v>1.1813028810613551E-3</v>
      </c>
      <c r="J26" s="4">
        <f t="shared" si="2"/>
        <v>9.4504230484908393E-3</v>
      </c>
      <c r="K26" s="4">
        <f t="shared" si="2"/>
        <v>1.8924565042470826E-2</v>
      </c>
      <c r="L26" s="4">
        <f t="shared" si="2"/>
        <v>0.04</v>
      </c>
      <c r="M26" s="4">
        <f t="shared" si="2"/>
        <v>0.06</v>
      </c>
      <c r="N26" s="4">
        <f t="shared" si="2"/>
        <v>0.08</v>
      </c>
      <c r="O26" s="4">
        <f t="shared" si="2"/>
        <v>0.1</v>
      </c>
      <c r="P26" s="4">
        <f t="shared" si="2"/>
        <v>0.2</v>
      </c>
      <c r="Q26" s="4">
        <f t="shared" si="2"/>
        <v>0.3</v>
      </c>
      <c r="R26" s="4">
        <f t="shared" si="2"/>
        <v>0.4</v>
      </c>
      <c r="S26" s="26">
        <f t="shared" si="2"/>
        <v>0.45</v>
      </c>
      <c r="T26" s="26">
        <f t="shared" si="2"/>
        <v>0.5</v>
      </c>
      <c r="U26" s="4">
        <f t="shared" si="2"/>
        <v>0.75</v>
      </c>
      <c r="V26" s="4">
        <f t="shared" si="2"/>
        <v>0.8</v>
      </c>
      <c r="W26" s="4">
        <f t="shared" si="2"/>
        <v>0.95</v>
      </c>
      <c r="X26" s="4">
        <f t="shared" si="2"/>
        <v>1</v>
      </c>
      <c r="Y26" s="6"/>
      <c r="Z26" s="109"/>
      <c r="AA26" s="110"/>
      <c r="AB26" s="110"/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</row>
    <row r="27" spans="1:46" x14ac:dyDescent="0.25">
      <c r="B27" s="6" t="s">
        <v>55</v>
      </c>
      <c r="C27" s="105">
        <v>217</v>
      </c>
      <c r="E27" s="6"/>
      <c r="F27" s="6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6"/>
    </row>
    <row r="28" spans="1:46" ht="15.75" thickBot="1" x14ac:dyDescent="0.3">
      <c r="B28" s="6" t="s">
        <v>66</v>
      </c>
      <c r="C28" s="128">
        <v>150</v>
      </c>
      <c r="E28" s="6"/>
      <c r="F28" s="6" t="s">
        <v>47</v>
      </c>
      <c r="G28" s="78"/>
      <c r="H28" s="78">
        <v>33</v>
      </c>
      <c r="I28" s="78">
        <v>25</v>
      </c>
      <c r="J28" s="78">
        <v>22</v>
      </c>
      <c r="K28" s="78">
        <v>18</v>
      </c>
      <c r="L28" s="78">
        <v>10</v>
      </c>
      <c r="M28" s="78">
        <v>8</v>
      </c>
      <c r="N28" s="78">
        <v>7</v>
      </c>
      <c r="O28" s="78">
        <v>7</v>
      </c>
      <c r="P28" s="78">
        <v>6</v>
      </c>
      <c r="Q28" s="78">
        <v>5</v>
      </c>
      <c r="R28" s="78">
        <v>4</v>
      </c>
      <c r="S28" s="78">
        <v>3</v>
      </c>
      <c r="T28" s="78">
        <v>1</v>
      </c>
      <c r="U28" s="78">
        <v>1</v>
      </c>
      <c r="V28" s="78">
        <v>0</v>
      </c>
      <c r="W28" s="78">
        <v>0</v>
      </c>
      <c r="X28" s="78">
        <v>0</v>
      </c>
      <c r="Y28" s="6"/>
    </row>
    <row r="29" spans="1:46" x14ac:dyDescent="0.25">
      <c r="B29" s="20" t="s">
        <v>65</v>
      </c>
      <c r="C29" s="124">
        <v>3.0000000000000001E-3</v>
      </c>
      <c r="E29" s="6"/>
      <c r="F29" s="6" t="s">
        <v>48</v>
      </c>
      <c r="G29" s="80">
        <f t="shared" ref="G29:X29" si="3">G24</f>
        <v>5.6481251568056612E-2</v>
      </c>
      <c r="H29" s="80">
        <f t="shared" si="3"/>
        <v>5.64854144837732E-2</v>
      </c>
      <c r="I29" s="80">
        <f t="shared" si="3"/>
        <v>5.649363883863967E-2</v>
      </c>
      <c r="J29" s="80">
        <f t="shared" si="3"/>
        <v>5.6637575270946927E-2</v>
      </c>
      <c r="K29" s="80">
        <f t="shared" si="3"/>
        <v>5.680251068902531E-2</v>
      </c>
      <c r="L29" s="80">
        <f t="shared" si="3"/>
        <v>5.7169504191528775E-2</v>
      </c>
      <c r="M29" s="80">
        <f t="shared" si="3"/>
        <v>5.7517887030679171E-2</v>
      </c>
      <c r="N29" s="80">
        <f t="shared" si="3"/>
        <v>5.7866383103756691E-2</v>
      </c>
      <c r="O29" s="80">
        <f t="shared" si="3"/>
        <v>5.8214992447054081E-2</v>
      </c>
      <c r="P29" s="80">
        <f t="shared" si="3"/>
        <v>5.9959739487802421E-2</v>
      </c>
      <c r="Q29" s="80">
        <f t="shared" si="3"/>
        <v>6.170732373450738E-2</v>
      </c>
      <c r="R29" s="80">
        <f t="shared" si="3"/>
        <v>6.3457749736638425E-2</v>
      </c>
      <c r="S29" s="80">
        <f t="shared" si="3"/>
        <v>6.4334029819700822E-2</v>
      </c>
      <c r="T29" s="80">
        <f t="shared" si="3"/>
        <v>6.5211022050955414E-2</v>
      </c>
      <c r="U29" s="80">
        <f t="shared" si="3"/>
        <v>6.9606685420835923E-2</v>
      </c>
      <c r="V29" s="80">
        <f t="shared" si="3"/>
        <v>7.0487962542031379E-2</v>
      </c>
      <c r="W29" s="80">
        <f t="shared" si="3"/>
        <v>7.313609311759639E-2</v>
      </c>
      <c r="X29" s="77">
        <f t="shared" si="3"/>
        <v>7.402023829457427E-2</v>
      </c>
      <c r="Y29" s="6"/>
    </row>
    <row r="30" spans="1:46" x14ac:dyDescent="0.25">
      <c r="B30" t="s">
        <v>67</v>
      </c>
      <c r="C30" s="48">
        <v>0.2</v>
      </c>
      <c r="E30" s="6"/>
      <c r="F30" s="6" t="s">
        <v>46</v>
      </c>
      <c r="G30" s="79">
        <v>0</v>
      </c>
      <c r="H30" s="81">
        <f t="shared" ref="H30:X30" si="4">H7</f>
        <v>150931.57994213203</v>
      </c>
      <c r="I30" s="81">
        <f t="shared" si="4"/>
        <v>251552.63323688676</v>
      </c>
      <c r="J30" s="81">
        <f t="shared" si="4"/>
        <v>2012421.0658950936</v>
      </c>
      <c r="K30" s="81">
        <f t="shared" si="4"/>
        <v>4029892.9644691329</v>
      </c>
      <c r="L30" s="81">
        <f t="shared" si="4"/>
        <v>8517803.0891070515</v>
      </c>
      <c r="M30" s="81">
        <f t="shared" si="4"/>
        <v>12776704.633660575</v>
      </c>
      <c r="N30" s="81">
        <f t="shared" si="4"/>
        <v>17035606.178214103</v>
      </c>
      <c r="O30" s="81">
        <f t="shared" si="4"/>
        <v>21294507.722767629</v>
      </c>
      <c r="P30" s="81">
        <f t="shared" si="4"/>
        <v>42589015.445535257</v>
      </c>
      <c r="Q30" s="81">
        <f t="shared" si="4"/>
        <v>63883523.168302879</v>
      </c>
      <c r="R30" s="81">
        <f t="shared" si="4"/>
        <v>85178030.891070515</v>
      </c>
      <c r="S30" s="81">
        <f t="shared" si="4"/>
        <v>95825284.752454326</v>
      </c>
      <c r="T30" s="81">
        <f t="shared" si="4"/>
        <v>106472538.61383814</v>
      </c>
      <c r="U30" s="81">
        <f t="shared" si="4"/>
        <v>159708807.9207572</v>
      </c>
      <c r="V30" s="81">
        <f t="shared" si="4"/>
        <v>170356061.78214103</v>
      </c>
      <c r="W30" s="81">
        <f t="shared" si="4"/>
        <v>202297823.36629245</v>
      </c>
      <c r="X30" s="81">
        <f t="shared" si="4"/>
        <v>212945077.22767627</v>
      </c>
      <c r="Y30" s="6"/>
    </row>
    <row r="31" spans="1:46" x14ac:dyDescent="0.25">
      <c r="B31" s="21" t="s">
        <v>24</v>
      </c>
      <c r="C31" s="49">
        <v>5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46" x14ac:dyDescent="0.25">
      <c r="B32" s="21" t="s">
        <v>43</v>
      </c>
      <c r="C32" s="50">
        <f>CHOOSE(C27,,,,,,,,,,,,,,,,,,,,,,,,,,,,,,,,,,,,,,,,,,,,,,,,,,,,,,,,,,,,,,,,,,,,,,,,,,,,,,,,,,,,,,,,,,,,,,,,,,,,,,,,,,,,,,,,,,,,,,,,,,,,,,,,,,,,,,,,,,,,,,,,,,,,,,,,,,,,,,,,,,,,,,,,,,,,,,,,,,,,,,,,,,,,,,,,,,,,,,,,,,,,,,,,,,,,C51,C52,C53,C54,C55,C56,C57,C58,C59,C60,C61,C62,C63,C64,C65,C66,C67,C68,C69)</f>
        <v>31941761584.15144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82"/>
    </row>
    <row r="33" spans="2:26" x14ac:dyDescent="0.25">
      <c r="B33" s="21" t="s">
        <v>32</v>
      </c>
      <c r="C33" s="219">
        <f>staked_ada/total_supply</f>
        <v>0.46240405248433258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2:26" x14ac:dyDescent="0.25">
      <c r="B34" s="21" t="s">
        <v>49</v>
      </c>
      <c r="C34" s="30">
        <f>SKY!H10</f>
        <v>14770000000</v>
      </c>
      <c r="E34" s="17" t="s">
        <v>55</v>
      </c>
      <c r="F34" s="31">
        <f>$C$27</f>
        <v>217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2:26" x14ac:dyDescent="0.25">
      <c r="B35" s="6" t="s">
        <v>101</v>
      </c>
      <c r="C35" s="29">
        <f>CHOOSE(C27,,,,,,,,,,,,,,,,,,,,,,,,,,,,,,,,,,,,,,,,,,,,,,,,,,,,,,,,,,,,,,,,,,,,,,,,,,,,,,,,,,,,,,,,,,,,,,,,,,,,,,,,,,,,,,,,,,,,,,,,,,,,,,,,,,,,,,,,,,,,,,,,,,,,,,,,,,,,,,,,,,,,,,,,,,,,,,,,,,,,,,,,,,,,,,,,,,,,,,,,,,,,,,,,,,,,C72,C73,C74,C75,C76,C77,C78,C79,C80,C81,C82,C83,C84,C85,C86,C87,C88,C89,C90)</f>
        <v>39076029.146721765</v>
      </c>
      <c r="E35" s="17" t="s">
        <v>72</v>
      </c>
      <c r="F35" s="71">
        <f>$C$39</f>
        <v>9.5000000000000001E-2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2:26" x14ac:dyDescent="0.25">
      <c r="B36" s="6" t="s">
        <v>25</v>
      </c>
      <c r="C36" s="29">
        <f>C12 * C32</f>
        <v>212945077.22767627</v>
      </c>
      <c r="E36" s="17" t="s">
        <v>71</v>
      </c>
      <c r="F36" s="72">
        <f>$C$41</f>
        <v>0.05</v>
      </c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6"/>
    </row>
    <row r="37" spans="2:26" ht="15.75" thickBot="1" x14ac:dyDescent="0.3">
      <c r="B37" s="6"/>
      <c r="C37" s="6"/>
      <c r="E37" s="17" t="s">
        <v>46</v>
      </c>
      <c r="F37" s="102">
        <f>$C$42</f>
        <v>250000</v>
      </c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6"/>
    </row>
    <row r="38" spans="2:26" x14ac:dyDescent="0.25">
      <c r="B38" t="s">
        <v>53</v>
      </c>
      <c r="C38" s="68">
        <f>'Reward mechanism'!R8</f>
        <v>340</v>
      </c>
      <c r="E38" s="94" t="s">
        <v>87</v>
      </c>
      <c r="F38" s="103">
        <f>$C$28</f>
        <v>150</v>
      </c>
      <c r="G38" s="294" t="s">
        <v>76</v>
      </c>
      <c r="H38" s="295"/>
      <c r="I38" s="295"/>
      <c r="J38" s="295"/>
      <c r="K38" s="295"/>
      <c r="L38" s="295"/>
      <c r="M38" s="295"/>
      <c r="N38" s="295"/>
      <c r="O38" s="295"/>
      <c r="P38" s="295"/>
      <c r="Q38" s="295"/>
      <c r="R38" s="295"/>
      <c r="S38" s="295"/>
      <c r="T38" s="295"/>
      <c r="U38" s="295"/>
      <c r="V38" s="295"/>
      <c r="W38" s="295"/>
      <c r="X38" s="295"/>
      <c r="Y38" s="6"/>
    </row>
    <row r="39" spans="2:26" x14ac:dyDescent="0.25">
      <c r="B39" s="20" t="s">
        <v>33</v>
      </c>
      <c r="C39" s="127">
        <v>9.5000000000000001E-2</v>
      </c>
      <c r="E39" s="296" t="s">
        <v>64</v>
      </c>
      <c r="F39" s="299" t="s">
        <v>120</v>
      </c>
      <c r="G39" s="299"/>
      <c r="H39" s="299"/>
      <c r="I39" s="299"/>
      <c r="J39" s="299"/>
      <c r="K39" s="299"/>
      <c r="L39" s="299"/>
      <c r="M39" s="299"/>
      <c r="N39" s="299"/>
      <c r="O39" s="299"/>
      <c r="P39" s="299"/>
      <c r="Q39" s="299"/>
      <c r="R39" s="299"/>
      <c r="S39" s="299"/>
      <c r="T39" s="299"/>
      <c r="U39" s="299"/>
      <c r="V39" s="299"/>
      <c r="W39" s="299"/>
      <c r="X39" s="300"/>
      <c r="Y39" s="6"/>
    </row>
    <row r="40" spans="2:26" x14ac:dyDescent="0.25">
      <c r="B40" s="22" t="s">
        <v>61</v>
      </c>
      <c r="C40" s="69">
        <f>'Reward mechanism'!R14</f>
        <v>1.2</v>
      </c>
      <c r="E40" s="297"/>
      <c r="F40" s="9">
        <f>C47</f>
        <v>6.8164049062035215E-2</v>
      </c>
      <c r="G40" s="10">
        <v>150</v>
      </c>
      <c r="H40" s="10">
        <v>175</v>
      </c>
      <c r="I40" s="10">
        <v>200</v>
      </c>
      <c r="J40" s="10">
        <v>225</v>
      </c>
      <c r="K40" s="10">
        <v>250</v>
      </c>
      <c r="L40" s="10">
        <v>275</v>
      </c>
      <c r="M40" s="10">
        <v>300</v>
      </c>
      <c r="N40" s="10">
        <v>325</v>
      </c>
      <c r="O40" s="10">
        <v>350</v>
      </c>
      <c r="P40" s="10">
        <v>375</v>
      </c>
      <c r="Q40" s="10">
        <v>400</v>
      </c>
      <c r="R40" s="10">
        <v>450</v>
      </c>
      <c r="S40" s="10">
        <v>500</v>
      </c>
      <c r="T40" s="10">
        <v>600</v>
      </c>
      <c r="U40" s="10">
        <v>700</v>
      </c>
      <c r="V40" s="10">
        <v>800</v>
      </c>
      <c r="W40" s="10">
        <v>900</v>
      </c>
      <c r="X40" s="11">
        <v>1000</v>
      </c>
      <c r="Y40" s="6"/>
    </row>
    <row r="41" spans="2:26" x14ac:dyDescent="0.25">
      <c r="B41" s="20" t="s">
        <v>34</v>
      </c>
      <c r="C41" s="69">
        <f>'Reward mechanism'!R9</f>
        <v>0.05</v>
      </c>
      <c r="E41" s="297"/>
      <c r="F41" s="12">
        <v>500000</v>
      </c>
      <c r="G41" s="13">
        <f t="dataTable" ref="G41:X57" dt2D="1" dtr="1" r1="C28" r2="C42" ca="1"/>
        <v>5.6513945867927573E-2</v>
      </c>
      <c r="H41" s="13">
        <v>4.8420418343999572E-2</v>
      </c>
      <c r="I41" s="41">
        <v>4.2248721796765532E-2</v>
      </c>
      <c r="J41" s="41">
        <v>3.7473299336431731E-2</v>
      </c>
      <c r="K41" s="41">
        <v>3.3668504939773136E-2</v>
      </c>
      <c r="L41" s="41">
        <v>3.0565730589981355E-2</v>
      </c>
      <c r="M41" s="41">
        <v>2.798710384675851E-2</v>
      </c>
      <c r="N41" s="41">
        <v>2.5810160179126296E-2</v>
      </c>
      <c r="O41" s="41">
        <v>2.3947827893338713E-2</v>
      </c>
      <c r="P41" s="41">
        <v>2.2336504261001977E-2</v>
      </c>
      <c r="Q41" s="41">
        <v>2.0928647782241461E-2</v>
      </c>
      <c r="R41" s="41">
        <v>1.8586468458568595E-2</v>
      </c>
      <c r="S41" s="41">
        <v>1.6716541500132687E-2</v>
      </c>
      <c r="T41" s="41">
        <v>1.3917997703305041E-2</v>
      </c>
      <c r="U41" s="41">
        <v>1.192369077646438E-2</v>
      </c>
      <c r="V41" s="41">
        <v>1.0430500039687818E-2</v>
      </c>
      <c r="W41" s="41">
        <v>9.2706320909965445E-3</v>
      </c>
      <c r="X41" s="42">
        <v>8.3436832982417553E-3</v>
      </c>
      <c r="Y41" s="6"/>
    </row>
    <row r="42" spans="2:26" x14ac:dyDescent="0.25">
      <c r="B42" s="6" t="s">
        <v>30</v>
      </c>
      <c r="C42" s="70">
        <f>'Reward mechanism'!R6</f>
        <v>250000</v>
      </c>
      <c r="E42" s="297"/>
      <c r="F42" s="12">
        <v>1000000</v>
      </c>
      <c r="G42" s="13">
        <v>5.6554814592211455E-2</v>
      </c>
      <c r="H42" s="13">
        <v>4.8461112979688581E-2</v>
      </c>
      <c r="I42" s="41">
        <v>4.2289180149009509E-2</v>
      </c>
      <c r="J42" s="41">
        <v>3.7513574848433651E-2</v>
      </c>
      <c r="K42" s="41">
        <v>3.3708634766443479E-2</v>
      </c>
      <c r="L42" s="41">
        <v>3.0605741606197778E-2</v>
      </c>
      <c r="M42" s="41">
        <v>2.8027016119301473E-2</v>
      </c>
      <c r="N42" s="41">
        <v>2.5849989087033398E-2</v>
      </c>
      <c r="O42" s="41">
        <v>2.3987585482533103E-2</v>
      </c>
      <c r="P42" s="41">
        <v>2.237620014251207E-2</v>
      </c>
      <c r="Q42" s="41">
        <v>2.0968289747030466E-2</v>
      </c>
      <c r="R42" s="41">
        <v>1.8626020722549486E-2</v>
      </c>
      <c r="S42" s="41">
        <v>1.6756022147644378E-2</v>
      </c>
      <c r="T42" s="41">
        <v>1.3957371165766341E-2</v>
      </c>
      <c r="U42" s="41">
        <v>1.1962987853913365E-2</v>
      </c>
      <c r="V42" s="41">
        <v>1.0469739924273469E-2</v>
      </c>
      <c r="W42" s="41">
        <v>9.3098275490131055E-3</v>
      </c>
      <c r="X42" s="42">
        <v>8.382843250720029E-3</v>
      </c>
      <c r="Y42" s="6"/>
    </row>
    <row r="43" spans="2:26" ht="15.75" thickBot="1" x14ac:dyDescent="0.3">
      <c r="B43" s="6" t="s">
        <v>29</v>
      </c>
      <c r="C43" s="131">
        <f>'Reward mechanism'!R5</f>
        <v>25000000</v>
      </c>
      <c r="E43" s="297"/>
      <c r="F43" s="12">
        <v>1500000</v>
      </c>
      <c r="G43" s="13">
        <v>5.6595684242717992E-2</v>
      </c>
      <c r="H43" s="13">
        <v>4.8501809173323363E-2</v>
      </c>
      <c r="I43" s="41">
        <v>4.2329640050243089E-2</v>
      </c>
      <c r="J43" s="41">
        <v>3.7553851902524915E-2</v>
      </c>
      <c r="K43" s="41">
        <v>3.3748766129728436E-2</v>
      </c>
      <c r="L43" s="41">
        <v>3.0645754154529081E-2</v>
      </c>
      <c r="M43" s="41">
        <v>2.8066929920215422E-2</v>
      </c>
      <c r="N43" s="41">
        <v>2.5889819520188873E-2</v>
      </c>
      <c r="O43" s="41">
        <v>2.402734459426914E-2</v>
      </c>
      <c r="P43" s="41">
        <v>2.2415897544260321E-2</v>
      </c>
      <c r="Q43" s="41">
        <v>2.100793322998995E-2</v>
      </c>
      <c r="R43" s="41">
        <v>1.8665574501356419E-2</v>
      </c>
      <c r="S43" s="41">
        <v>1.679550430722232E-2</v>
      </c>
      <c r="T43" s="41">
        <v>1.3996746136256455E-2</v>
      </c>
      <c r="U43" s="41">
        <v>1.200228643649992E-2</v>
      </c>
      <c r="V43" s="41">
        <v>1.050898131187572E-2</v>
      </c>
      <c r="W43" s="41">
        <v>9.3490245083642787E-3</v>
      </c>
      <c r="X43" s="42">
        <v>8.4220047031959844E-3</v>
      </c>
      <c r="Y43" s="6"/>
      <c r="Z43" s="31"/>
    </row>
    <row r="44" spans="2:26" ht="15" customHeight="1" x14ac:dyDescent="0.25">
      <c r="B44" s="6" t="s">
        <v>70</v>
      </c>
      <c r="C44" s="2">
        <f>C23 * C35 * (1-C30) *C40</f>
        <v>22592.850787936943</v>
      </c>
      <c r="E44" s="297"/>
      <c r="F44" s="12">
        <v>3000000</v>
      </c>
      <c r="G44" s="13">
        <v>5.6718298751474494E-2</v>
      </c>
      <c r="H44" s="13">
        <v>4.8623907102366415E-2</v>
      </c>
      <c r="I44" s="41">
        <v>4.2451029048621747E-2</v>
      </c>
      <c r="J44" s="41">
        <v>3.7674692318047098E-2</v>
      </c>
      <c r="K44" s="41">
        <v>3.3869169439785463E-2</v>
      </c>
      <c r="L44" s="41">
        <v>3.0765800992858416E-2</v>
      </c>
      <c r="M44" s="41">
        <v>2.8186680493921701E-2</v>
      </c>
      <c r="N44" s="41">
        <v>2.6009319971676437E-2</v>
      </c>
      <c r="O44" s="41">
        <v>2.4146631065399271E-2</v>
      </c>
      <c r="P44" s="41">
        <v>2.2534998871372336E-2</v>
      </c>
      <c r="Q44" s="41">
        <v>2.112687278858294E-2</v>
      </c>
      <c r="R44" s="41">
        <v>1.8784244927067872E-2</v>
      </c>
      <c r="S44" s="41">
        <v>1.6913959859094163E-2</v>
      </c>
      <c r="T44" s="41">
        <v>1.4114880096569582E-2</v>
      </c>
      <c r="U44" s="41">
        <v>1.2120191215812204E-2</v>
      </c>
      <c r="V44" s="41">
        <v>1.0626714493201739E-2</v>
      </c>
      <c r="W44" s="41">
        <v>9.4666243948884343E-3</v>
      </c>
      <c r="X44" s="42">
        <v>8.5394980610358218E-3</v>
      </c>
      <c r="Y44" s="6"/>
      <c r="Z44" s="31"/>
    </row>
    <row r="45" spans="2:26" x14ac:dyDescent="0.25">
      <c r="B45" s="22" t="s">
        <v>157</v>
      </c>
      <c r="C45" s="180">
        <f>fixed_opex+pool_rewards_AT*performance_fee</f>
        <v>1469.6425393968473</v>
      </c>
      <c r="D45" s="18"/>
      <c r="E45" s="297"/>
      <c r="F45" s="12">
        <v>5000000</v>
      </c>
      <c r="G45" s="13">
        <v>5.6881797729562367E-2</v>
      </c>
      <c r="H45" s="13">
        <v>4.8786726155709559E-2</v>
      </c>
      <c r="I45" s="41">
        <v>4.261290273615792E-2</v>
      </c>
      <c r="J45" s="41">
        <v>3.7835834465117957E-2</v>
      </c>
      <c r="K45" s="41">
        <v>3.4029728702559714E-2</v>
      </c>
      <c r="L45" s="41">
        <v>3.0925884897166078E-2</v>
      </c>
      <c r="M45" s="41">
        <v>2.8346369326513354E-2</v>
      </c>
      <c r="N45" s="41">
        <v>2.6168675263916308E-2</v>
      </c>
      <c r="O45" s="41">
        <v>2.4305701012748759E-2</v>
      </c>
      <c r="P45" s="41">
        <v>2.2693821927413316E-2</v>
      </c>
      <c r="Q45" s="41">
        <v>2.1285480124729972E-2</v>
      </c>
      <c r="R45" s="41">
        <v>1.8942493371970404E-2</v>
      </c>
      <c r="S45" s="41">
        <v>1.7071921767685128E-2</v>
      </c>
      <c r="T45" s="41">
        <v>1.4272413159690966E-2</v>
      </c>
      <c r="U45" s="41">
        <v>1.2277418663890982E-2</v>
      </c>
      <c r="V45" s="41">
        <v>1.0783713113734938E-2</v>
      </c>
      <c r="W45" s="41">
        <v>9.6234452655163949E-3</v>
      </c>
      <c r="X45" s="42">
        <v>8.6961768746316448E-3</v>
      </c>
      <c r="Y45" s="6"/>
      <c r="Z45" s="31"/>
    </row>
    <row r="46" spans="2:26" ht="15.75" thickBot="1" x14ac:dyDescent="0.3">
      <c r="B46" s="22" t="s">
        <v>158</v>
      </c>
      <c r="C46" s="180">
        <f>pool_rewards_AT-C45</f>
        <v>21123.208248540097</v>
      </c>
      <c r="D46" s="18"/>
      <c r="E46" s="297"/>
      <c r="F46" s="12">
        <v>10000000</v>
      </c>
      <c r="G46" s="13">
        <v>5.7290610001165421E-2</v>
      </c>
      <c r="H46" s="13">
        <v>4.9193882885412377E-2</v>
      </c>
      <c r="I46" s="41">
        <v>4.3017695426694758E-2</v>
      </c>
      <c r="J46" s="41">
        <v>3.8238797821039228E-2</v>
      </c>
      <c r="K46" s="41">
        <v>3.4431234462534155E-2</v>
      </c>
      <c r="L46" s="41">
        <v>3.1326201946816568E-2</v>
      </c>
      <c r="M46" s="41">
        <v>2.8745698435829192E-2</v>
      </c>
      <c r="N46" s="41">
        <v>2.6567170301877718E-2</v>
      </c>
      <c r="O46" s="41">
        <v>2.4703482499880192E-2</v>
      </c>
      <c r="P46" s="41">
        <v>2.3090986023116544E-2</v>
      </c>
      <c r="Q46" s="41">
        <v>2.1682104778142142E-2</v>
      </c>
      <c r="R46" s="41">
        <v>1.9338220560030539E-2</v>
      </c>
      <c r="S46" s="41">
        <v>1.7466932425547421E-2</v>
      </c>
      <c r="T46" s="41">
        <v>1.4666351420450141E-2</v>
      </c>
      <c r="U46" s="41">
        <v>1.2670592684931314E-2</v>
      </c>
      <c r="V46" s="41">
        <v>1.1176314914650654E-2</v>
      </c>
      <c r="W46" s="41">
        <v>1.0015602574162008E-2</v>
      </c>
      <c r="X46" s="42">
        <v>9.0879789468094607E-3</v>
      </c>
      <c r="Y46" s="6"/>
      <c r="Z46" s="31"/>
    </row>
    <row r="47" spans="2:26" x14ac:dyDescent="0.25">
      <c r="B47" s="37" t="s">
        <v>51</v>
      </c>
      <c r="C47" s="66">
        <f>(1+C44 /(C43*(C43&gt;=C42)) ) ^ 73 -1</f>
        <v>6.8164049062035215E-2</v>
      </c>
      <c r="D47" s="18"/>
      <c r="E47" s="297"/>
      <c r="F47" s="12">
        <v>15000000</v>
      </c>
      <c r="G47" s="13">
        <v>5.7699514870907187E-2</v>
      </c>
      <c r="H47" s="13">
        <v>4.9601195514146434E-2</v>
      </c>
      <c r="I47" s="41">
        <v>4.342264312359001E-2</v>
      </c>
      <c r="J47" s="41">
        <v>3.8641915492560353E-2</v>
      </c>
      <c r="K47" s="41">
        <v>3.4832893987663205E-2</v>
      </c>
      <c r="L47" s="41">
        <v>3.1726672312702542E-2</v>
      </c>
      <c r="M47" s="41">
        <v>2.914518048821213E-2</v>
      </c>
      <c r="N47" s="41">
        <v>2.6965817967898431E-2</v>
      </c>
      <c r="O47" s="41">
        <v>2.5101416345603811E-2</v>
      </c>
      <c r="P47" s="41">
        <v>2.3488302244206727E-2</v>
      </c>
      <c r="Q47" s="41">
        <v>2.2078881353160718E-2</v>
      </c>
      <c r="R47" s="41">
        <v>1.9734099330700694E-2</v>
      </c>
      <c r="S47" s="41">
        <v>1.7862094395354911E-2</v>
      </c>
      <c r="T47" s="41">
        <v>1.5060440588064994E-2</v>
      </c>
      <c r="U47" s="41">
        <v>1.3063917324182217E-2</v>
      </c>
      <c r="V47" s="41">
        <v>1.1569067117601195E-2</v>
      </c>
      <c r="W47" s="41">
        <v>1.0407910116933428E-2</v>
      </c>
      <c r="X47" s="42">
        <v>9.4799311188917823E-3</v>
      </c>
      <c r="Y47" s="6"/>
      <c r="Z47" s="31"/>
    </row>
    <row r="48" spans="2:26" x14ac:dyDescent="0.25">
      <c r="B48" s="38" t="s">
        <v>52</v>
      </c>
      <c r="C48" s="67">
        <f>(C46/$C$43 +1)^ 73 -1</f>
        <v>6.3593985226913619E-2</v>
      </c>
      <c r="D48" s="18"/>
      <c r="E48" s="297"/>
      <c r="F48" s="12">
        <v>20000000</v>
      </c>
      <c r="G48" s="13">
        <v>5.8108512324931416E-2</v>
      </c>
      <c r="H48" s="13">
        <v>5.0008664100739564E-2</v>
      </c>
      <c r="I48" s="13">
        <v>4.3827745885412162E-2</v>
      </c>
      <c r="J48" s="13">
        <v>3.9045187537914083E-2</v>
      </c>
      <c r="K48" s="13">
        <v>3.5234707335975557E-2</v>
      </c>
      <c r="L48" s="13">
        <v>3.2127296052666177E-2</v>
      </c>
      <c r="M48" s="13">
        <v>2.954481554145838E-2</v>
      </c>
      <c r="N48" s="13">
        <v>2.7364618319635436E-2</v>
      </c>
      <c r="O48" s="13">
        <v>2.5499502607411184E-2</v>
      </c>
      <c r="P48" s="13">
        <v>2.3885770648103932E-2</v>
      </c>
      <c r="Q48" s="13">
        <v>2.2475809907191557E-2</v>
      </c>
      <c r="R48" s="13">
        <v>2.0130129741270597E-2</v>
      </c>
      <c r="S48" s="13">
        <v>1.8257407734316056E-2</v>
      </c>
      <c r="T48" s="13">
        <v>1.5454680719577896E-2</v>
      </c>
      <c r="U48" s="13">
        <v>1.345739263849266E-2</v>
      </c>
      <c r="V48" s="13">
        <v>1.1961969779376913E-2</v>
      </c>
      <c r="W48" s="13">
        <v>1.0800367950538403E-2</v>
      </c>
      <c r="X48" s="16">
        <v>9.8720334475697058E-3</v>
      </c>
      <c r="Y48" s="6"/>
      <c r="Z48" s="31"/>
    </row>
    <row r="49" spans="1:26" ht="15.75" thickBot="1" x14ac:dyDescent="0.3">
      <c r="B49" s="39" t="s">
        <v>94</v>
      </c>
      <c r="C49" s="40">
        <f>C47-C48</f>
        <v>4.5700638351215961E-3</v>
      </c>
      <c r="D49" s="18"/>
      <c r="E49" s="297"/>
      <c r="F49" s="12">
        <v>32000000</v>
      </c>
      <c r="G49" s="13">
        <v>5.9090483875522848E-2</v>
      </c>
      <c r="H49" s="13">
        <v>5.0987225369185651E-2</v>
      </c>
      <c r="I49" s="13">
        <v>4.4800625529001215E-2</v>
      </c>
      <c r="J49" s="13">
        <v>4.0013670641007915E-2</v>
      </c>
      <c r="K49" s="13">
        <v>3.6199687318264395E-2</v>
      </c>
      <c r="L49" s="13">
        <v>3.3089419141623777E-2</v>
      </c>
      <c r="M49" s="13">
        <v>3.0504564258523992E-2</v>
      </c>
      <c r="N49" s="13">
        <v>2.8322362466653317E-2</v>
      </c>
      <c r="O49" s="13">
        <v>2.6455531838030844E-2</v>
      </c>
      <c r="P49" s="13">
        <v>2.4840316067449075E-2</v>
      </c>
      <c r="Q49" s="13">
        <v>2.3429058854737894E-2</v>
      </c>
      <c r="R49" s="13">
        <v>2.1081221760135493E-2</v>
      </c>
      <c r="S49" s="13">
        <v>1.920677767602319E-2</v>
      </c>
      <c r="T49" s="13">
        <v>1.6401473309135106E-2</v>
      </c>
      <c r="U49" s="13">
        <v>1.4402348487830841E-2</v>
      </c>
      <c r="V49" s="13">
        <v>1.2905550379839204E-2</v>
      </c>
      <c r="W49" s="13">
        <v>1.1742880277702428E-2</v>
      </c>
      <c r="X49" s="46">
        <v>1.0809119865640593E-2</v>
      </c>
      <c r="Y49" s="6"/>
      <c r="Z49" s="31"/>
    </row>
    <row r="50" spans="1:26" x14ac:dyDescent="0.25">
      <c r="B50" s="17" t="s">
        <v>68</v>
      </c>
      <c r="C50" s="203"/>
      <c r="E50" s="297"/>
      <c r="F50" s="12">
        <v>50000000</v>
      </c>
      <c r="G50" s="13">
        <v>6.0564440541497566E-2</v>
      </c>
      <c r="H50" s="13">
        <v>5.2456754035070663E-2</v>
      </c>
      <c r="I50" s="13">
        <v>4.62616220997909E-2</v>
      </c>
      <c r="J50" s="13">
        <v>4.1468064927139725E-2</v>
      </c>
      <c r="K50" s="13">
        <v>3.764882096772304E-2</v>
      </c>
      <c r="L50" s="13">
        <v>3.4534262593990617E-2</v>
      </c>
      <c r="M50" s="13">
        <v>3.1945842116157808E-2</v>
      </c>
      <c r="N50" s="13">
        <v>2.9760630060961635E-2</v>
      </c>
      <c r="O50" s="13">
        <v>2.7891224141886273E-2</v>
      </c>
      <c r="P50" s="13">
        <v>2.6273780131435664E-2</v>
      </c>
      <c r="Q50" s="13">
        <v>2.4860576006526358E-2</v>
      </c>
      <c r="R50" s="13">
        <v>2.2509499851258497E-2</v>
      </c>
      <c r="S50" s="13">
        <v>2.0632469723085078E-2</v>
      </c>
      <c r="T50" s="13">
        <v>1.7823294945157553E-2</v>
      </c>
      <c r="U50" s="43">
        <v>1.547680076653335E-2</v>
      </c>
      <c r="V50" s="43">
        <v>1.3529355792741837E-2</v>
      </c>
      <c r="W50" s="43">
        <v>1.2017223459768411E-2</v>
      </c>
      <c r="X50" s="46">
        <v>1.0809119865640593E-2</v>
      </c>
      <c r="Y50" s="6"/>
      <c r="Z50" s="31"/>
    </row>
    <row r="51" spans="1:26" x14ac:dyDescent="0.25">
      <c r="A51" s="6">
        <v>212</v>
      </c>
      <c r="B51" s="47" t="s">
        <v>122</v>
      </c>
      <c r="C51" s="204">
        <f>SKY!E5</f>
        <v>31744610633.902542</v>
      </c>
      <c r="E51" s="297"/>
      <c r="F51" s="12">
        <v>76000000</v>
      </c>
      <c r="G51" s="13">
        <v>6.2695604985722797E-2</v>
      </c>
      <c r="H51" s="13">
        <v>5.4582985031608855E-2</v>
      </c>
      <c r="I51" s="13">
        <v>4.8375508470319462E-2</v>
      </c>
      <c r="J51" s="13">
        <v>4.3572398808626067E-2</v>
      </c>
      <c r="K51" s="13">
        <v>3.9745543517421877E-2</v>
      </c>
      <c r="L51" s="13">
        <v>3.6624777888226934E-2</v>
      </c>
      <c r="M51" s="13">
        <v>3.4031198542782581E-2</v>
      </c>
      <c r="N51" s="13">
        <v>3.1841631098924461E-2</v>
      </c>
      <c r="O51" s="13">
        <v>2.9968499129966464E-2</v>
      </c>
      <c r="P51" s="13">
        <v>2.8347831198396012E-2</v>
      </c>
      <c r="Q51" s="13">
        <v>2.6931810190307104E-2</v>
      </c>
      <c r="R51" s="43">
        <v>2.4176858889919606E-2</v>
      </c>
      <c r="S51" s="43">
        <v>2.1733459250703913E-2</v>
      </c>
      <c r="T51" s="43">
        <v>1.8079136127590045E-2</v>
      </c>
      <c r="U51" s="43">
        <v>1.547680076653335E-2</v>
      </c>
      <c r="V51" s="43">
        <v>1.3529355792741837E-2</v>
      </c>
      <c r="W51" s="43">
        <v>1.2017223459768411E-2</v>
      </c>
      <c r="X51" s="46">
        <v>1.0809119865640593E-2</v>
      </c>
      <c r="Y51" s="6"/>
      <c r="Z51" s="31"/>
    </row>
    <row r="52" spans="1:26" x14ac:dyDescent="0.25">
      <c r="A52" s="6">
        <v>213</v>
      </c>
      <c r="B52" s="47" t="s">
        <v>123</v>
      </c>
      <c r="C52" s="204">
        <f>SKY!E6</f>
        <v>31784278115.900009</v>
      </c>
      <c r="E52" s="297"/>
      <c r="F52" s="12">
        <v>83000000</v>
      </c>
      <c r="G52" s="13">
        <v>6.3269807062227512E-2</v>
      </c>
      <c r="H52" s="13">
        <v>5.5156155343816904E-2</v>
      </c>
      <c r="I52" s="13">
        <v>4.8945351086991273E-2</v>
      </c>
      <c r="J52" s="13">
        <v>4.4139666395644594E-2</v>
      </c>
      <c r="K52" s="13">
        <v>4.0310759345347558E-2</v>
      </c>
      <c r="L52" s="13">
        <v>3.718832044869913E-2</v>
      </c>
      <c r="M52" s="13">
        <v>3.4593350445874638E-2</v>
      </c>
      <c r="N52" s="43">
        <v>3.2402608935526045E-2</v>
      </c>
      <c r="O52" s="43">
        <v>3.0528472548641217E-2</v>
      </c>
      <c r="P52" s="43">
        <v>2.8906935556177071E-2</v>
      </c>
      <c r="Q52" s="43">
        <v>2.7239214193887751E-2</v>
      </c>
      <c r="R52" s="43">
        <v>2.4176858889919606E-2</v>
      </c>
      <c r="S52" s="43">
        <v>2.1733459250703913E-2</v>
      </c>
      <c r="T52" s="43">
        <v>1.8079136127590045E-2</v>
      </c>
      <c r="U52" s="43">
        <v>1.547680076653335E-2</v>
      </c>
      <c r="V52" s="43">
        <v>1.3529355792741837E-2</v>
      </c>
      <c r="W52" s="43">
        <v>1.2017223459768411E-2</v>
      </c>
      <c r="X52" s="46">
        <v>1.0809119865640593E-2</v>
      </c>
      <c r="Y52" s="6"/>
      <c r="Z52" s="31"/>
    </row>
    <row r="53" spans="1:26" x14ac:dyDescent="0.25">
      <c r="A53" s="6">
        <v>214</v>
      </c>
      <c r="B53" s="47" t="s">
        <v>124</v>
      </c>
      <c r="C53" s="204">
        <f>SKY!E7</f>
        <v>31823826595.451485</v>
      </c>
      <c r="E53" s="297"/>
      <c r="F53" s="12">
        <v>150000000</v>
      </c>
      <c r="G53" s="13">
        <v>6.8774897368147681E-2</v>
      </c>
      <c r="H53" s="13">
        <v>6.0657781928497911E-2</v>
      </c>
      <c r="I53" s="13">
        <v>5.441503774191303E-2</v>
      </c>
      <c r="J53" s="43">
        <v>4.8930040672782393E-2</v>
      </c>
      <c r="K53" s="43">
        <v>4.3932652893603708E-2</v>
      </c>
      <c r="L53" s="43">
        <v>3.9861353646200692E-2</v>
      </c>
      <c r="M53" s="43">
        <v>3.6480570252063194E-2</v>
      </c>
      <c r="N53" s="43">
        <v>3.362837664963636E-2</v>
      </c>
      <c r="O53" s="43">
        <v>3.1189801631936076E-2</v>
      </c>
      <c r="P53" s="43">
        <v>2.908096049946729E-2</v>
      </c>
      <c r="Q53" s="43">
        <v>2.7239214193887751E-2</v>
      </c>
      <c r="R53" s="43">
        <v>2.4176858889919606E-2</v>
      </c>
      <c r="S53" s="43">
        <v>2.1733459250703913E-2</v>
      </c>
      <c r="T53" s="43">
        <v>1.8079136127590045E-2</v>
      </c>
      <c r="U53" s="43">
        <v>1.547680076653335E-2</v>
      </c>
      <c r="V53" s="43">
        <v>1.3529355792741837E-2</v>
      </c>
      <c r="W53" s="43">
        <v>1.2017223459768411E-2</v>
      </c>
      <c r="X53" s="46">
        <v>1.0809119865640593E-2</v>
      </c>
      <c r="Y53" s="6"/>
      <c r="Z53" s="31"/>
    </row>
    <row r="54" spans="1:26" x14ac:dyDescent="0.25">
      <c r="A54" s="6">
        <v>215</v>
      </c>
      <c r="B54" s="47" t="s">
        <v>125</v>
      </c>
      <c r="C54" s="204">
        <f>SKY!E8</f>
        <v>31863256429.564308</v>
      </c>
      <c r="E54" s="297"/>
      <c r="F54" s="12">
        <v>175000000</v>
      </c>
      <c r="G54" s="13">
        <v>7.0833278704228952E-2</v>
      </c>
      <c r="H54" s="13">
        <v>6.2717867574671349E-2</v>
      </c>
      <c r="I54" s="43">
        <v>5.5209966801087695E-2</v>
      </c>
      <c r="J54" s="43">
        <v>4.8930040672782393E-2</v>
      </c>
      <c r="K54" s="43">
        <v>4.3932652893603708E-2</v>
      </c>
      <c r="L54" s="43">
        <v>3.9861353646200692E-2</v>
      </c>
      <c r="M54" s="43">
        <v>3.6480570252063194E-2</v>
      </c>
      <c r="N54" s="43">
        <v>3.362837664963636E-2</v>
      </c>
      <c r="O54" s="43">
        <v>3.1189801631936076E-2</v>
      </c>
      <c r="P54" s="43">
        <v>2.908096049946729E-2</v>
      </c>
      <c r="Q54" s="43">
        <v>2.7239214193887751E-2</v>
      </c>
      <c r="R54" s="43">
        <v>2.4176858889919606E-2</v>
      </c>
      <c r="S54" s="43">
        <v>2.1733459250703913E-2</v>
      </c>
      <c r="T54" s="43">
        <v>1.8079136127590045E-2</v>
      </c>
      <c r="U54" s="43">
        <v>1.547680076653335E-2</v>
      </c>
      <c r="V54" s="43">
        <v>1.3529355792741837E-2</v>
      </c>
      <c r="W54" s="43">
        <v>1.2017223459768411E-2</v>
      </c>
      <c r="X54" s="46">
        <v>1.0809119865640593E-2</v>
      </c>
      <c r="Y54" s="6"/>
      <c r="Z54" s="31"/>
    </row>
    <row r="55" spans="1:26" x14ac:dyDescent="0.25">
      <c r="A55" s="6">
        <v>216</v>
      </c>
      <c r="B55" s="47" t="s">
        <v>126</v>
      </c>
      <c r="C55" s="204">
        <f>SKY!E9</f>
        <v>31902567974.174789</v>
      </c>
      <c r="E55" s="297"/>
      <c r="F55" s="12">
        <v>185000000</v>
      </c>
      <c r="G55" s="13">
        <v>7.1657276250617574E-2</v>
      </c>
      <c r="H55" s="43">
        <v>6.3338672220850656E-2</v>
      </c>
      <c r="I55" s="43">
        <v>5.5209966801087695E-2</v>
      </c>
      <c r="J55" s="43">
        <v>4.8930040672782393E-2</v>
      </c>
      <c r="K55" s="43">
        <v>4.3932652893603708E-2</v>
      </c>
      <c r="L55" s="43">
        <v>3.9861353646200692E-2</v>
      </c>
      <c r="M55" s="43">
        <v>3.6480570252063194E-2</v>
      </c>
      <c r="N55" s="43">
        <v>3.362837664963636E-2</v>
      </c>
      <c r="O55" s="43">
        <v>3.1189801631936076E-2</v>
      </c>
      <c r="P55" s="43">
        <v>2.908096049946729E-2</v>
      </c>
      <c r="Q55" s="43">
        <v>2.7239214193887751E-2</v>
      </c>
      <c r="R55" s="43">
        <v>2.4176858889919606E-2</v>
      </c>
      <c r="S55" s="43">
        <v>2.1733459250703913E-2</v>
      </c>
      <c r="T55" s="43">
        <v>1.8079136127590045E-2</v>
      </c>
      <c r="U55" s="43">
        <v>1.547680076653335E-2</v>
      </c>
      <c r="V55" s="43">
        <v>1.3529355792741837E-2</v>
      </c>
      <c r="W55" s="43">
        <v>1.2017223459768411E-2</v>
      </c>
      <c r="X55" s="46">
        <v>1.0809119865640593E-2</v>
      </c>
      <c r="Y55" s="6"/>
      <c r="Z55" s="31"/>
    </row>
    <row r="56" spans="1:26" x14ac:dyDescent="0.25">
      <c r="A56" s="6">
        <v>217</v>
      </c>
      <c r="B56" s="47" t="s">
        <v>141</v>
      </c>
      <c r="C56" s="204">
        <f>SKY!E10</f>
        <v>31941761584.15144</v>
      </c>
      <c r="D56" s="74"/>
      <c r="E56" s="297"/>
      <c r="F56" s="12">
        <v>195000000</v>
      </c>
      <c r="G56" s="13">
        <v>7.2481642200712848E-2</v>
      </c>
      <c r="H56" s="43">
        <v>6.3338672220850656E-2</v>
      </c>
      <c r="I56" s="43">
        <v>5.5209966801087695E-2</v>
      </c>
      <c r="J56" s="43">
        <v>4.8930040672782393E-2</v>
      </c>
      <c r="K56" s="43">
        <v>4.3932652893603708E-2</v>
      </c>
      <c r="L56" s="43">
        <v>3.9861353646200692E-2</v>
      </c>
      <c r="M56" s="43">
        <v>3.6480570252063194E-2</v>
      </c>
      <c r="N56" s="43">
        <v>3.362837664963636E-2</v>
      </c>
      <c r="O56" s="43">
        <v>3.1189801631936076E-2</v>
      </c>
      <c r="P56" s="43">
        <v>2.908096049946729E-2</v>
      </c>
      <c r="Q56" s="43">
        <v>2.7239214193887751E-2</v>
      </c>
      <c r="R56" s="43">
        <v>2.4176858889919606E-2</v>
      </c>
      <c r="S56" s="43">
        <v>2.1733459250703913E-2</v>
      </c>
      <c r="T56" s="43">
        <v>1.8079136127590045E-2</v>
      </c>
      <c r="U56" s="43">
        <v>1.547680076653335E-2</v>
      </c>
      <c r="V56" s="43">
        <v>1.3529355792741837E-2</v>
      </c>
      <c r="W56" s="43">
        <v>1.2017223459768411E-2</v>
      </c>
      <c r="X56" s="46">
        <v>1.0809119865640593E-2</v>
      </c>
      <c r="Y56" s="79">
        <f>SUM(G28:X28)</f>
        <v>150</v>
      </c>
      <c r="Z56" s="31"/>
    </row>
    <row r="57" spans="1:26" x14ac:dyDescent="0.25">
      <c r="A57" s="6">
        <v>218</v>
      </c>
      <c r="B57" s="47" t="s">
        <v>142</v>
      </c>
      <c r="C57" s="204">
        <f>SKY!E11</f>
        <v>31980837613.298161</v>
      </c>
      <c r="E57" s="298"/>
      <c r="F57" s="27">
        <v>209968861</v>
      </c>
      <c r="G57" s="14">
        <v>7.3716312342523294E-2</v>
      </c>
      <c r="H57" s="44">
        <v>6.3338672220850656E-2</v>
      </c>
      <c r="I57" s="44">
        <v>5.5209966801087695E-2</v>
      </c>
      <c r="J57" s="44">
        <v>4.8930040672782393E-2</v>
      </c>
      <c r="K57" s="44">
        <v>4.3932652893603708E-2</v>
      </c>
      <c r="L57" s="44">
        <v>3.9861353646200692E-2</v>
      </c>
      <c r="M57" s="44">
        <v>3.6480570252063194E-2</v>
      </c>
      <c r="N57" s="44">
        <v>3.362837664963636E-2</v>
      </c>
      <c r="O57" s="44">
        <v>3.1189801631936076E-2</v>
      </c>
      <c r="P57" s="44">
        <v>2.908096049946729E-2</v>
      </c>
      <c r="Q57" s="44">
        <v>2.7239214193887751E-2</v>
      </c>
      <c r="R57" s="44">
        <v>2.4176858889919606E-2</v>
      </c>
      <c r="S57" s="44">
        <v>2.1733459250703913E-2</v>
      </c>
      <c r="T57" s="44">
        <v>1.8079136127590045E-2</v>
      </c>
      <c r="U57" s="44">
        <v>1.547680076653335E-2</v>
      </c>
      <c r="V57" s="44">
        <v>1.3529355792741837E-2</v>
      </c>
      <c r="W57" s="44">
        <v>1.2017223459768411E-2</v>
      </c>
      <c r="X57" s="45">
        <v>1.0809119865640593E-2</v>
      </c>
      <c r="Y57" s="6"/>
      <c r="Z57" s="31"/>
    </row>
    <row r="58" spans="1:26" x14ac:dyDescent="0.25">
      <c r="A58" s="6">
        <v>219</v>
      </c>
      <c r="B58" s="47" t="s">
        <v>143</v>
      </c>
      <c r="C58" s="204">
        <f>SKY!E12</f>
        <v>32019796414.357441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31"/>
    </row>
    <row r="59" spans="1:26" x14ac:dyDescent="0.25">
      <c r="A59" s="6">
        <v>220</v>
      </c>
      <c r="B59" s="47" t="s">
        <v>144</v>
      </c>
      <c r="C59" s="204">
        <f>SKY!E13</f>
        <v>32058638339.013546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31"/>
    </row>
    <row r="60" spans="1:26" x14ac:dyDescent="0.25">
      <c r="A60" s="6">
        <v>221</v>
      </c>
      <c r="B60" s="47" t="s">
        <v>145</v>
      </c>
      <c r="C60" s="204">
        <f>SKY!E14</f>
        <v>32097363737.895683</v>
      </c>
      <c r="E60" s="17" t="s">
        <v>55</v>
      </c>
      <c r="F60" s="31">
        <f>$C$27</f>
        <v>217</v>
      </c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5"/>
      <c r="T60" s="65"/>
      <c r="U60" s="64"/>
      <c r="V60" s="64"/>
      <c r="W60" s="64"/>
      <c r="X60" s="64"/>
      <c r="Y60" s="6"/>
      <c r="Z60" s="31"/>
    </row>
    <row r="61" spans="1:26" x14ac:dyDescent="0.25">
      <c r="A61" s="6">
        <v>222</v>
      </c>
      <c r="B61" s="47" t="s">
        <v>146</v>
      </c>
      <c r="C61" s="204">
        <f>SKY!E15</f>
        <v>32135972960.581173</v>
      </c>
      <c r="E61" s="17" t="s">
        <v>72</v>
      </c>
      <c r="F61" s="71">
        <f>$C$39</f>
        <v>9.5000000000000001E-2</v>
      </c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5"/>
      <c r="T61" s="65"/>
      <c r="U61" s="64"/>
      <c r="V61" s="64"/>
      <c r="W61" s="64"/>
      <c r="X61" s="64"/>
      <c r="Y61" s="6"/>
      <c r="Z61" s="31"/>
    </row>
    <row r="62" spans="1:26" x14ac:dyDescent="0.25">
      <c r="A62" s="6">
        <v>223</v>
      </c>
      <c r="B62" s="47" t="s">
        <v>147</v>
      </c>
      <c r="C62" s="204">
        <f>SKY!E16</f>
        <v>32174466355.598606</v>
      </c>
      <c r="E62" s="17" t="s">
        <v>71</v>
      </c>
      <c r="F62" s="72">
        <f>$C$41</f>
        <v>0.05</v>
      </c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5"/>
      <c r="T62" s="65"/>
      <c r="U62" s="64"/>
      <c r="V62" s="64"/>
      <c r="W62" s="64"/>
      <c r="X62" s="64"/>
      <c r="Y62" s="6"/>
      <c r="Z62" s="31"/>
    </row>
    <row r="63" spans="1:26" x14ac:dyDescent="0.25">
      <c r="A63" s="6">
        <v>224</v>
      </c>
      <c r="B63" s="47" t="s">
        <v>148</v>
      </c>
      <c r="C63" s="204">
        <f>SKY!E17</f>
        <v>32212844270.430984</v>
      </c>
      <c r="E63" s="17" t="s">
        <v>46</v>
      </c>
      <c r="F63" s="102">
        <f>$C$42</f>
        <v>250000</v>
      </c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5"/>
      <c r="T63" s="65"/>
      <c r="U63" s="64"/>
      <c r="V63" s="64"/>
      <c r="W63" s="64"/>
      <c r="X63" s="64"/>
      <c r="Y63" s="6"/>
      <c r="Z63" s="31"/>
    </row>
    <row r="64" spans="1:26" x14ac:dyDescent="0.25">
      <c r="A64" s="6">
        <v>225</v>
      </c>
      <c r="B64" s="47" t="s">
        <v>149</v>
      </c>
      <c r="C64" s="204">
        <f>SKY!E18</f>
        <v>32251107051.518867</v>
      </c>
      <c r="E64" s="94" t="s">
        <v>87</v>
      </c>
      <c r="F64" s="103">
        <f>$C$28</f>
        <v>150</v>
      </c>
      <c r="G64" s="291" t="s">
        <v>74</v>
      </c>
      <c r="H64" s="291"/>
      <c r="I64" s="291"/>
      <c r="J64" s="291"/>
      <c r="K64" s="291"/>
      <c r="L64" s="291"/>
      <c r="M64" s="291"/>
      <c r="N64" s="291"/>
      <c r="O64" s="291"/>
      <c r="P64" s="291"/>
      <c r="Q64" s="291"/>
      <c r="R64" s="291"/>
      <c r="S64" s="291"/>
      <c r="T64" s="291"/>
      <c r="U64" s="291"/>
      <c r="V64" s="291"/>
      <c r="W64" s="291"/>
      <c r="X64" s="291"/>
      <c r="Y64" s="88">
        <v>0</v>
      </c>
      <c r="Z64" s="31"/>
    </row>
    <row r="65" spans="1:26" x14ac:dyDescent="0.25">
      <c r="A65" s="6">
        <v>226</v>
      </c>
      <c r="B65" s="47" t="s">
        <v>150</v>
      </c>
      <c r="C65" s="204">
        <f>SKY!E19</f>
        <v>32289255044.263489</v>
      </c>
      <c r="E65" s="296" t="s">
        <v>28</v>
      </c>
      <c r="F65" s="299" t="s">
        <v>120</v>
      </c>
      <c r="G65" s="299"/>
      <c r="H65" s="299"/>
      <c r="I65" s="299"/>
      <c r="J65" s="299"/>
      <c r="K65" s="299"/>
      <c r="L65" s="299"/>
      <c r="M65" s="299"/>
      <c r="N65" s="299"/>
      <c r="O65" s="299"/>
      <c r="P65" s="299"/>
      <c r="Q65" s="299"/>
      <c r="R65" s="299"/>
      <c r="S65" s="299"/>
      <c r="T65" s="299"/>
      <c r="U65" s="299"/>
      <c r="V65" s="299"/>
      <c r="W65" s="299"/>
      <c r="X65" s="300"/>
      <c r="Y65" s="88">
        <v>3.1200077904872279E-3</v>
      </c>
      <c r="Z65" s="31"/>
    </row>
    <row r="66" spans="1:26" x14ac:dyDescent="0.25">
      <c r="A66" s="6">
        <v>227</v>
      </c>
      <c r="B66" s="47" t="s">
        <v>151</v>
      </c>
      <c r="C66" s="204">
        <f>SKY!E20</f>
        <v>32327288593.029873</v>
      </c>
      <c r="E66" s="297"/>
      <c r="F66" s="52">
        <f>C44</f>
        <v>22592.850787936943</v>
      </c>
      <c r="G66" s="10">
        <f t="shared" ref="G66:X66" si="5">G40</f>
        <v>150</v>
      </c>
      <c r="H66" s="10">
        <f t="shared" si="5"/>
        <v>175</v>
      </c>
      <c r="I66" s="10">
        <f t="shared" si="5"/>
        <v>200</v>
      </c>
      <c r="J66" s="10">
        <f t="shared" si="5"/>
        <v>225</v>
      </c>
      <c r="K66" s="10">
        <f t="shared" si="5"/>
        <v>250</v>
      </c>
      <c r="L66" s="10">
        <f t="shared" si="5"/>
        <v>275</v>
      </c>
      <c r="M66" s="10">
        <f t="shared" si="5"/>
        <v>300</v>
      </c>
      <c r="N66" s="10">
        <f t="shared" si="5"/>
        <v>325</v>
      </c>
      <c r="O66" s="10">
        <f t="shared" si="5"/>
        <v>350</v>
      </c>
      <c r="P66" s="10">
        <f t="shared" si="5"/>
        <v>375</v>
      </c>
      <c r="Q66" s="10">
        <f t="shared" si="5"/>
        <v>400</v>
      </c>
      <c r="R66" s="10">
        <f t="shared" si="5"/>
        <v>450</v>
      </c>
      <c r="S66" s="10">
        <f t="shared" si="5"/>
        <v>500</v>
      </c>
      <c r="T66" s="10">
        <f t="shared" si="5"/>
        <v>600</v>
      </c>
      <c r="U66" s="10">
        <f t="shared" si="5"/>
        <v>700</v>
      </c>
      <c r="V66" s="10">
        <f t="shared" si="5"/>
        <v>800</v>
      </c>
      <c r="W66" s="10">
        <f t="shared" si="5"/>
        <v>900</v>
      </c>
      <c r="X66" s="11">
        <f t="shared" si="5"/>
        <v>1000</v>
      </c>
      <c r="Y66" s="88">
        <v>7.8000194762180711E-3</v>
      </c>
      <c r="Z66" s="31"/>
    </row>
    <row r="67" spans="1:26" ht="15.75" thickBot="1" x14ac:dyDescent="0.3">
      <c r="A67" s="6">
        <v>228</v>
      </c>
      <c r="B67" s="47" t="s">
        <v>152</v>
      </c>
      <c r="C67" s="204">
        <f>SKY!E21</f>
        <v>32365208041.14996</v>
      </c>
      <c r="E67" s="297"/>
      <c r="F67" s="12">
        <v>500000</v>
      </c>
      <c r="G67" s="53">
        <f t="dataTable" ref="G67:X83" dt2D="1" dtr="1" r1="C28" r2="C43" ca="1"/>
        <v>-47176.751032934379</v>
      </c>
      <c r="H67" s="53">
        <v>-40620.797942150639</v>
      </c>
      <c r="I67" s="54">
        <v>-35467.914977747765</v>
      </c>
      <c r="J67" s="54">
        <v>-31460.117116545538</v>
      </c>
      <c r="K67" s="54">
        <v>-28253.878827583751</v>
      </c>
      <c r="L67" s="54">
        <v>-25630.592954796834</v>
      </c>
      <c r="M67" s="54">
        <v>-23444.521394141069</v>
      </c>
      <c r="N67" s="54">
        <v>-21594.768535124655</v>
      </c>
      <c r="O67" s="54">
        <v>-20009.266084539158</v>
      </c>
      <c r="P67" s="54">
        <v>-18635.163960698392</v>
      </c>
      <c r="Q67" s="54">
        <v>-17432.824602337725</v>
      </c>
      <c r="R67" s="54">
        <v>-15428.925671736606</v>
      </c>
      <c r="S67" s="54">
        <v>-13825.806527255712</v>
      </c>
      <c r="T67" s="54">
        <v>-11421.127810534381</v>
      </c>
      <c r="U67" s="54">
        <v>-9703.5001557334199</v>
      </c>
      <c r="V67" s="54">
        <v>-8415.2794146327033</v>
      </c>
      <c r="W67" s="54">
        <v>-7413.3299493321438</v>
      </c>
      <c r="X67" s="55">
        <v>-6611.770377091696</v>
      </c>
      <c r="Y67" s="88">
        <v>3.1200077904872284E-2</v>
      </c>
      <c r="Z67" s="31"/>
    </row>
    <row r="68" spans="1:26" ht="15.75" thickBot="1" x14ac:dyDescent="0.3">
      <c r="A68" s="6">
        <v>229</v>
      </c>
      <c r="B68" s="47" t="s">
        <v>153</v>
      </c>
      <c r="C68" s="204">
        <f>SKY!E22</f>
        <v>32403013730.925686</v>
      </c>
      <c r="E68" s="297"/>
      <c r="F68" s="90">
        <v>544000</v>
      </c>
      <c r="G68" s="91">
        <v>-47123.849537043774</v>
      </c>
      <c r="H68" s="91">
        <v>-40567.798554120272</v>
      </c>
      <c r="I68" s="92">
        <v>-35414.915589717406</v>
      </c>
      <c r="J68" s="92">
        <v>-31407.117728515175</v>
      </c>
      <c r="K68" s="92">
        <v>-28200.879439553381</v>
      </c>
      <c r="L68" s="92">
        <v>-25577.593566766474</v>
      </c>
      <c r="M68" s="92">
        <v>-23391.52200611071</v>
      </c>
      <c r="N68" s="92">
        <v>-21541.769147094295</v>
      </c>
      <c r="O68" s="92">
        <v>-19956.266696508792</v>
      </c>
      <c r="P68" s="92">
        <v>-18582.164572668029</v>
      </c>
      <c r="Q68" s="92">
        <v>-17379.825214307362</v>
      </c>
      <c r="R68" s="92">
        <v>-15375.926283706242</v>
      </c>
      <c r="S68" s="92">
        <v>-13772.807139225348</v>
      </c>
      <c r="T68" s="92">
        <v>-11368.128422504011</v>
      </c>
      <c r="U68" s="92">
        <v>-9650.5007677030535</v>
      </c>
      <c r="V68" s="92">
        <v>-8362.2800266023369</v>
      </c>
      <c r="W68" s="92">
        <v>-7360.3305613017792</v>
      </c>
      <c r="X68" s="93">
        <v>-6558.7709890613332</v>
      </c>
      <c r="Y68" s="88">
        <v>4.6800116857308421E-2</v>
      </c>
      <c r="Z68" s="31"/>
    </row>
    <row r="69" spans="1:26" x14ac:dyDescent="0.25">
      <c r="A69" s="6">
        <v>230</v>
      </c>
      <c r="B69" s="47" t="s">
        <v>154</v>
      </c>
      <c r="C69" s="204">
        <f>SKY!E23</f>
        <v>32440706003.632084</v>
      </c>
      <c r="E69" s="297"/>
      <c r="F69" s="12">
        <v>1000000</v>
      </c>
      <c r="G69" s="53">
        <v>-46575.597670541174</v>
      </c>
      <c r="H69" s="53">
        <v>-40018.532169078317</v>
      </c>
      <c r="I69" s="54">
        <v>-34865.64920467545</v>
      </c>
      <c r="J69" s="54">
        <v>-30857.851343473212</v>
      </c>
      <c r="K69" s="54">
        <v>-27651.613054511425</v>
      </c>
      <c r="L69" s="54">
        <v>-25028.327181724511</v>
      </c>
      <c r="M69" s="54">
        <v>-22842.255621068762</v>
      </c>
      <c r="N69" s="54">
        <v>-20992.502762052332</v>
      </c>
      <c r="O69" s="54">
        <v>-19407.00031146684</v>
      </c>
      <c r="P69" s="54">
        <v>-18032.89818762607</v>
      </c>
      <c r="Q69" s="54">
        <v>-16830.558829265407</v>
      </c>
      <c r="R69" s="54">
        <v>-14826.659898664288</v>
      </c>
      <c r="S69" s="54">
        <v>-13223.540754183392</v>
      </c>
      <c r="T69" s="54">
        <v>-10818.862037462055</v>
      </c>
      <c r="U69" s="54">
        <v>-9101.2343826610977</v>
      </c>
      <c r="V69" s="54">
        <v>-7813.0136415603793</v>
      </c>
      <c r="W69" s="54">
        <v>-6811.0641762598243</v>
      </c>
      <c r="X69" s="55">
        <v>-6009.5046040193774</v>
      </c>
      <c r="Y69" s="88">
        <v>9.3600233714616843E-2</v>
      </c>
      <c r="Z69" s="31"/>
    </row>
    <row r="70" spans="1:26" x14ac:dyDescent="0.25">
      <c r="A70" s="47"/>
      <c r="E70" s="297"/>
      <c r="F70" s="12">
        <v>1458717</v>
      </c>
      <c r="G70" s="53">
        <v>-46024.079136667344</v>
      </c>
      <c r="H70" s="53">
        <v>-39465.993071825484</v>
      </c>
      <c r="I70" s="54">
        <v>-34313.110107422617</v>
      </c>
      <c r="J70" s="54">
        <v>-30305.312246220386</v>
      </c>
      <c r="K70" s="54">
        <v>-27099.073957258599</v>
      </c>
      <c r="L70" s="54">
        <v>-24475.788084471686</v>
      </c>
      <c r="M70" s="54">
        <v>-22289.716523815921</v>
      </c>
      <c r="N70" s="54">
        <v>-20439.963664799503</v>
      </c>
      <c r="O70" s="54">
        <v>-18854.461214214007</v>
      </c>
      <c r="P70" s="54">
        <v>-17480.35909037324</v>
      </c>
      <c r="Q70" s="54">
        <v>-16278.019732012574</v>
      </c>
      <c r="R70" s="54">
        <v>-14274.120801411456</v>
      </c>
      <c r="S70" s="54">
        <v>-12671.001656930564</v>
      </c>
      <c r="T70" s="54">
        <v>-10266.322940209226</v>
      </c>
      <c r="U70" s="54">
        <v>-8548.6952854082683</v>
      </c>
      <c r="V70" s="54">
        <v>-7260.4745443075508</v>
      </c>
      <c r="W70" s="54">
        <v>-6258.5250790069922</v>
      </c>
      <c r="X70" s="55">
        <v>-5456.9655067665444</v>
      </c>
      <c r="Y70" s="88">
        <v>0.15</v>
      </c>
      <c r="Z70" s="31"/>
    </row>
    <row r="71" spans="1:26" x14ac:dyDescent="0.25">
      <c r="B71" s="17" t="s">
        <v>69</v>
      </c>
      <c r="C71" s="31"/>
      <c r="E71" s="297"/>
      <c r="F71" s="12">
        <v>5000000</v>
      </c>
      <c r="G71" s="53">
        <v>-41766.370771395632</v>
      </c>
      <c r="H71" s="53">
        <v>-35200.405984499761</v>
      </c>
      <c r="I71" s="54">
        <v>-30047.52302009688</v>
      </c>
      <c r="J71" s="54">
        <v>-26039.72515889466</v>
      </c>
      <c r="K71" s="54">
        <v>-22833.486869932865</v>
      </c>
      <c r="L71" s="54">
        <v>-20210.200997145959</v>
      </c>
      <c r="M71" s="54">
        <v>-18024.129436490191</v>
      </c>
      <c r="N71" s="54">
        <v>-16174.376577473773</v>
      </c>
      <c r="O71" s="54">
        <v>-14588.874126888273</v>
      </c>
      <c r="P71" s="54">
        <v>-13214.77200304751</v>
      </c>
      <c r="Q71" s="54">
        <v>-12012.432644686844</v>
      </c>
      <c r="R71" s="54">
        <v>-10008.533714085723</v>
      </c>
      <c r="S71" s="54">
        <v>-8405.4145696048308</v>
      </c>
      <c r="T71" s="54">
        <v>-6000.7358528834911</v>
      </c>
      <c r="U71" s="54">
        <v>-4283.1081980825356</v>
      </c>
      <c r="V71" s="54">
        <v>-2994.8874569818176</v>
      </c>
      <c r="W71" s="54">
        <v>-1992.9379916812604</v>
      </c>
      <c r="X71" s="55">
        <v>-1191.3784194408133</v>
      </c>
      <c r="Y71" s="88">
        <v>0.2</v>
      </c>
      <c r="Z71" s="31"/>
    </row>
    <row r="72" spans="1:26" x14ac:dyDescent="0.25">
      <c r="B72" s="47" t="s">
        <v>122</v>
      </c>
      <c r="C72" s="74">
        <f>rho!F9</f>
        <v>39667481.997468472</v>
      </c>
      <c r="D72" s="23"/>
      <c r="E72" s="297"/>
      <c r="F72" s="12">
        <v>10000000</v>
      </c>
      <c r="G72" s="53">
        <v>-35754.837147463702</v>
      </c>
      <c r="H72" s="53">
        <v>-29177.748253776546</v>
      </c>
      <c r="I72" s="54">
        <v>-24024.865289373687</v>
      </c>
      <c r="J72" s="54">
        <v>-20017.067428171445</v>
      </c>
      <c r="K72" s="54">
        <v>-16810.829139209662</v>
      </c>
      <c r="L72" s="54">
        <v>-14187.543266422745</v>
      </c>
      <c r="M72" s="54">
        <v>-12001.471705766982</v>
      </c>
      <c r="N72" s="54">
        <v>-10151.718846750569</v>
      </c>
      <c r="O72" s="54">
        <v>-8566.2163961650713</v>
      </c>
      <c r="P72" s="54">
        <v>-7192.114272324302</v>
      </c>
      <c r="Q72" s="54">
        <v>-5989.7749139636353</v>
      </c>
      <c r="R72" s="54">
        <v>-3985.8759833625209</v>
      </c>
      <c r="S72" s="54">
        <v>-2382.7568388816267</v>
      </c>
      <c r="T72" s="54">
        <v>21.921877839711037</v>
      </c>
      <c r="U72" s="54">
        <v>1739.5495326406683</v>
      </c>
      <c r="V72" s="54">
        <v>3027.7702737413874</v>
      </c>
      <c r="W72" s="54">
        <v>4029.7197390419442</v>
      </c>
      <c r="X72" s="55">
        <v>4831.279311282392</v>
      </c>
      <c r="Y72" s="88">
        <v>0.25</v>
      </c>
      <c r="Z72" s="31"/>
    </row>
    <row r="73" spans="1:26" ht="14.25" customHeight="1" x14ac:dyDescent="0.25">
      <c r="B73" s="47" t="s">
        <v>123</v>
      </c>
      <c r="C73" s="74">
        <f>rho!F10</f>
        <v>39548479.551476061</v>
      </c>
      <c r="E73" s="297"/>
      <c r="F73" s="12">
        <v>15000000</v>
      </c>
      <c r="G73" s="53">
        <v>-29743.303523531773</v>
      </c>
      <c r="H73" s="53">
        <v>-23155.09052305335</v>
      </c>
      <c r="I73" s="54">
        <v>-18002.20755865048</v>
      </c>
      <c r="J73" s="54">
        <v>-13994.409697448247</v>
      </c>
      <c r="K73" s="54">
        <v>-10788.171408486454</v>
      </c>
      <c r="L73" s="54">
        <v>-8164.8855356995446</v>
      </c>
      <c r="M73" s="54">
        <v>-5978.8139750437813</v>
      </c>
      <c r="N73" s="54">
        <v>-4129.0611160273602</v>
      </c>
      <c r="O73" s="54">
        <v>-2543.5586654418639</v>
      </c>
      <c r="P73" s="54">
        <v>-1169.456541601098</v>
      </c>
      <c r="Q73" s="54">
        <v>32.882816759567206</v>
      </c>
      <c r="R73" s="54">
        <v>2036.7817473606865</v>
      </c>
      <c r="S73" s="54">
        <v>3639.9008918415793</v>
      </c>
      <c r="T73" s="54">
        <v>6044.5796085629172</v>
      </c>
      <c r="U73" s="54">
        <v>7762.2072633638763</v>
      </c>
      <c r="V73" s="54">
        <v>9050.4280044645911</v>
      </c>
      <c r="W73" s="54">
        <v>10052.37746976515</v>
      </c>
      <c r="X73" s="55">
        <v>10853.937042005595</v>
      </c>
      <c r="Y73" s="88">
        <v>0.3</v>
      </c>
      <c r="Z73" s="31"/>
    </row>
    <row r="74" spans="1:26" x14ac:dyDescent="0.25">
      <c r="B74" s="47" t="s">
        <v>124</v>
      </c>
      <c r="C74" s="74">
        <f>rho!F11</f>
        <v>39429834.112821639</v>
      </c>
      <c r="E74" s="297"/>
      <c r="F74" s="12">
        <v>20000000</v>
      </c>
      <c r="G74" s="53">
        <v>-23731.769899599843</v>
      </c>
      <c r="H74" s="53">
        <v>-17132.432792330143</v>
      </c>
      <c r="I74" s="53">
        <v>-11979.549827927271</v>
      </c>
      <c r="J74" s="53">
        <v>-7971.7519667250417</v>
      </c>
      <c r="K74" s="53">
        <v>-4765.5136777632533</v>
      </c>
      <c r="L74" s="53">
        <v>-2142.2278049763413</v>
      </c>
      <c r="M74" s="53">
        <v>43.843755679422074</v>
      </c>
      <c r="N74" s="53">
        <v>1893.5966146958378</v>
      </c>
      <c r="O74" s="53">
        <v>3479.0990652813366</v>
      </c>
      <c r="P74" s="53">
        <v>4853.2011891221027</v>
      </c>
      <c r="Q74" s="53">
        <v>6055.5405474827749</v>
      </c>
      <c r="R74" s="53">
        <v>8059.4394780838884</v>
      </c>
      <c r="S74" s="53">
        <v>9662.5586225647839</v>
      </c>
      <c r="T74" s="53">
        <v>12067.237339286119</v>
      </c>
      <c r="U74" s="53">
        <v>13784.864994087076</v>
      </c>
      <c r="V74" s="53">
        <v>15073.085735187797</v>
      </c>
      <c r="W74" s="53">
        <v>16075.035200488355</v>
      </c>
      <c r="X74" s="56">
        <v>16876.5947727288</v>
      </c>
      <c r="Y74" s="88">
        <v>0.4</v>
      </c>
      <c r="Z74" s="31"/>
    </row>
    <row r="75" spans="1:26" x14ac:dyDescent="0.25">
      <c r="B75" s="47" t="s">
        <v>125</v>
      </c>
      <c r="C75" s="74">
        <f>rho!F12</f>
        <v>39311544.61048317</v>
      </c>
      <c r="E75" s="297"/>
      <c r="F75" s="12">
        <v>32000000</v>
      </c>
      <c r="G75" s="53">
        <v>-9304.0892021632153</v>
      </c>
      <c r="H75" s="53">
        <v>-2678.05423859445</v>
      </c>
      <c r="I75" s="53">
        <v>2474.8287258084147</v>
      </c>
      <c r="J75" s="53">
        <v>6482.6265870106554</v>
      </c>
      <c r="K75" s="53">
        <v>9688.8648759724401</v>
      </c>
      <c r="L75" s="53">
        <v>12312.150748759355</v>
      </c>
      <c r="M75" s="53">
        <v>14498.222309415112</v>
      </c>
      <c r="N75" s="53">
        <v>16347.975168431531</v>
      </c>
      <c r="O75" s="53">
        <v>17933.477619017027</v>
      </c>
      <c r="P75" s="53">
        <v>19307.579742857793</v>
      </c>
      <c r="Q75" s="53">
        <v>20509.919101218464</v>
      </c>
      <c r="R75" s="53">
        <v>22513.818031819581</v>
      </c>
      <c r="S75" s="53">
        <v>24116.937176300475</v>
      </c>
      <c r="T75" s="53">
        <v>26521.615893021808</v>
      </c>
      <c r="U75" s="53">
        <v>28239.243547822771</v>
      </c>
      <c r="V75" s="53">
        <v>29527.464288923489</v>
      </c>
      <c r="W75" s="53">
        <v>30529.413754224046</v>
      </c>
      <c r="X75" s="56">
        <v>31260.82331737741</v>
      </c>
      <c r="Y75" s="88">
        <v>0.5</v>
      </c>
      <c r="Z75" s="31"/>
    </row>
    <row r="76" spans="1:26" x14ac:dyDescent="0.25">
      <c r="B76" s="47" t="s">
        <v>126</v>
      </c>
      <c r="C76" s="74">
        <f>rho!F13</f>
        <v>39193609.976651721</v>
      </c>
      <c r="E76" s="297"/>
      <c r="F76" s="12">
        <v>50000000</v>
      </c>
      <c r="G76" s="57">
        <v>12337.431843991748</v>
      </c>
      <c r="H76" s="57">
        <v>19003.513592009094</v>
      </c>
      <c r="I76" s="57">
        <v>24156.396556411957</v>
      </c>
      <c r="J76" s="57">
        <v>28164.194417614188</v>
      </c>
      <c r="K76" s="57">
        <v>31370.432706575975</v>
      </c>
      <c r="L76" s="57">
        <v>33993.718579362896</v>
      </c>
      <c r="M76" s="57">
        <v>36179.790140018653</v>
      </c>
      <c r="N76" s="57">
        <v>38029.542999035075</v>
      </c>
      <c r="O76" s="57">
        <v>39615.045449620578</v>
      </c>
      <c r="P76" s="57">
        <v>40989.147573461334</v>
      </c>
      <c r="Q76" s="57">
        <v>42191.486931822001</v>
      </c>
      <c r="R76" s="57">
        <v>44195.385862423114</v>
      </c>
      <c r="S76" s="57">
        <v>45798.505006904015</v>
      </c>
      <c r="T76" s="57">
        <v>48203.183723625363</v>
      </c>
      <c r="U76" s="57">
        <v>44658.319024824872</v>
      </c>
      <c r="V76" s="57">
        <v>39076.029146721768</v>
      </c>
      <c r="W76" s="57">
        <v>34734.248130419342</v>
      </c>
      <c r="X76" s="58">
        <v>31260.82331737741</v>
      </c>
      <c r="Y76" s="88">
        <v>0.6</v>
      </c>
      <c r="Z76" s="31"/>
    </row>
    <row r="77" spans="1:26" x14ac:dyDescent="0.25">
      <c r="B77" s="47" t="s">
        <v>141</v>
      </c>
      <c r="C77" s="74">
        <f>rho!F14</f>
        <v>39076029.146721765</v>
      </c>
      <c r="E77" s="297"/>
      <c r="F77" s="12">
        <v>75000000</v>
      </c>
      <c r="G77" s="57">
        <v>42395.09996365141</v>
      </c>
      <c r="H77" s="57">
        <v>49116.80224562512</v>
      </c>
      <c r="I77" s="57">
        <v>54269.685210027994</v>
      </c>
      <c r="J77" s="57">
        <v>58277.483071230214</v>
      </c>
      <c r="K77" s="57">
        <v>61483.721360191994</v>
      </c>
      <c r="L77" s="57">
        <v>64107.007232978918</v>
      </c>
      <c r="M77" s="57">
        <v>66293.07879363469</v>
      </c>
      <c r="N77" s="57">
        <v>68142.831652651104</v>
      </c>
      <c r="O77" s="57">
        <v>69728.334103236601</v>
      </c>
      <c r="P77" s="57">
        <v>71102.436227077371</v>
      </c>
      <c r="Q77" s="57">
        <v>72304.775585438038</v>
      </c>
      <c r="R77" s="57">
        <v>69468.496260838685</v>
      </c>
      <c r="S77" s="57">
        <v>62521.646634754819</v>
      </c>
      <c r="T77" s="57">
        <v>52101.372195629017</v>
      </c>
      <c r="U77" s="57">
        <v>44658.319024824872</v>
      </c>
      <c r="V77" s="57">
        <v>39076.029146721768</v>
      </c>
      <c r="W77" s="57">
        <v>34734.248130419342</v>
      </c>
      <c r="X77" s="58">
        <v>31260.82331737741</v>
      </c>
      <c r="Y77" s="88">
        <v>0.7</v>
      </c>
      <c r="Z77" s="31"/>
    </row>
    <row r="78" spans="1:26" x14ac:dyDescent="0.25">
      <c r="B78" s="47" t="s">
        <v>142</v>
      </c>
      <c r="C78" s="74">
        <f>rho!F15</f>
        <v>38958801.059281603</v>
      </c>
      <c r="E78" s="297"/>
      <c r="F78" s="12">
        <v>100000000</v>
      </c>
      <c r="G78" s="57">
        <v>72452.768083311064</v>
      </c>
      <c r="H78" s="57">
        <v>79230.090899241157</v>
      </c>
      <c r="I78" s="57">
        <v>84382.973863644002</v>
      </c>
      <c r="J78" s="57">
        <v>88390.771724846229</v>
      </c>
      <c r="K78" s="57">
        <v>91597.010013808031</v>
      </c>
      <c r="L78" s="57">
        <v>94220.295886594948</v>
      </c>
      <c r="M78" s="57">
        <v>96406.367447250726</v>
      </c>
      <c r="N78" s="57">
        <v>96187.148668853581</v>
      </c>
      <c r="O78" s="57">
        <v>89316.638049649744</v>
      </c>
      <c r="P78" s="57">
        <v>83362.195513006416</v>
      </c>
      <c r="Q78" s="57">
        <v>78152.058293443537</v>
      </c>
      <c r="R78" s="57">
        <v>69468.496260838685</v>
      </c>
      <c r="S78" s="57">
        <v>62521.646634754819</v>
      </c>
      <c r="T78" s="57">
        <v>52101.372195629017</v>
      </c>
      <c r="U78" s="57">
        <v>44658.319024824872</v>
      </c>
      <c r="V78" s="57">
        <v>39076.029146721768</v>
      </c>
      <c r="W78" s="57">
        <v>34734.248130419342</v>
      </c>
      <c r="X78" s="58">
        <v>31260.82331737741</v>
      </c>
      <c r="Y78" s="88">
        <v>0.8</v>
      </c>
      <c r="Z78" s="31"/>
    </row>
    <row r="79" spans="1:26" x14ac:dyDescent="0.25">
      <c r="B79" s="47" t="s">
        <v>143</v>
      </c>
      <c r="C79" s="74">
        <f>rho!F16</f>
        <v>38841924.65610376</v>
      </c>
      <c r="E79" s="297"/>
      <c r="F79" s="12">
        <v>150000000</v>
      </c>
      <c r="G79" s="57">
        <v>132568.10432263039</v>
      </c>
      <c r="H79" s="57">
        <v>139456.6682064732</v>
      </c>
      <c r="I79" s="57">
        <v>144609.55117087608</v>
      </c>
      <c r="J79" s="57">
        <v>138936.99252167737</v>
      </c>
      <c r="K79" s="57">
        <v>125043.29326950964</v>
      </c>
      <c r="L79" s="57">
        <v>113675.72115409968</v>
      </c>
      <c r="M79" s="57">
        <v>104202.74439125803</v>
      </c>
      <c r="N79" s="57">
        <v>96187.148668853581</v>
      </c>
      <c r="O79" s="57">
        <v>89316.638049649744</v>
      </c>
      <c r="P79" s="57">
        <v>83362.195513006416</v>
      </c>
      <c r="Q79" s="57">
        <v>78152.058293443537</v>
      </c>
      <c r="R79" s="57">
        <v>69468.496260838685</v>
      </c>
      <c r="S79" s="57">
        <v>62521.646634754819</v>
      </c>
      <c r="T79" s="57">
        <v>52101.372195629017</v>
      </c>
      <c r="U79" s="57">
        <v>44658.319024824872</v>
      </c>
      <c r="V79" s="57">
        <v>39076.029146721768</v>
      </c>
      <c r="W79" s="57">
        <v>34734.248130419342</v>
      </c>
      <c r="X79" s="58">
        <v>31260.82331737741</v>
      </c>
      <c r="Y79" s="88">
        <v>0.85</v>
      </c>
      <c r="Z79" s="31"/>
    </row>
    <row r="80" spans="1:26" x14ac:dyDescent="0.25">
      <c r="B80" s="47" t="s">
        <v>144</v>
      </c>
      <c r="C80" s="74">
        <f>rho!F17</f>
        <v>38725398.882135451</v>
      </c>
      <c r="E80" s="297"/>
      <c r="F80" s="12">
        <v>175000000</v>
      </c>
      <c r="G80" s="57">
        <v>162625.77244229006</v>
      </c>
      <c r="H80" s="57">
        <v>169569.95686008921</v>
      </c>
      <c r="I80" s="57">
        <v>156304.11658688707</v>
      </c>
      <c r="J80" s="57">
        <v>138936.99252167737</v>
      </c>
      <c r="K80" s="57">
        <v>125043.29326950964</v>
      </c>
      <c r="L80" s="57">
        <v>113675.72115409968</v>
      </c>
      <c r="M80" s="57">
        <v>104202.74439125803</v>
      </c>
      <c r="N80" s="57">
        <v>96187.148668853581</v>
      </c>
      <c r="O80" s="57">
        <v>89316.638049649744</v>
      </c>
      <c r="P80" s="57">
        <v>83362.195513006416</v>
      </c>
      <c r="Q80" s="57">
        <v>78152.058293443537</v>
      </c>
      <c r="R80" s="57">
        <v>69468.496260838685</v>
      </c>
      <c r="S80" s="57">
        <v>62521.646634754819</v>
      </c>
      <c r="T80" s="57">
        <v>52101.372195629017</v>
      </c>
      <c r="U80" s="57">
        <v>44658.319024824872</v>
      </c>
      <c r="V80" s="57">
        <v>39076.029146721768</v>
      </c>
      <c r="W80" s="57">
        <v>34734.248130419342</v>
      </c>
      <c r="X80" s="58">
        <v>31260.82331737741</v>
      </c>
      <c r="Y80" s="88">
        <v>0.9</v>
      </c>
      <c r="Z80" s="31"/>
    </row>
    <row r="81" spans="1:26" x14ac:dyDescent="0.25">
      <c r="B81" s="47" t="s">
        <v>145</v>
      </c>
      <c r="C81" s="74">
        <f>rho!F18</f>
        <v>38609222.685489044</v>
      </c>
      <c r="E81" s="297"/>
      <c r="F81" s="12">
        <v>185000000</v>
      </c>
      <c r="G81" s="57">
        <v>174648.83969015389</v>
      </c>
      <c r="H81" s="57">
        <v>178633.27609929949</v>
      </c>
      <c r="I81" s="57">
        <v>156304.11658688707</v>
      </c>
      <c r="J81" s="57">
        <v>138936.99252167737</v>
      </c>
      <c r="K81" s="57">
        <v>125043.29326950964</v>
      </c>
      <c r="L81" s="57">
        <v>113675.72115409968</v>
      </c>
      <c r="M81" s="57">
        <v>104202.74439125803</v>
      </c>
      <c r="N81" s="57">
        <v>96187.148668853581</v>
      </c>
      <c r="O81" s="57">
        <v>89316.638049649744</v>
      </c>
      <c r="P81" s="57">
        <v>83362.195513006416</v>
      </c>
      <c r="Q81" s="57">
        <v>78152.058293443537</v>
      </c>
      <c r="R81" s="57">
        <v>69468.496260838685</v>
      </c>
      <c r="S81" s="57">
        <v>62521.646634754819</v>
      </c>
      <c r="T81" s="57">
        <v>52101.372195629017</v>
      </c>
      <c r="U81" s="57">
        <v>44658.319024824872</v>
      </c>
      <c r="V81" s="57">
        <v>39076.029146721768</v>
      </c>
      <c r="W81" s="57">
        <v>34734.248130419342</v>
      </c>
      <c r="X81" s="58">
        <v>31260.82331737741</v>
      </c>
      <c r="Y81" s="89">
        <v>1</v>
      </c>
      <c r="Z81" s="31"/>
    </row>
    <row r="82" spans="1:26" x14ac:dyDescent="0.25">
      <c r="B82" s="47" t="s">
        <v>146</v>
      </c>
      <c r="C82" s="74">
        <f>rho!F19</f>
        <v>38493395.01743257</v>
      </c>
      <c r="E82" s="297"/>
      <c r="F82" s="12">
        <v>195000000</v>
      </c>
      <c r="G82" s="57">
        <v>186671.90693801772</v>
      </c>
      <c r="H82" s="57">
        <v>178633.27609929949</v>
      </c>
      <c r="I82" s="57">
        <v>156304.11658688707</v>
      </c>
      <c r="J82" s="57">
        <v>138936.99252167737</v>
      </c>
      <c r="K82" s="57">
        <v>125043.29326950964</v>
      </c>
      <c r="L82" s="57">
        <v>113675.72115409968</v>
      </c>
      <c r="M82" s="57">
        <v>104202.74439125803</v>
      </c>
      <c r="N82" s="57">
        <v>96187.148668853581</v>
      </c>
      <c r="O82" s="57">
        <v>89316.638049649744</v>
      </c>
      <c r="P82" s="57">
        <v>83362.195513006416</v>
      </c>
      <c r="Q82" s="57">
        <v>78152.058293443537</v>
      </c>
      <c r="R82" s="57">
        <v>69468.496260838685</v>
      </c>
      <c r="S82" s="57">
        <v>62521.646634754819</v>
      </c>
      <c r="T82" s="57">
        <v>52101.372195629017</v>
      </c>
      <c r="U82" s="57">
        <v>44658.319024824872</v>
      </c>
      <c r="V82" s="57">
        <v>39076.029146721768</v>
      </c>
      <c r="W82" s="57">
        <v>34734.248130419342</v>
      </c>
      <c r="X82" s="58">
        <v>31260.82331737741</v>
      </c>
      <c r="Y82" s="6"/>
      <c r="Z82" s="31"/>
    </row>
    <row r="83" spans="1:26" x14ac:dyDescent="0.25">
      <c r="B83" s="47" t="s">
        <v>147</v>
      </c>
      <c r="C83" s="74">
        <f>rho!F20</f>
        <v>38377914.832380272</v>
      </c>
      <c r="E83" s="298"/>
      <c r="F83" s="27">
        <v>220000000</v>
      </c>
      <c r="G83" s="59">
        <v>208247.393965664</v>
      </c>
      <c r="H83" s="59">
        <v>178633.27609929949</v>
      </c>
      <c r="I83" s="59">
        <v>156304.11658688707</v>
      </c>
      <c r="J83" s="59">
        <v>138936.99252167737</v>
      </c>
      <c r="K83" s="59">
        <v>125043.29326950964</v>
      </c>
      <c r="L83" s="59">
        <v>113675.72115409968</v>
      </c>
      <c r="M83" s="59">
        <v>104202.74439125803</v>
      </c>
      <c r="N83" s="59">
        <v>96187.148668853581</v>
      </c>
      <c r="O83" s="59">
        <v>89316.638049649744</v>
      </c>
      <c r="P83" s="59">
        <v>83362.195513006416</v>
      </c>
      <c r="Q83" s="59">
        <v>78152.058293443537</v>
      </c>
      <c r="R83" s="59">
        <v>69468.496260838685</v>
      </c>
      <c r="S83" s="59">
        <v>62521.646634754819</v>
      </c>
      <c r="T83" s="59">
        <v>52101.372195629017</v>
      </c>
      <c r="U83" s="59">
        <v>44658.319024824872</v>
      </c>
      <c r="V83" s="59">
        <v>39076.029146721768</v>
      </c>
      <c r="W83" s="59">
        <v>34734.248130419342</v>
      </c>
      <c r="X83" s="60">
        <v>31260.82331737741</v>
      </c>
      <c r="Y83" s="6"/>
      <c r="Z83" s="31"/>
    </row>
    <row r="84" spans="1:26" s="145" customFormat="1" x14ac:dyDescent="0.25">
      <c r="A84" s="162"/>
      <c r="B84" s="47" t="s">
        <v>148</v>
      </c>
      <c r="C84" s="74">
        <f>rho!F21</f>
        <v>38262781.08788313</v>
      </c>
      <c r="Z84" s="146"/>
    </row>
    <row r="85" spans="1:26" s="145" customFormat="1" x14ac:dyDescent="0.25">
      <c r="B85" s="47" t="s">
        <v>149</v>
      </c>
      <c r="C85" s="74">
        <f>rho!F22</f>
        <v>38147992.744619481</v>
      </c>
      <c r="Z85" s="146"/>
    </row>
    <row r="86" spans="1:26" s="145" customFormat="1" x14ac:dyDescent="0.25">
      <c r="B86" s="47" t="s">
        <v>150</v>
      </c>
      <c r="C86" s="74">
        <f>rho!F23</f>
        <v>38033548.766385622</v>
      </c>
      <c r="E86" s="17" t="s">
        <v>55</v>
      </c>
      <c r="F86" s="31">
        <f>$C$27</f>
        <v>217</v>
      </c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5"/>
      <c r="T86" s="65"/>
      <c r="U86" s="64"/>
      <c r="V86" s="64"/>
      <c r="W86" s="64"/>
      <c r="X86" s="64"/>
      <c r="Z86" s="146"/>
    </row>
    <row r="87" spans="1:26" s="145" customFormat="1" x14ac:dyDescent="0.25">
      <c r="B87" s="47" t="s">
        <v>151</v>
      </c>
      <c r="C87" s="74">
        <f>rho!F24</f>
        <v>37919448.120086469</v>
      </c>
      <c r="E87" s="17" t="s">
        <v>72</v>
      </c>
      <c r="F87" s="71">
        <f>$C$39</f>
        <v>9.5000000000000001E-2</v>
      </c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5"/>
      <c r="T87" s="65"/>
      <c r="U87" s="64"/>
      <c r="V87" s="64"/>
      <c r="W87" s="64"/>
      <c r="X87" s="64"/>
      <c r="Z87" s="146"/>
    </row>
    <row r="88" spans="1:26" s="145" customFormat="1" x14ac:dyDescent="0.25">
      <c r="B88" s="47" t="s">
        <v>152</v>
      </c>
      <c r="C88" s="74">
        <f>rho!F25</f>
        <v>37805689.775726207</v>
      </c>
      <c r="E88" s="17" t="s">
        <v>71</v>
      </c>
      <c r="F88" s="72">
        <f>$C$41</f>
        <v>0.05</v>
      </c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5"/>
      <c r="T88" s="65"/>
      <c r="U88" s="64"/>
      <c r="V88" s="64"/>
      <c r="W88" s="64"/>
      <c r="X88" s="64"/>
      <c r="Z88" s="146"/>
    </row>
    <row r="89" spans="1:26" s="145" customFormat="1" x14ac:dyDescent="0.25">
      <c r="B89" s="47" t="s">
        <v>153</v>
      </c>
      <c r="C89" s="74">
        <f>rho!F26</f>
        <v>37692272.706399031</v>
      </c>
      <c r="E89" s="17" t="s">
        <v>46</v>
      </c>
      <c r="F89" s="102">
        <f>$C$42</f>
        <v>250000</v>
      </c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5"/>
      <c r="T89" s="65"/>
      <c r="U89" s="64"/>
      <c r="V89" s="64"/>
      <c r="W89" s="64"/>
      <c r="X89" s="64"/>
      <c r="Z89" s="146"/>
    </row>
    <row r="90" spans="1:26" s="145" customFormat="1" x14ac:dyDescent="0.25">
      <c r="B90" s="47" t="s">
        <v>154</v>
      </c>
      <c r="C90" s="74">
        <f>rho!F27</f>
        <v>37579195.888279825</v>
      </c>
      <c r="E90" s="94" t="s">
        <v>87</v>
      </c>
      <c r="F90" s="103">
        <f>$C$28</f>
        <v>150</v>
      </c>
      <c r="G90" s="291" t="s">
        <v>134</v>
      </c>
      <c r="H90" s="291"/>
      <c r="I90" s="291"/>
      <c r="J90" s="291"/>
      <c r="K90" s="291"/>
      <c r="L90" s="291"/>
      <c r="M90" s="291"/>
      <c r="N90" s="291"/>
      <c r="O90" s="291"/>
      <c r="P90" s="291"/>
      <c r="Q90" s="291"/>
      <c r="R90" s="291"/>
      <c r="S90" s="291"/>
      <c r="T90" s="291"/>
      <c r="U90" s="291"/>
      <c r="V90" s="291"/>
      <c r="W90" s="291"/>
      <c r="X90" s="291"/>
      <c r="Z90" s="146"/>
    </row>
    <row r="91" spans="1:26" s="145" customFormat="1" ht="15.75" thickBot="1" x14ac:dyDescent="0.3">
      <c r="C91" s="166"/>
      <c r="D91" s="167"/>
      <c r="E91" s="296" t="s">
        <v>28</v>
      </c>
      <c r="F91" s="299" t="s">
        <v>135</v>
      </c>
      <c r="G91" s="299"/>
      <c r="H91" s="299"/>
      <c r="I91" s="299"/>
      <c r="J91" s="299"/>
      <c r="K91" s="299"/>
      <c r="L91" s="299"/>
      <c r="M91" s="299"/>
      <c r="N91" s="299"/>
      <c r="O91" s="299"/>
      <c r="P91" s="299"/>
      <c r="Q91" s="299"/>
      <c r="R91" s="299"/>
      <c r="S91" s="299"/>
      <c r="T91" s="299"/>
      <c r="U91" s="299"/>
      <c r="V91" s="299"/>
      <c r="W91" s="299"/>
      <c r="X91" s="300"/>
      <c r="Z91" s="146"/>
    </row>
    <row r="92" spans="1:26" s="145" customFormat="1" ht="15.75" thickBot="1" x14ac:dyDescent="0.3">
      <c r="B92" s="6" t="s">
        <v>100</v>
      </c>
      <c r="C92" s="75">
        <v>21600</v>
      </c>
      <c r="E92" s="297"/>
      <c r="F92" s="52">
        <f>C48</f>
        <v>6.3593985226913619E-2</v>
      </c>
      <c r="G92" s="254">
        <v>0.01</v>
      </c>
      <c r="H92" s="255">
        <v>1.4999999999999999E-2</v>
      </c>
      <c r="I92" s="255">
        <v>0.02</v>
      </c>
      <c r="J92" s="255">
        <v>2.5000000000000001E-2</v>
      </c>
      <c r="K92" s="255">
        <v>3.0000000000000002E-2</v>
      </c>
      <c r="L92" s="255">
        <v>3.5000000000000003E-2</v>
      </c>
      <c r="M92" s="255">
        <v>0.04</v>
      </c>
      <c r="N92" s="255">
        <v>4.4999999999999998E-2</v>
      </c>
      <c r="O92" s="255">
        <v>4.9999999999999996E-2</v>
      </c>
      <c r="P92" s="255">
        <v>5.4999999999999993E-2</v>
      </c>
      <c r="Q92" s="255">
        <v>5.9999999999999991E-2</v>
      </c>
      <c r="R92" s="255">
        <v>6.4999999999999988E-2</v>
      </c>
      <c r="S92" s="255">
        <v>6.9999999999999993E-2</v>
      </c>
      <c r="T92" s="255">
        <v>7.4999999999999997E-2</v>
      </c>
      <c r="U92" s="255">
        <v>0.08</v>
      </c>
      <c r="V92" s="255">
        <v>8.5000000000000006E-2</v>
      </c>
      <c r="W92" s="255">
        <v>9.0000000000000011E-2</v>
      </c>
      <c r="X92" s="256">
        <v>9.5000000000000015E-2</v>
      </c>
      <c r="Z92" s="146"/>
    </row>
    <row r="93" spans="1:26" s="145" customFormat="1" x14ac:dyDescent="0.25">
      <c r="C93" s="164">
        <f>C92*0.3</f>
        <v>6480</v>
      </c>
      <c r="E93" s="297"/>
      <c r="F93" s="12">
        <v>500000</v>
      </c>
      <c r="G93" s="13">
        <f t="dataTable" ref="G93:X109" dt2D="1" dtr="1" r1="C41" r2="C43" ca="1"/>
        <v>-0.99922196590577894</v>
      </c>
      <c r="H93" s="13">
        <v>-0.99919184982709086</v>
      </c>
      <c r="I93" s="41">
        <v>-0.99916058459400203</v>
      </c>
      <c r="J93" s="41">
        <v>-0.99912812698948938</v>
      </c>
      <c r="K93" s="41">
        <v>-0.99909443219497496</v>
      </c>
      <c r="L93" s="41">
        <v>-0.99905945373185379</v>
      </c>
      <c r="M93" s="41">
        <v>-0.99902314340091858</v>
      </c>
      <c r="N93" s="41">
        <v>-0.9989854512196078</v>
      </c>
      <c r="O93" s="41">
        <v>-0.99894632535699834</v>
      </c>
      <c r="P93" s="41">
        <v>-0.9989057120664655</v>
      </c>
      <c r="Q93" s="41">
        <v>-0.99886355561592521</v>
      </c>
      <c r="R93" s="41">
        <v>-0.99881979821557509</v>
      </c>
      <c r="S93" s="41">
        <v>-0.99877437994304485</v>
      </c>
      <c r="T93" s="41">
        <v>-0.99872723866586455</v>
      </c>
      <c r="U93" s="41">
        <v>-0.99867830996115736</v>
      </c>
      <c r="V93" s="41">
        <v>-0.99862752703245716</v>
      </c>
      <c r="W93" s="41">
        <v>-0.99857482062355085</v>
      </c>
      <c r="X93" s="42">
        <v>-0.99852011892924009</v>
      </c>
      <c r="Z93" s="146"/>
    </row>
    <row r="94" spans="1:26" s="145" customFormat="1" x14ac:dyDescent="0.25">
      <c r="B94" s="168"/>
      <c r="C94" s="169"/>
      <c r="E94" s="297"/>
      <c r="F94" s="12">
        <v>544000</v>
      </c>
      <c r="G94" s="257">
        <v>-0.99856302634024641</v>
      </c>
      <c r="H94" s="257">
        <v>-0.9985124730547098</v>
      </c>
      <c r="I94" s="258">
        <v>-0.99846016649039249</v>
      </c>
      <c r="J94" s="258">
        <v>-0.99840604671375954</v>
      </c>
      <c r="K94" s="258">
        <v>-0.99835005177235137</v>
      </c>
      <c r="L94" s="258">
        <v>-0.99829211762777803</v>
      </c>
      <c r="M94" s="258">
        <v>-0.99823217808652265</v>
      </c>
      <c r="N94" s="258">
        <v>-0.99817016472848408</v>
      </c>
      <c r="O94" s="258">
        <v>-0.99810600683318529</v>
      </c>
      <c r="P94" s="258">
        <v>-0.99803963130357298</v>
      </c>
      <c r="Q94" s="258">
        <v>-0.99797096258733087</v>
      </c>
      <c r="R94" s="258">
        <v>-0.99789992259562688</v>
      </c>
      <c r="S94" s="258">
        <v>-0.99782643061921117</v>
      </c>
      <c r="T94" s="258">
        <v>-0.99775040324178088</v>
      </c>
      <c r="U94" s="258">
        <v>-0.99767175425052301</v>
      </c>
      <c r="V94" s="258">
        <v>-0.99759039454374587</v>
      </c>
      <c r="W94" s="258">
        <v>-0.99750623203550459</v>
      </c>
      <c r="X94" s="259">
        <v>-0.99741917155712556</v>
      </c>
      <c r="Z94" s="146"/>
    </row>
    <row r="95" spans="1:26" s="145" customFormat="1" x14ac:dyDescent="0.25">
      <c r="C95" s="146"/>
      <c r="E95" s="297"/>
      <c r="F95" s="12">
        <v>1000000</v>
      </c>
      <c r="G95" s="13">
        <v>-0.96813008797792777</v>
      </c>
      <c r="H95" s="13">
        <v>-0.96755708611964053</v>
      </c>
      <c r="I95" s="41">
        <v>-0.96697392565704365</v>
      </c>
      <c r="J95" s="41">
        <v>-0.96638042903585575</v>
      </c>
      <c r="K95" s="41">
        <v>-0.96577641564292427</v>
      </c>
      <c r="L95" s="41">
        <v>-0.96516170175429306</v>
      </c>
      <c r="M95" s="41">
        <v>-0.96453610048240235</v>
      </c>
      <c r="N95" s="41">
        <v>-0.96389942172240395</v>
      </c>
      <c r="O95" s="41">
        <v>-0.96325147209758066</v>
      </c>
      <c r="P95" s="41">
        <v>-0.96259205490385258</v>
      </c>
      <c r="Q95" s="41">
        <v>-0.96192097005335597</v>
      </c>
      <c r="R95" s="41">
        <v>-0.96123801401707909</v>
      </c>
      <c r="S95" s="41">
        <v>-0.96054297976654213</v>
      </c>
      <c r="T95" s="41">
        <v>-0.95983565671449989</v>
      </c>
      <c r="U95" s="41">
        <v>-0.95911583065465689</v>
      </c>
      <c r="V95" s="41">
        <v>-0.95838328370037573</v>
      </c>
      <c r="W95" s="41">
        <v>-0.95763779422236306</v>
      </c>
      <c r="X95" s="42">
        <v>-0.95687913678531444</v>
      </c>
      <c r="Z95" s="146"/>
    </row>
    <row r="96" spans="1:26" s="145" customFormat="1" x14ac:dyDescent="0.25">
      <c r="C96" s="164"/>
      <c r="E96" s="297"/>
      <c r="F96" s="12">
        <v>1458717</v>
      </c>
      <c r="G96" s="13">
        <v>-0.90138842718973555</v>
      </c>
      <c r="H96" s="13">
        <v>-0.900209288366289</v>
      </c>
      <c r="I96" s="41">
        <v>-0.89901624551692827</v>
      </c>
      <c r="J96" s="41">
        <v>-0.89780913699340503</v>
      </c>
      <c r="K96" s="41">
        <v>-0.89658779929492027</v>
      </c>
      <c r="L96" s="41">
        <v>-0.89535206704720016</v>
      </c>
      <c r="M96" s="41">
        <v>-0.89410177298134053</v>
      </c>
      <c r="N96" s="41">
        <v>-0.89283674791240986</v>
      </c>
      <c r="O96" s="41">
        <v>-0.89155682071782416</v>
      </c>
      <c r="P96" s="41">
        <v>-0.89026181831547024</v>
      </c>
      <c r="Q96" s="41">
        <v>-0.88895156564159916</v>
      </c>
      <c r="R96" s="41">
        <v>-0.88762588562845657</v>
      </c>
      <c r="S96" s="41">
        <v>-0.88628459918168145</v>
      </c>
      <c r="T96" s="41">
        <v>-0.88492752515744044</v>
      </c>
      <c r="U96" s="41">
        <v>-0.88355448033931661</v>
      </c>
      <c r="V96" s="41">
        <v>-0.88216527941493983</v>
      </c>
      <c r="W96" s="41">
        <v>-0.8807597349523516</v>
      </c>
      <c r="X96" s="42">
        <v>-0.87933765737611236</v>
      </c>
      <c r="Z96" s="146"/>
    </row>
    <row r="97" spans="2:26" s="145" customFormat="1" x14ac:dyDescent="0.25">
      <c r="C97" s="164"/>
      <c r="E97" s="297"/>
      <c r="F97" s="12">
        <v>5000000</v>
      </c>
      <c r="G97" s="13">
        <v>-0.45458109997649276</v>
      </c>
      <c r="H97" s="13">
        <v>-0.45290173604455009</v>
      </c>
      <c r="I97" s="41">
        <v>-0.45121727234033759</v>
      </c>
      <c r="J97" s="41">
        <v>-0.44952769359295752</v>
      </c>
      <c r="K97" s="41">
        <v>-0.44783298448644926</v>
      </c>
      <c r="L97" s="41">
        <v>-0.44613312965963214</v>
      </c>
      <c r="M97" s="41">
        <v>-0.44442811370597124</v>
      </c>
      <c r="N97" s="41">
        <v>-0.44271792117347197</v>
      </c>
      <c r="O97" s="41">
        <v>-0.44100253656451915</v>
      </c>
      <c r="P97" s="41">
        <v>-0.43928194433575984</v>
      </c>
      <c r="Q97" s="41">
        <v>-0.43755612889797157</v>
      </c>
      <c r="R97" s="41">
        <v>-0.43582507461591624</v>
      </c>
      <c r="S97" s="41">
        <v>-0.43408876580821298</v>
      </c>
      <c r="T97" s="41">
        <v>-0.4323471867472195</v>
      </c>
      <c r="U97" s="41">
        <v>-0.43060032165886897</v>
      </c>
      <c r="V97" s="41">
        <v>-0.42884815472254922</v>
      </c>
      <c r="W97" s="41">
        <v>-0.42709067007097734</v>
      </c>
      <c r="X97" s="42">
        <v>-0.42532785179004262</v>
      </c>
      <c r="Z97" s="146"/>
    </row>
    <row r="98" spans="2:26" s="145" customFormat="1" ht="15.75" thickBot="1" x14ac:dyDescent="0.3">
      <c r="C98" s="164"/>
      <c r="E98" s="297"/>
      <c r="F98" s="12">
        <v>10000000</v>
      </c>
      <c r="G98" s="13">
        <v>-0.22806785160592946</v>
      </c>
      <c r="H98" s="13">
        <v>-0.22705620847585628</v>
      </c>
      <c r="I98" s="41">
        <v>-0.22604325773833767</v>
      </c>
      <c r="J98" s="41">
        <v>-0.22502899772671803</v>
      </c>
      <c r="K98" s="41">
        <v>-0.22401342677224623</v>
      </c>
      <c r="L98" s="41">
        <v>-0.22299654320407536</v>
      </c>
      <c r="M98" s="41">
        <v>-0.22197834534926719</v>
      </c>
      <c r="N98" s="41">
        <v>-0.22095883153277041</v>
      </c>
      <c r="O98" s="41">
        <v>-0.21993800007743414</v>
      </c>
      <c r="P98" s="41">
        <v>-0.21891584930399721</v>
      </c>
      <c r="Q98" s="41">
        <v>-0.21789237753109258</v>
      </c>
      <c r="R98" s="41">
        <v>-0.21686758307523868</v>
      </c>
      <c r="S98" s="41">
        <v>-0.2158414642508395</v>
      </c>
      <c r="T98" s="41">
        <v>-0.21481401937017564</v>
      </c>
      <c r="U98" s="41">
        <v>-0.21378524674341826</v>
      </c>
      <c r="V98" s="41">
        <v>-0.21275514467860734</v>
      </c>
      <c r="W98" s="41">
        <v>-0.21172371148165747</v>
      </c>
      <c r="X98" s="42">
        <v>-0.21069094545635547</v>
      </c>
      <c r="Z98" s="146"/>
    </row>
    <row r="99" spans="2:26" s="145" customFormat="1" ht="15.75" thickBot="1" x14ac:dyDescent="0.3">
      <c r="B99" s="7"/>
      <c r="C99" s="170"/>
      <c r="E99" s="297"/>
      <c r="F99" s="90">
        <v>16550000</v>
      </c>
      <c r="G99" s="221">
        <v>-0.11471523582909726</v>
      </c>
      <c r="H99" s="221">
        <v>-0.11416982570461331</v>
      </c>
      <c r="I99" s="263">
        <v>-0.113624084167259</v>
      </c>
      <c r="J99" s="263">
        <v>-0.11307801101844639</v>
      </c>
      <c r="K99" s="263">
        <v>-0.11253160605948731</v>
      </c>
      <c r="L99" s="263">
        <v>-0.11198486909155636</v>
      </c>
      <c r="M99" s="263">
        <v>-0.11143779991572955</v>
      </c>
      <c r="N99" s="263">
        <v>-0.110890398332954</v>
      </c>
      <c r="O99" s="263">
        <v>-0.11034266414405325</v>
      </c>
      <c r="P99" s="263">
        <v>-0.10979459714975204</v>
      </c>
      <c r="Q99" s="263">
        <v>-0.10924619715063522</v>
      </c>
      <c r="R99" s="263">
        <v>-0.10869746394719915</v>
      </c>
      <c r="S99" s="263">
        <v>-0.10814839733979065</v>
      </c>
      <c r="T99" s="263">
        <v>-0.10759899712864573</v>
      </c>
      <c r="U99" s="263">
        <v>-0.1070492631139085</v>
      </c>
      <c r="V99" s="263">
        <v>-0.10649919509557071</v>
      </c>
      <c r="W99" s="263">
        <v>-0.10594879287353298</v>
      </c>
      <c r="X99" s="264">
        <v>-0.10539805624755838</v>
      </c>
      <c r="Z99" s="146"/>
    </row>
    <row r="100" spans="2:26" s="145" customFormat="1" x14ac:dyDescent="0.25">
      <c r="E100" s="297"/>
      <c r="F100" s="12">
        <v>20000000</v>
      </c>
      <c r="G100" s="13">
        <v>-8.2226966416456992E-2</v>
      </c>
      <c r="H100" s="13">
        <v>-8.1828921907324159E-2</v>
      </c>
      <c r="I100" s="13">
        <v>-8.1430707129413915E-2</v>
      </c>
      <c r="J100" s="13">
        <v>-8.1032322010885061E-2</v>
      </c>
      <c r="K100" s="13">
        <v>-8.0633766479899394E-2</v>
      </c>
      <c r="L100" s="13">
        <v>-8.0235040464575635E-2</v>
      </c>
      <c r="M100" s="13">
        <v>-7.983614389298721E-2</v>
      </c>
      <c r="N100" s="13">
        <v>-7.9437076693204989E-2</v>
      </c>
      <c r="O100" s="13">
        <v>-7.903783879325843E-2</v>
      </c>
      <c r="P100" s="13">
        <v>-7.8638430121131586E-2</v>
      </c>
      <c r="Q100" s="13">
        <v>-7.8238850604803623E-2</v>
      </c>
      <c r="R100" s="13">
        <v>-7.7839100172212294E-2</v>
      </c>
      <c r="S100" s="13">
        <v>-7.7439178751256277E-2</v>
      </c>
      <c r="T100" s="13">
        <v>-7.7039086269829249E-2</v>
      </c>
      <c r="U100" s="13">
        <v>-7.6638822655768157E-2</v>
      </c>
      <c r="V100" s="13">
        <v>-7.6238387836885524E-2</v>
      </c>
      <c r="W100" s="13">
        <v>-7.5837781740988319E-2</v>
      </c>
      <c r="X100" s="16">
        <v>-7.543700429581901E-2</v>
      </c>
      <c r="Z100" s="146"/>
    </row>
    <row r="101" spans="2:26" s="145" customFormat="1" x14ac:dyDescent="0.25">
      <c r="B101" s="7"/>
      <c r="C101" s="171"/>
      <c r="E101" s="297"/>
      <c r="F101" s="12">
        <v>32000000</v>
      </c>
      <c r="G101" s="13">
        <v>-2.0796437191465844E-2</v>
      </c>
      <c r="H101" s="13">
        <v>-2.0692484078306816E-2</v>
      </c>
      <c r="I101" s="13">
        <v>-2.058852008059564E-2</v>
      </c>
      <c r="J101" s="13">
        <v>-2.0484545197188009E-2</v>
      </c>
      <c r="K101" s="13">
        <v>-2.0380559426974254E-2</v>
      </c>
      <c r="L101" s="13">
        <v>-2.0276562768829498E-2</v>
      </c>
      <c r="M101" s="13">
        <v>-2.0172555221612321E-2</v>
      </c>
      <c r="N101" s="13">
        <v>-2.006853678422249E-2</v>
      </c>
      <c r="O101" s="13">
        <v>-1.9964507455514591E-2</v>
      </c>
      <c r="P101" s="13">
        <v>-1.9860467234382395E-2</v>
      </c>
      <c r="Q101" s="13">
        <v>-1.9756416119686149E-2</v>
      </c>
      <c r="R101" s="13">
        <v>-1.965235411031796E-2</v>
      </c>
      <c r="S101" s="13">
        <v>-1.9548281205127638E-2</v>
      </c>
      <c r="T101" s="13">
        <v>-1.9444197403016616E-2</v>
      </c>
      <c r="U101" s="13">
        <v>-1.9340102702840478E-2</v>
      </c>
      <c r="V101" s="13">
        <v>-1.9235997103489222E-2</v>
      </c>
      <c r="W101" s="13">
        <v>-1.9131880603822315E-2</v>
      </c>
      <c r="X101" s="16">
        <v>-1.902775320272998E-2</v>
      </c>
      <c r="Z101" s="146"/>
    </row>
    <row r="102" spans="2:26" s="145" customFormat="1" x14ac:dyDescent="0.25">
      <c r="B102" s="172"/>
      <c r="C102" s="173"/>
      <c r="E102" s="297"/>
      <c r="F102" s="12">
        <v>50000000</v>
      </c>
      <c r="G102" s="210">
        <v>1.7990255892013307E-2</v>
      </c>
      <c r="H102" s="210">
        <v>1.7898598839676039E-2</v>
      </c>
      <c r="I102" s="210">
        <v>1.7806949926841842E-2</v>
      </c>
      <c r="J102" s="210">
        <v>1.771530915281283E-2</v>
      </c>
      <c r="K102" s="210">
        <v>1.7623676516862252E-2</v>
      </c>
      <c r="L102" s="210">
        <v>1.7532052018284006E-2</v>
      </c>
      <c r="M102" s="210">
        <v>1.7440435656382647E-2</v>
      </c>
      <c r="N102" s="210">
        <v>1.7348827430400338E-2</v>
      </c>
      <c r="O102" s="210">
        <v>1.725722733967916E-2</v>
      </c>
      <c r="P102" s="210">
        <v>1.7165635383467048E-2</v>
      </c>
      <c r="Q102" s="210">
        <v>1.7074051561080106E-2</v>
      </c>
      <c r="R102" s="210">
        <v>1.6982475871774705E-2</v>
      </c>
      <c r="S102" s="210">
        <v>1.6890908314870945E-2</v>
      </c>
      <c r="T102" s="210">
        <v>1.6799348889629195E-2</v>
      </c>
      <c r="U102" s="210">
        <v>1.6707797595360896E-2</v>
      </c>
      <c r="V102" s="210">
        <v>1.6616254431326416E-2</v>
      </c>
      <c r="W102" s="210">
        <v>1.6524719396844745E-2</v>
      </c>
      <c r="X102" s="260">
        <v>1.6433192491178916E-2</v>
      </c>
      <c r="Z102" s="146"/>
    </row>
    <row r="103" spans="2:26" s="145" customFormat="1" x14ac:dyDescent="0.25">
      <c r="B103" s="174"/>
      <c r="C103" s="175"/>
      <c r="E103" s="297"/>
      <c r="F103" s="12">
        <v>75000000</v>
      </c>
      <c r="G103" s="210">
        <v>4.1685934957155002E-2</v>
      </c>
      <c r="H103" s="210">
        <v>4.1471153427116825E-2</v>
      </c>
      <c r="I103" s="210">
        <v>4.1256415575607885E-2</v>
      </c>
      <c r="J103" s="210">
        <v>4.1041721393854091E-2</v>
      </c>
      <c r="K103" s="210">
        <v>4.0827070873106219E-2</v>
      </c>
      <c r="L103" s="210">
        <v>4.0612464004614601E-2</v>
      </c>
      <c r="M103" s="210">
        <v>4.0397900779631568E-2</v>
      </c>
      <c r="N103" s="210">
        <v>4.0183381189368594E-2</v>
      </c>
      <c r="O103" s="210">
        <v>3.9968905225096885E-2</v>
      </c>
      <c r="P103" s="210">
        <v>3.9754472878074321E-2</v>
      </c>
      <c r="Q103" s="210">
        <v>3.9540084139547682E-2</v>
      </c>
      <c r="R103" s="210">
        <v>3.9325739000764415E-2</v>
      </c>
      <c r="S103" s="210">
        <v>3.9111437452995279E-2</v>
      </c>
      <c r="T103" s="210">
        <v>3.8897179487487721E-2</v>
      </c>
      <c r="U103" s="210">
        <v>3.8682965095502952E-2</v>
      </c>
      <c r="V103" s="210">
        <v>3.8468794268304407E-2</v>
      </c>
      <c r="W103" s="210">
        <v>3.825466699716018E-2</v>
      </c>
      <c r="X103" s="260">
        <v>3.8040583273342587E-2</v>
      </c>
      <c r="Z103" s="146"/>
    </row>
    <row r="104" spans="2:26" s="145" customFormat="1" x14ac:dyDescent="0.25">
      <c r="B104" s="174"/>
      <c r="C104" s="176"/>
      <c r="E104" s="297"/>
      <c r="F104" s="12">
        <v>100000000</v>
      </c>
      <c r="G104" s="210">
        <v>5.3736949494801678E-2</v>
      </c>
      <c r="H104" s="210">
        <v>5.3458522038947853E-2</v>
      </c>
      <c r="I104" s="210">
        <v>5.3180167144069479E-2</v>
      </c>
      <c r="J104" s="210">
        <v>5.2901884791517251E-2</v>
      </c>
      <c r="K104" s="210">
        <v>5.2623674962658074E-2</v>
      </c>
      <c r="L104" s="210">
        <v>5.2345537638849526E-2</v>
      </c>
      <c r="M104" s="210">
        <v>5.2067472801447634E-2</v>
      </c>
      <c r="N104" s="210">
        <v>5.1789480431829071E-2</v>
      </c>
      <c r="O104" s="210">
        <v>5.151156051138428E-2</v>
      </c>
      <c r="P104" s="210">
        <v>5.1233713021467953E-2</v>
      </c>
      <c r="Q104" s="210">
        <v>5.0955937943473639E-2</v>
      </c>
      <c r="R104" s="210">
        <v>5.0678235258815763E-2</v>
      </c>
      <c r="S104" s="210">
        <v>5.0400604948859451E-2</v>
      </c>
      <c r="T104" s="210">
        <v>5.0123046995023124E-2</v>
      </c>
      <c r="U104" s="210">
        <v>4.9845561378705439E-2</v>
      </c>
      <c r="V104" s="210">
        <v>4.9568148081314378E-2</v>
      </c>
      <c r="W104" s="210">
        <v>4.9290807084264143E-2</v>
      </c>
      <c r="X104" s="260">
        <v>4.9013538368967602E-2</v>
      </c>
      <c r="Z104" s="146"/>
    </row>
    <row r="105" spans="2:26" s="145" customFormat="1" x14ac:dyDescent="0.25">
      <c r="B105" s="172"/>
      <c r="C105" s="173"/>
      <c r="E105" s="297"/>
      <c r="F105" s="12">
        <v>150000000</v>
      </c>
      <c r="G105" s="210">
        <v>6.5925447761791434E-2</v>
      </c>
      <c r="H105" s="210">
        <v>6.5581954172368118E-2</v>
      </c>
      <c r="I105" s="210">
        <v>6.5238569757621656E-2</v>
      </c>
      <c r="J105" s="210">
        <v>6.4895294483363175E-2</v>
      </c>
      <c r="K105" s="210">
        <v>6.455212831539292E-2</v>
      </c>
      <c r="L105" s="210">
        <v>6.4209071219469172E-2</v>
      </c>
      <c r="M105" s="210">
        <v>6.3866123161453681E-2</v>
      </c>
      <c r="N105" s="210">
        <v>6.3523284107152689E-2</v>
      </c>
      <c r="O105" s="210">
        <v>6.3180554022402635E-2</v>
      </c>
      <c r="P105" s="210">
        <v>6.2837932873021085E-2</v>
      </c>
      <c r="Q105" s="210">
        <v>6.2495420624911979E-2</v>
      </c>
      <c r="R105" s="210">
        <v>6.2153017243917974E-2</v>
      </c>
      <c r="S105" s="210">
        <v>6.1810722695907261E-2</v>
      </c>
      <c r="T105" s="210">
        <v>6.1468536946784669E-2</v>
      </c>
      <c r="U105" s="210">
        <v>6.1126459962450586E-2</v>
      </c>
      <c r="V105" s="210">
        <v>6.0784491708794519E-2</v>
      </c>
      <c r="W105" s="210">
        <v>6.0442632151738174E-2</v>
      </c>
      <c r="X105" s="260">
        <v>6.0100881257233896E-2</v>
      </c>
      <c r="Z105" s="146"/>
    </row>
    <row r="106" spans="2:26" s="145" customFormat="1" x14ac:dyDescent="0.25">
      <c r="B106" s="172"/>
      <c r="C106" s="177"/>
      <c r="E106" s="297"/>
      <c r="F106" s="12">
        <v>175000000</v>
      </c>
      <c r="G106" s="210">
        <v>6.9433343937657765E-2</v>
      </c>
      <c r="H106" s="210">
        <v>6.907099585611598E-2</v>
      </c>
      <c r="I106" s="210">
        <v>6.8708768865026082E-2</v>
      </c>
      <c r="J106" s="210">
        <v>6.8346662924469559E-2</v>
      </c>
      <c r="K106" s="210">
        <v>6.7984677994554321E-2</v>
      </c>
      <c r="L106" s="210">
        <v>6.7622814035413814E-2</v>
      </c>
      <c r="M106" s="210">
        <v>6.7261071007160833E-2</v>
      </c>
      <c r="N106" s="210">
        <v>6.6899448869967237E-2</v>
      </c>
      <c r="O106" s="210">
        <v>6.6537947583989565E-2</v>
      </c>
      <c r="P106" s="210">
        <v>6.6176567109379025E-2</v>
      </c>
      <c r="Q106" s="210">
        <v>6.5815307406349222E-2</v>
      </c>
      <c r="R106" s="210">
        <v>6.5454168435090887E-2</v>
      </c>
      <c r="S106" s="210">
        <v>6.5093150155794088E-2</v>
      </c>
      <c r="T106" s="210">
        <v>6.4732252528719059E-2</v>
      </c>
      <c r="U106" s="210">
        <v>6.4371475514079401E-2</v>
      </c>
      <c r="V106" s="210">
        <v>6.4010819072128244E-2</v>
      </c>
      <c r="W106" s="210">
        <v>6.3650283163147803E-2</v>
      </c>
      <c r="X106" s="260">
        <v>6.3289867747404527E-2</v>
      </c>
      <c r="Z106" s="146"/>
    </row>
    <row r="107" spans="2:26" s="145" customFormat="1" x14ac:dyDescent="0.25">
      <c r="E107" s="297"/>
      <c r="F107" s="12">
        <v>185000000</v>
      </c>
      <c r="G107" s="210">
        <v>7.0573483356758615E-2</v>
      </c>
      <c r="H107" s="210">
        <v>7.0204994898396711E-2</v>
      </c>
      <c r="I107" s="210">
        <v>6.9836631535908245E-2</v>
      </c>
      <c r="J107" s="210">
        <v>6.9468393227432479E-2</v>
      </c>
      <c r="K107" s="210">
        <v>6.9100279931068043E-2</v>
      </c>
      <c r="L107" s="210">
        <v>6.8732291604976625E-2</v>
      </c>
      <c r="M107" s="210">
        <v>6.8364428207350558E-2</v>
      </c>
      <c r="N107" s="210">
        <v>6.7996689696324664E-2</v>
      </c>
      <c r="O107" s="210">
        <v>6.7629076030116808E-2</v>
      </c>
      <c r="P107" s="210">
        <v>6.726158716692443E-2</v>
      </c>
      <c r="Q107" s="210">
        <v>6.6894223064955183E-2</v>
      </c>
      <c r="R107" s="210">
        <v>6.6526983682468011E-2</v>
      </c>
      <c r="S107" s="210">
        <v>6.6159868977675895E-2</v>
      </c>
      <c r="T107" s="210">
        <v>6.5792878908853991E-2</v>
      </c>
      <c r="U107" s="210">
        <v>6.5426013434284336E-2</v>
      </c>
      <c r="V107" s="210">
        <v>6.5059272512240751E-2</v>
      </c>
      <c r="W107" s="210">
        <v>6.4692656101014379E-2</v>
      </c>
      <c r="X107" s="260">
        <v>6.4326164158961419E-2</v>
      </c>
      <c r="Z107" s="146"/>
    </row>
    <row r="108" spans="2:26" s="145" customFormat="1" x14ac:dyDescent="0.25">
      <c r="B108" s="172"/>
      <c r="C108" s="176"/>
      <c r="E108" s="297"/>
      <c r="F108" s="12">
        <v>195000000</v>
      </c>
      <c r="G108" s="210">
        <v>7.1597706082008106E-2</v>
      </c>
      <c r="H108" s="210">
        <v>7.1223696407110459E-2</v>
      </c>
      <c r="I108" s="210">
        <v>7.084981548173408E-2</v>
      </c>
      <c r="J108" s="210">
        <v>7.047606326216771E-2</v>
      </c>
      <c r="K108" s="210">
        <v>7.0102439704714081E-2</v>
      </c>
      <c r="L108" s="210">
        <v>6.9728944765728107E-2</v>
      </c>
      <c r="M108" s="210">
        <v>6.9355578401502527E-2</v>
      </c>
      <c r="N108" s="210">
        <v>6.8982340568437994E-2</v>
      </c>
      <c r="O108" s="210">
        <v>6.8609231222848344E-2</v>
      </c>
      <c r="P108" s="210">
        <v>6.8236250321174863E-2</v>
      </c>
      <c r="Q108" s="210">
        <v>6.786339781976225E-2</v>
      </c>
      <c r="R108" s="210">
        <v>6.7490673675059343E-2</v>
      </c>
      <c r="S108" s="210">
        <v>6.7118077843458135E-2</v>
      </c>
      <c r="T108" s="210">
        <v>6.674561028143855E-2</v>
      </c>
      <c r="U108" s="210">
        <v>6.6373270945415896E-2</v>
      </c>
      <c r="V108" s="210">
        <v>6.6001059791893635E-2</v>
      </c>
      <c r="W108" s="210">
        <v>6.5628976777326375E-2</v>
      </c>
      <c r="X108" s="260">
        <v>6.5257021858246222E-2</v>
      </c>
      <c r="Z108" s="146"/>
    </row>
    <row r="109" spans="2:26" s="145" customFormat="1" x14ac:dyDescent="0.25">
      <c r="E109" s="298"/>
      <c r="F109" s="27">
        <v>220000000</v>
      </c>
      <c r="G109" s="261">
        <v>7.0769164239369298E-2</v>
      </c>
      <c r="H109" s="261">
        <v>7.0399621310375249E-2</v>
      </c>
      <c r="I109" s="261">
        <v>7.0030204171240396E-2</v>
      </c>
      <c r="J109" s="261">
        <v>6.9660912779749395E-2</v>
      </c>
      <c r="K109" s="261">
        <v>6.9291747093692679E-2</v>
      </c>
      <c r="L109" s="261">
        <v>6.8922707070851352E-2</v>
      </c>
      <c r="M109" s="261">
        <v>6.8553792669051816E-2</v>
      </c>
      <c r="N109" s="261">
        <v>6.8185003846137571E-2</v>
      </c>
      <c r="O109" s="261">
        <v>6.7816340559940125E-2</v>
      </c>
      <c r="P109" s="261">
        <v>6.7447802768338949E-2</v>
      </c>
      <c r="Q109" s="261">
        <v>6.707939042921951E-2</v>
      </c>
      <c r="R109" s="261">
        <v>6.6711103500429747E-2</v>
      </c>
      <c r="S109" s="261">
        <v>6.634294193988266E-2</v>
      </c>
      <c r="T109" s="261">
        <v>6.5974905705509457E-2</v>
      </c>
      <c r="U109" s="261">
        <v>6.5606994755227133E-2</v>
      </c>
      <c r="V109" s="261">
        <v>6.5239209047000202E-2</v>
      </c>
      <c r="W109" s="261">
        <v>6.4871548538775414E-2</v>
      </c>
      <c r="X109" s="262">
        <v>6.4504013188513731E-2</v>
      </c>
      <c r="Z109" s="146"/>
    </row>
    <row r="110" spans="2:26" s="145" customFormat="1" x14ac:dyDescent="0.25">
      <c r="Z110" s="146"/>
    </row>
    <row r="111" spans="2:26" s="145" customFormat="1" x14ac:dyDescent="0.25">
      <c r="Z111" s="146"/>
    </row>
    <row r="112" spans="2:26" s="145" customFormat="1" x14ac:dyDescent="0.25">
      <c r="Z112" s="146"/>
    </row>
    <row r="113" spans="11:26" s="145" customFormat="1" x14ac:dyDescent="0.25">
      <c r="Z113" s="146"/>
    </row>
    <row r="114" spans="11:26" s="145" customFormat="1" x14ac:dyDescent="0.25">
      <c r="Z114" s="146"/>
    </row>
    <row r="115" spans="11:26" s="145" customFormat="1" x14ac:dyDescent="0.25">
      <c r="Z115" s="146"/>
    </row>
    <row r="116" spans="11:26" s="145" customFormat="1" x14ac:dyDescent="0.25">
      <c r="Z116" s="146"/>
    </row>
    <row r="117" spans="11:26" s="145" customFormat="1" x14ac:dyDescent="0.25">
      <c r="Z117" s="146"/>
    </row>
    <row r="118" spans="11:26" s="145" customFormat="1" x14ac:dyDescent="0.25">
      <c r="Z118" s="146"/>
    </row>
    <row r="119" spans="11:26" s="145" customFormat="1" x14ac:dyDescent="0.25">
      <c r="Z119" s="146"/>
    </row>
    <row r="120" spans="11:26" s="145" customFormat="1" x14ac:dyDescent="0.25">
      <c r="Z120" s="146"/>
    </row>
    <row r="121" spans="11:26" s="145" customFormat="1" x14ac:dyDescent="0.25">
      <c r="Z121" s="146"/>
    </row>
    <row r="122" spans="11:26" s="145" customFormat="1" x14ac:dyDescent="0.25">
      <c r="Z122" s="146"/>
    </row>
    <row r="123" spans="11:26" s="145" customFormat="1" x14ac:dyDescent="0.25">
      <c r="Z123" s="146"/>
    </row>
    <row r="124" spans="11:26" s="145" customFormat="1" x14ac:dyDescent="0.25">
      <c r="Z124" s="146"/>
    </row>
    <row r="125" spans="11:26" s="145" customFormat="1" x14ac:dyDescent="0.25">
      <c r="Z125" s="146"/>
    </row>
    <row r="126" spans="11:26" s="145" customFormat="1" x14ac:dyDescent="0.25">
      <c r="K126" s="147"/>
      <c r="Z126" s="146"/>
    </row>
    <row r="127" spans="11:26" s="145" customFormat="1" x14ac:dyDescent="0.25">
      <c r="Z127" s="146"/>
    </row>
    <row r="128" spans="11:26" s="145" customFormat="1" ht="15" customHeight="1" x14ac:dyDescent="0.25">
      <c r="Z128" s="146"/>
    </row>
    <row r="129" spans="5:26" s="145" customFormat="1" ht="15" customHeight="1" x14ac:dyDescent="0.25">
      <c r="Z129" s="146"/>
    </row>
    <row r="130" spans="5:26" s="145" customFormat="1" x14ac:dyDescent="0.25">
      <c r="Z130" s="146"/>
    </row>
    <row r="131" spans="5:26" s="145" customFormat="1" x14ac:dyDescent="0.25">
      <c r="Z131" s="146"/>
    </row>
    <row r="132" spans="5:26" s="145" customFormat="1" x14ac:dyDescent="0.25">
      <c r="Z132" s="146"/>
    </row>
    <row r="133" spans="5:26" s="145" customFormat="1" x14ac:dyDescent="0.25">
      <c r="Z133" s="146"/>
    </row>
    <row r="134" spans="5:26" s="145" customFormat="1" x14ac:dyDescent="0.25">
      <c r="Z134" s="146"/>
    </row>
    <row r="135" spans="5:26" s="145" customFormat="1" x14ac:dyDescent="0.25">
      <c r="Z135" s="146"/>
    </row>
    <row r="136" spans="5:26" s="145" customFormat="1" x14ac:dyDescent="0.25">
      <c r="Z136" s="146"/>
    </row>
    <row r="137" spans="5:26" s="145" customFormat="1" x14ac:dyDescent="0.25">
      <c r="Z137" s="146"/>
    </row>
    <row r="138" spans="5:26" s="145" customFormat="1" x14ac:dyDescent="0.25">
      <c r="Z138" s="146"/>
    </row>
    <row r="139" spans="5:26" s="110" customFormat="1" x14ac:dyDescent="0.25">
      <c r="Z139" s="109"/>
    </row>
    <row r="140" spans="5:26" s="110" customFormat="1" x14ac:dyDescent="0.25">
      <c r="E140" s="112"/>
      <c r="F140" s="109"/>
      <c r="Z140" s="109"/>
    </row>
    <row r="141" spans="5:26" s="110" customFormat="1" x14ac:dyDescent="0.25">
      <c r="E141" s="112"/>
      <c r="F141" s="153"/>
      <c r="G141" s="154"/>
      <c r="Z141" s="109"/>
    </row>
    <row r="142" spans="5:26" s="110" customFormat="1" x14ac:dyDescent="0.25">
      <c r="E142" s="112"/>
      <c r="F142" s="155"/>
      <c r="G142" s="154"/>
      <c r="Z142" s="109"/>
    </row>
    <row r="143" spans="5:26" s="110" customFormat="1" x14ac:dyDescent="0.25">
      <c r="E143" s="112"/>
      <c r="F143" s="156"/>
      <c r="G143" s="154"/>
      <c r="Z143" s="109"/>
    </row>
    <row r="144" spans="5:26" s="110" customFormat="1" x14ac:dyDescent="0.25">
      <c r="E144" s="112"/>
      <c r="F144" s="157"/>
      <c r="G144" s="179"/>
      <c r="H144" s="179"/>
      <c r="I144" s="179"/>
      <c r="J144" s="179"/>
      <c r="K144" s="179"/>
      <c r="L144" s="179"/>
      <c r="M144" s="179"/>
      <c r="N144" s="179"/>
      <c r="O144" s="179"/>
      <c r="P144" s="179"/>
      <c r="Q144" s="179"/>
      <c r="R144" s="179"/>
      <c r="S144" s="179"/>
      <c r="T144" s="179"/>
      <c r="U144" s="179"/>
      <c r="V144" s="179"/>
      <c r="W144" s="179"/>
      <c r="X144" s="179"/>
      <c r="Z144" s="109"/>
    </row>
    <row r="145" spans="5:26" s="110" customFormat="1" x14ac:dyDescent="0.25">
      <c r="E145" s="161"/>
      <c r="F145" s="178"/>
      <c r="G145" s="178"/>
      <c r="H145" s="178"/>
      <c r="I145" s="178"/>
      <c r="J145" s="178"/>
      <c r="K145" s="178"/>
      <c r="L145" s="178"/>
      <c r="M145" s="178"/>
      <c r="N145" s="178"/>
      <c r="O145" s="178"/>
      <c r="P145" s="178"/>
      <c r="Q145" s="178"/>
      <c r="R145" s="178"/>
      <c r="S145" s="178"/>
      <c r="T145" s="178"/>
      <c r="U145" s="178"/>
      <c r="V145" s="178"/>
      <c r="W145" s="178"/>
      <c r="X145" s="178"/>
      <c r="Z145" s="109"/>
    </row>
    <row r="146" spans="5:26" s="110" customFormat="1" x14ac:dyDescent="0.25">
      <c r="E146" s="161"/>
      <c r="F146" s="158"/>
      <c r="G146" s="159"/>
      <c r="H146" s="159"/>
      <c r="I146" s="159"/>
      <c r="J146" s="159"/>
      <c r="K146" s="159"/>
      <c r="L146" s="159"/>
      <c r="M146" s="159"/>
      <c r="N146" s="159"/>
      <c r="O146" s="159"/>
      <c r="P146" s="159"/>
      <c r="Q146" s="159"/>
      <c r="R146" s="159"/>
      <c r="S146" s="159"/>
      <c r="T146" s="159"/>
      <c r="U146" s="159"/>
      <c r="V146" s="159"/>
      <c r="W146" s="159"/>
      <c r="X146" s="159"/>
      <c r="Z146" s="109"/>
    </row>
    <row r="147" spans="5:26" s="110" customFormat="1" x14ac:dyDescent="0.25">
      <c r="E147" s="161"/>
      <c r="F147" s="159"/>
      <c r="G147" s="148"/>
      <c r="H147" s="148"/>
      <c r="I147" s="149"/>
      <c r="J147" s="149"/>
      <c r="K147" s="149"/>
      <c r="L147" s="149"/>
      <c r="M147" s="149"/>
      <c r="N147" s="149"/>
      <c r="O147" s="149"/>
      <c r="P147" s="149"/>
      <c r="Q147" s="149"/>
      <c r="R147" s="149"/>
      <c r="S147" s="149"/>
      <c r="T147" s="149"/>
      <c r="U147" s="149"/>
      <c r="V147" s="149"/>
      <c r="W147" s="149"/>
      <c r="X147" s="149"/>
      <c r="Z147" s="109"/>
    </row>
    <row r="148" spans="5:26" s="110" customFormat="1" x14ac:dyDescent="0.25">
      <c r="E148" s="161"/>
      <c r="F148" s="159"/>
      <c r="G148" s="148"/>
      <c r="H148" s="148"/>
      <c r="I148" s="149"/>
      <c r="J148" s="149"/>
      <c r="K148" s="149"/>
      <c r="L148" s="149"/>
      <c r="M148" s="149"/>
      <c r="N148" s="149"/>
      <c r="O148" s="149"/>
      <c r="P148" s="149"/>
      <c r="Q148" s="149"/>
      <c r="R148" s="149"/>
      <c r="S148" s="149"/>
      <c r="T148" s="149"/>
      <c r="U148" s="149"/>
      <c r="V148" s="149"/>
      <c r="W148" s="149"/>
      <c r="X148" s="149"/>
      <c r="Z148" s="109"/>
    </row>
    <row r="149" spans="5:26" s="110" customFormat="1" x14ac:dyDescent="0.25">
      <c r="E149" s="161"/>
      <c r="F149" s="159"/>
      <c r="G149" s="148"/>
      <c r="H149" s="148"/>
      <c r="I149" s="149"/>
      <c r="J149" s="149"/>
      <c r="K149" s="149"/>
      <c r="L149" s="149"/>
      <c r="M149" s="149"/>
      <c r="N149" s="149"/>
      <c r="O149" s="149"/>
      <c r="P149" s="149"/>
      <c r="Q149" s="149"/>
      <c r="R149" s="149"/>
      <c r="S149" s="149"/>
      <c r="T149" s="149"/>
      <c r="U149" s="149"/>
      <c r="V149" s="149"/>
      <c r="W149" s="149"/>
      <c r="X149" s="149"/>
      <c r="Z149" s="109"/>
    </row>
    <row r="150" spans="5:26" s="110" customFormat="1" x14ac:dyDescent="0.25">
      <c r="E150" s="161"/>
      <c r="F150" s="159"/>
      <c r="G150" s="148"/>
      <c r="H150" s="148"/>
      <c r="I150" s="149"/>
      <c r="J150" s="149"/>
      <c r="K150" s="149"/>
      <c r="L150" s="149"/>
      <c r="M150" s="149"/>
      <c r="N150" s="149"/>
      <c r="O150" s="149"/>
      <c r="P150" s="149"/>
      <c r="Q150" s="149"/>
      <c r="R150" s="149"/>
      <c r="S150" s="149"/>
      <c r="T150" s="149"/>
      <c r="U150" s="149"/>
      <c r="V150" s="149"/>
      <c r="W150" s="149"/>
      <c r="X150" s="149"/>
      <c r="Z150" s="109"/>
    </row>
    <row r="151" spans="5:26" s="110" customFormat="1" x14ac:dyDescent="0.25">
      <c r="E151" s="161"/>
      <c r="F151" s="159"/>
      <c r="G151" s="148"/>
      <c r="H151" s="148"/>
      <c r="I151" s="149"/>
      <c r="J151" s="149"/>
      <c r="K151" s="149"/>
      <c r="L151" s="149"/>
      <c r="M151" s="149"/>
      <c r="N151" s="149"/>
      <c r="O151" s="149"/>
      <c r="P151" s="149"/>
      <c r="Q151" s="149"/>
      <c r="R151" s="149"/>
      <c r="S151" s="149"/>
      <c r="T151" s="149"/>
      <c r="U151" s="149"/>
      <c r="V151" s="149"/>
      <c r="W151" s="149"/>
      <c r="X151" s="149"/>
      <c r="Z151" s="109"/>
    </row>
    <row r="152" spans="5:26" s="110" customFormat="1" x14ac:dyDescent="0.25">
      <c r="E152" s="161"/>
      <c r="F152" s="159"/>
      <c r="G152" s="148"/>
      <c r="H152" s="148"/>
      <c r="I152" s="149"/>
      <c r="J152" s="149"/>
      <c r="K152" s="149"/>
      <c r="L152" s="149"/>
      <c r="M152" s="149"/>
      <c r="N152" s="149"/>
      <c r="O152" s="149"/>
      <c r="P152" s="149"/>
      <c r="Q152" s="149"/>
      <c r="R152" s="149"/>
      <c r="S152" s="149"/>
      <c r="T152" s="149"/>
      <c r="U152" s="149"/>
      <c r="V152" s="149"/>
      <c r="W152" s="149"/>
      <c r="X152" s="149"/>
      <c r="Z152" s="109"/>
    </row>
    <row r="153" spans="5:26" s="110" customFormat="1" x14ac:dyDescent="0.25">
      <c r="E153" s="161"/>
      <c r="F153" s="159"/>
      <c r="G153" s="148"/>
      <c r="H153" s="148"/>
      <c r="I153" s="149"/>
      <c r="J153" s="149"/>
      <c r="K153" s="149"/>
      <c r="L153" s="149"/>
      <c r="M153" s="149"/>
      <c r="N153" s="149"/>
      <c r="O153" s="149"/>
      <c r="P153" s="149"/>
      <c r="Q153" s="149"/>
      <c r="R153" s="149"/>
      <c r="S153" s="149"/>
      <c r="T153" s="149"/>
      <c r="U153" s="149"/>
      <c r="V153" s="149"/>
      <c r="W153" s="149"/>
      <c r="X153" s="149"/>
      <c r="Z153" s="109"/>
    </row>
    <row r="154" spans="5:26" s="110" customFormat="1" x14ac:dyDescent="0.25">
      <c r="E154" s="161"/>
      <c r="F154" s="159"/>
      <c r="G154" s="148"/>
      <c r="H154" s="148"/>
      <c r="I154" s="148"/>
      <c r="J154" s="148"/>
      <c r="K154" s="148"/>
      <c r="L154" s="148"/>
      <c r="M154" s="148"/>
      <c r="N154" s="148"/>
      <c r="O154" s="148"/>
      <c r="P154" s="148"/>
      <c r="Q154" s="148"/>
      <c r="R154" s="148"/>
      <c r="S154" s="148"/>
      <c r="T154" s="148"/>
      <c r="U154" s="148"/>
      <c r="V154" s="148"/>
      <c r="W154" s="148"/>
      <c r="X154" s="148"/>
      <c r="Z154" s="109"/>
    </row>
    <row r="155" spans="5:26" s="110" customFormat="1" x14ac:dyDescent="0.25">
      <c r="E155" s="161"/>
      <c r="F155" s="159"/>
      <c r="G155" s="148"/>
      <c r="H155" s="148"/>
      <c r="I155" s="148"/>
      <c r="J155" s="148"/>
      <c r="K155" s="148"/>
      <c r="L155" s="148"/>
      <c r="M155" s="148"/>
      <c r="N155" s="148"/>
      <c r="O155" s="148"/>
      <c r="P155" s="148"/>
      <c r="Q155" s="148"/>
      <c r="R155" s="148"/>
      <c r="S155" s="148"/>
      <c r="T155" s="148"/>
      <c r="U155" s="148"/>
      <c r="V155" s="148"/>
      <c r="W155" s="148"/>
      <c r="X155" s="148"/>
      <c r="Z155" s="109"/>
    </row>
    <row r="156" spans="5:26" s="110" customFormat="1" x14ac:dyDescent="0.25">
      <c r="E156" s="161"/>
      <c r="F156" s="159"/>
      <c r="G156" s="150"/>
      <c r="H156" s="150"/>
      <c r="I156" s="150"/>
      <c r="J156" s="150"/>
      <c r="K156" s="150"/>
      <c r="L156" s="150"/>
      <c r="M156" s="150"/>
      <c r="N156" s="150"/>
      <c r="O156" s="150"/>
      <c r="P156" s="150"/>
      <c r="Q156" s="150"/>
      <c r="R156" s="150"/>
      <c r="S156" s="150"/>
      <c r="T156" s="150"/>
      <c r="U156" s="150"/>
      <c r="V156" s="150"/>
      <c r="W156" s="150"/>
      <c r="X156" s="150"/>
      <c r="Z156" s="109"/>
    </row>
    <row r="157" spans="5:26" s="110" customFormat="1" x14ac:dyDescent="0.25">
      <c r="E157" s="161"/>
      <c r="F157" s="159"/>
      <c r="G157" s="150"/>
      <c r="H157" s="150"/>
      <c r="I157" s="150"/>
      <c r="J157" s="150"/>
      <c r="K157" s="150"/>
      <c r="L157" s="150"/>
      <c r="M157" s="150"/>
      <c r="N157" s="150"/>
      <c r="O157" s="150"/>
      <c r="P157" s="150"/>
      <c r="Q157" s="150"/>
      <c r="R157" s="150"/>
      <c r="S157" s="150"/>
      <c r="T157" s="150"/>
      <c r="U157" s="150"/>
      <c r="V157" s="150"/>
      <c r="W157" s="150"/>
      <c r="X157" s="150"/>
      <c r="Z157" s="109"/>
    </row>
    <row r="158" spans="5:26" s="110" customFormat="1" x14ac:dyDescent="0.25">
      <c r="E158" s="161"/>
      <c r="F158" s="159"/>
      <c r="G158" s="150"/>
      <c r="H158" s="150"/>
      <c r="I158" s="150"/>
      <c r="J158" s="150"/>
      <c r="K158" s="150"/>
      <c r="L158" s="150"/>
      <c r="M158" s="150"/>
      <c r="N158" s="150"/>
      <c r="O158" s="150"/>
      <c r="P158" s="150"/>
      <c r="Q158" s="150"/>
      <c r="R158" s="150"/>
      <c r="S158" s="150"/>
      <c r="T158" s="150"/>
      <c r="U158" s="150"/>
      <c r="V158" s="150"/>
      <c r="W158" s="150"/>
      <c r="X158" s="150"/>
      <c r="Z158" s="109"/>
    </row>
    <row r="159" spans="5:26" s="110" customFormat="1" x14ac:dyDescent="0.25">
      <c r="E159" s="161"/>
      <c r="F159" s="159"/>
      <c r="G159" s="150"/>
      <c r="H159" s="150"/>
      <c r="I159" s="150"/>
      <c r="J159" s="150"/>
      <c r="K159" s="150"/>
      <c r="L159" s="150"/>
      <c r="M159" s="150"/>
      <c r="N159" s="150"/>
      <c r="O159" s="150"/>
      <c r="P159" s="150"/>
      <c r="Q159" s="150"/>
      <c r="R159" s="150"/>
      <c r="S159" s="150"/>
      <c r="T159" s="150"/>
      <c r="U159" s="150"/>
      <c r="V159" s="150"/>
      <c r="W159" s="150"/>
      <c r="X159" s="150"/>
      <c r="Z159" s="109"/>
    </row>
    <row r="160" spans="5:26" s="110" customFormat="1" x14ac:dyDescent="0.25">
      <c r="E160" s="161"/>
      <c r="F160" s="159"/>
      <c r="G160" s="150"/>
      <c r="H160" s="150"/>
      <c r="I160" s="150"/>
      <c r="J160" s="150"/>
      <c r="K160" s="150"/>
      <c r="L160" s="150"/>
      <c r="M160" s="150"/>
      <c r="N160" s="150"/>
      <c r="O160" s="150"/>
      <c r="P160" s="150"/>
      <c r="Q160" s="150"/>
      <c r="R160" s="150"/>
      <c r="S160" s="150"/>
      <c r="T160" s="150"/>
      <c r="U160" s="150"/>
      <c r="V160" s="150"/>
      <c r="W160" s="150"/>
      <c r="X160" s="150"/>
      <c r="Z160" s="109"/>
    </row>
    <row r="161" spans="5:26" s="110" customFormat="1" x14ac:dyDescent="0.25">
      <c r="E161" s="161"/>
      <c r="F161" s="159"/>
      <c r="G161" s="150"/>
      <c r="H161" s="150"/>
      <c r="I161" s="150"/>
      <c r="J161" s="150"/>
      <c r="K161" s="150"/>
      <c r="L161" s="150"/>
      <c r="M161" s="150"/>
      <c r="N161" s="150"/>
      <c r="O161" s="150"/>
      <c r="P161" s="150"/>
      <c r="Q161" s="150"/>
      <c r="R161" s="150"/>
      <c r="S161" s="150"/>
      <c r="T161" s="150"/>
      <c r="U161" s="150"/>
      <c r="V161" s="150"/>
      <c r="W161" s="150"/>
      <c r="X161" s="150"/>
      <c r="Z161" s="109"/>
    </row>
    <row r="162" spans="5:26" s="110" customFormat="1" x14ac:dyDescent="0.25">
      <c r="E162" s="161"/>
      <c r="F162" s="159"/>
      <c r="G162" s="150"/>
      <c r="H162" s="150"/>
      <c r="I162" s="150"/>
      <c r="J162" s="150"/>
      <c r="K162" s="150"/>
      <c r="L162" s="150"/>
      <c r="M162" s="150"/>
      <c r="N162" s="150"/>
      <c r="O162" s="150"/>
      <c r="P162" s="150"/>
      <c r="Q162" s="150"/>
      <c r="R162" s="150"/>
      <c r="S162" s="150"/>
      <c r="T162" s="150"/>
      <c r="U162" s="150"/>
      <c r="V162" s="150"/>
      <c r="W162" s="150"/>
      <c r="X162" s="150"/>
      <c r="Z162" s="109"/>
    </row>
    <row r="163" spans="5:26" s="110" customFormat="1" x14ac:dyDescent="0.25">
      <c r="E163" s="161"/>
      <c r="F163" s="159"/>
      <c r="G163" s="150"/>
      <c r="H163" s="150"/>
      <c r="I163" s="150"/>
      <c r="J163" s="150"/>
      <c r="K163" s="150"/>
      <c r="L163" s="150"/>
      <c r="M163" s="150"/>
      <c r="N163" s="150"/>
      <c r="O163" s="150"/>
      <c r="P163" s="150"/>
      <c r="Q163" s="150"/>
      <c r="R163" s="150"/>
      <c r="S163" s="150"/>
      <c r="T163" s="150"/>
      <c r="U163" s="150"/>
      <c r="V163" s="150"/>
      <c r="W163" s="150"/>
      <c r="X163" s="150"/>
      <c r="Z163" s="109"/>
    </row>
    <row r="164" spans="5:26" s="110" customFormat="1" x14ac:dyDescent="0.25">
      <c r="Z164" s="109"/>
    </row>
    <row r="165" spans="5:26" s="110" customFormat="1" x14ac:dyDescent="0.25">
      <c r="Z165" s="109"/>
    </row>
    <row r="166" spans="5:26" s="110" customFormat="1" x14ac:dyDescent="0.25">
      <c r="F166" s="109"/>
      <c r="Z166" s="109"/>
    </row>
    <row r="167" spans="5:26" s="110" customFormat="1" x14ac:dyDescent="0.25">
      <c r="E167" s="112"/>
      <c r="F167" s="153"/>
      <c r="G167" s="154"/>
      <c r="Z167" s="109"/>
    </row>
    <row r="168" spans="5:26" s="110" customFormat="1" x14ac:dyDescent="0.25">
      <c r="E168" s="112"/>
      <c r="F168" s="155"/>
      <c r="G168" s="154"/>
      <c r="Z168" s="109"/>
    </row>
    <row r="169" spans="5:26" s="110" customFormat="1" x14ac:dyDescent="0.25">
      <c r="E169" s="112"/>
      <c r="F169" s="156"/>
      <c r="G169" s="154"/>
      <c r="Z169" s="109"/>
    </row>
    <row r="170" spans="5:26" s="110" customFormat="1" x14ac:dyDescent="0.25">
      <c r="E170" s="112"/>
      <c r="F170" s="160"/>
      <c r="G170" s="179"/>
      <c r="H170" s="179"/>
      <c r="I170" s="179"/>
      <c r="J170" s="179"/>
      <c r="K170" s="179"/>
      <c r="L170" s="179"/>
      <c r="M170" s="179"/>
      <c r="N170" s="179"/>
      <c r="O170" s="179"/>
      <c r="P170" s="179"/>
      <c r="Q170" s="179"/>
      <c r="R170" s="179"/>
      <c r="S170" s="179"/>
      <c r="T170" s="179"/>
      <c r="U170" s="179"/>
      <c r="V170" s="179"/>
      <c r="W170" s="179"/>
      <c r="X170" s="179"/>
      <c r="Z170" s="109"/>
    </row>
    <row r="171" spans="5:26" s="110" customFormat="1" x14ac:dyDescent="0.25">
      <c r="E171" s="161"/>
      <c r="F171" s="178"/>
      <c r="G171" s="178"/>
      <c r="H171" s="178"/>
      <c r="I171" s="178"/>
      <c r="J171" s="178"/>
      <c r="K171" s="178"/>
      <c r="L171" s="178"/>
      <c r="M171" s="178"/>
      <c r="N171" s="178"/>
      <c r="O171" s="178"/>
      <c r="P171" s="178"/>
      <c r="Q171" s="178"/>
      <c r="R171" s="178"/>
      <c r="S171" s="178"/>
      <c r="T171" s="178"/>
      <c r="U171" s="178"/>
      <c r="V171" s="178"/>
      <c r="W171" s="178"/>
      <c r="X171" s="178"/>
      <c r="Z171" s="109"/>
    </row>
    <row r="172" spans="5:26" s="110" customFormat="1" x14ac:dyDescent="0.25">
      <c r="E172" s="161"/>
      <c r="F172" s="158"/>
      <c r="G172" s="159"/>
      <c r="H172" s="159"/>
      <c r="I172" s="159"/>
      <c r="J172" s="159"/>
      <c r="K172" s="159"/>
      <c r="L172" s="159"/>
      <c r="M172" s="159"/>
      <c r="N172" s="159"/>
      <c r="O172" s="159"/>
      <c r="P172" s="159"/>
      <c r="Q172" s="159"/>
      <c r="R172" s="159"/>
      <c r="S172" s="159"/>
      <c r="T172" s="159"/>
      <c r="U172" s="159"/>
      <c r="V172" s="159"/>
      <c r="W172" s="159"/>
      <c r="X172" s="159"/>
      <c r="Z172" s="109"/>
    </row>
    <row r="173" spans="5:26" s="110" customFormat="1" x14ac:dyDescent="0.25">
      <c r="E173" s="161"/>
      <c r="F173" s="159"/>
      <c r="G173" s="148"/>
      <c r="H173" s="151"/>
      <c r="I173" s="151"/>
      <c r="J173" s="151"/>
      <c r="K173" s="151"/>
      <c r="L173" s="151"/>
      <c r="M173" s="151"/>
      <c r="N173" s="151"/>
      <c r="O173" s="151"/>
      <c r="P173" s="151"/>
      <c r="Q173" s="151"/>
      <c r="R173" s="152"/>
      <c r="S173" s="152"/>
      <c r="T173" s="152"/>
      <c r="U173" s="152"/>
      <c r="V173" s="152"/>
      <c r="W173" s="152"/>
      <c r="X173" s="152"/>
      <c r="Z173" s="109"/>
    </row>
    <row r="174" spans="5:26" s="110" customFormat="1" x14ac:dyDescent="0.25">
      <c r="E174" s="161"/>
      <c r="F174" s="159"/>
      <c r="G174" s="148"/>
      <c r="H174" s="150"/>
      <c r="I174" s="152"/>
      <c r="J174" s="151"/>
      <c r="K174" s="151"/>
      <c r="L174" s="151"/>
      <c r="M174" s="151"/>
      <c r="N174" s="151"/>
      <c r="O174" s="151"/>
      <c r="P174" s="151"/>
      <c r="Q174" s="151"/>
      <c r="R174" s="152"/>
      <c r="S174" s="152"/>
      <c r="T174" s="152"/>
      <c r="U174" s="152"/>
      <c r="V174" s="152"/>
      <c r="W174" s="152"/>
      <c r="X174" s="152"/>
      <c r="Z174" s="109"/>
    </row>
    <row r="175" spans="5:26" s="110" customFormat="1" x14ac:dyDescent="0.25">
      <c r="E175" s="161"/>
      <c r="F175" s="159"/>
      <c r="G175" s="148"/>
      <c r="H175" s="150"/>
      <c r="I175" s="149"/>
      <c r="J175" s="152"/>
      <c r="K175" s="151"/>
      <c r="L175" s="151"/>
      <c r="M175" s="151"/>
      <c r="N175" s="151"/>
      <c r="O175" s="151"/>
      <c r="P175" s="151"/>
      <c r="Q175" s="151"/>
      <c r="R175" s="152"/>
      <c r="S175" s="152"/>
      <c r="T175" s="152"/>
      <c r="U175" s="152"/>
      <c r="V175" s="152"/>
      <c r="W175" s="152"/>
      <c r="X175" s="152"/>
      <c r="Z175" s="109"/>
    </row>
    <row r="176" spans="5:26" s="110" customFormat="1" x14ac:dyDescent="0.25">
      <c r="E176" s="161"/>
      <c r="F176" s="159"/>
      <c r="G176" s="148"/>
      <c r="H176" s="150"/>
      <c r="I176" s="149"/>
      <c r="J176" s="149"/>
      <c r="K176" s="152"/>
      <c r="L176" s="151"/>
      <c r="M176" s="151"/>
      <c r="N176" s="151"/>
      <c r="O176" s="151"/>
      <c r="P176" s="151"/>
      <c r="Q176" s="151"/>
      <c r="R176" s="152"/>
      <c r="S176" s="152"/>
      <c r="T176" s="152"/>
      <c r="U176" s="152"/>
      <c r="V176" s="152"/>
      <c r="W176" s="152"/>
      <c r="X176" s="152"/>
      <c r="Z176" s="109"/>
    </row>
    <row r="177" spans="5:26" s="110" customFormat="1" x14ac:dyDescent="0.25">
      <c r="E177" s="161"/>
      <c r="F177" s="159"/>
      <c r="G177" s="148"/>
      <c r="H177" s="150"/>
      <c r="I177" s="149"/>
      <c r="J177" s="149"/>
      <c r="K177" s="149"/>
      <c r="L177" s="152"/>
      <c r="M177" s="151"/>
      <c r="N177" s="151"/>
      <c r="O177" s="151"/>
      <c r="P177" s="151"/>
      <c r="Q177" s="151"/>
      <c r="R177" s="152"/>
      <c r="S177" s="152"/>
      <c r="T177" s="152"/>
      <c r="U177" s="152"/>
      <c r="V177" s="152"/>
      <c r="W177" s="152"/>
      <c r="X177" s="152"/>
      <c r="Z177" s="109"/>
    </row>
    <row r="178" spans="5:26" s="110" customFormat="1" x14ac:dyDescent="0.25">
      <c r="E178" s="161"/>
      <c r="F178" s="159"/>
      <c r="G178" s="148"/>
      <c r="H178" s="150"/>
      <c r="I178" s="149"/>
      <c r="J178" s="149"/>
      <c r="K178" s="149"/>
      <c r="L178" s="149"/>
      <c r="M178" s="152"/>
      <c r="N178" s="151"/>
      <c r="O178" s="151"/>
      <c r="P178" s="151"/>
      <c r="Q178" s="151"/>
      <c r="R178" s="152"/>
      <c r="S178" s="152"/>
      <c r="T178" s="152"/>
      <c r="U178" s="152"/>
      <c r="V178" s="152"/>
      <c r="W178" s="152"/>
      <c r="X178" s="152"/>
      <c r="Z178" s="109"/>
    </row>
    <row r="179" spans="5:26" s="110" customFormat="1" x14ac:dyDescent="0.25">
      <c r="E179" s="161"/>
      <c r="F179" s="159"/>
      <c r="G179" s="148"/>
      <c r="H179" s="150"/>
      <c r="I179" s="149"/>
      <c r="J179" s="149"/>
      <c r="K179" s="149"/>
      <c r="L179" s="149"/>
      <c r="M179" s="149"/>
      <c r="N179" s="152"/>
      <c r="O179" s="151"/>
      <c r="P179" s="151"/>
      <c r="Q179" s="151"/>
      <c r="R179" s="152"/>
      <c r="S179" s="152"/>
      <c r="T179" s="152"/>
      <c r="U179" s="152"/>
      <c r="V179" s="152"/>
      <c r="W179" s="152"/>
      <c r="X179" s="152"/>
      <c r="Z179" s="109"/>
    </row>
    <row r="180" spans="5:26" s="110" customFormat="1" x14ac:dyDescent="0.25">
      <c r="E180" s="161"/>
      <c r="F180" s="159"/>
      <c r="G180" s="148"/>
      <c r="H180" s="150"/>
      <c r="I180" s="148"/>
      <c r="J180" s="148"/>
      <c r="K180" s="148"/>
      <c r="L180" s="148"/>
      <c r="M180" s="148"/>
      <c r="N180" s="148"/>
      <c r="O180" s="151"/>
      <c r="P180" s="151"/>
      <c r="Q180" s="151"/>
      <c r="R180" s="151"/>
      <c r="S180" s="151"/>
      <c r="T180" s="151"/>
      <c r="U180" s="151"/>
      <c r="V180" s="151"/>
      <c r="W180" s="151"/>
      <c r="X180" s="151"/>
      <c r="Z180" s="109"/>
    </row>
    <row r="181" spans="5:26" s="110" customFormat="1" x14ac:dyDescent="0.25">
      <c r="E181" s="161"/>
      <c r="F181" s="159"/>
      <c r="G181" s="148"/>
      <c r="H181" s="150"/>
      <c r="I181" s="148"/>
      <c r="J181" s="148"/>
      <c r="K181" s="148"/>
      <c r="L181" s="148"/>
      <c r="M181" s="148"/>
      <c r="N181" s="148"/>
      <c r="O181" s="148"/>
      <c r="P181" s="151"/>
      <c r="Q181" s="151"/>
      <c r="R181" s="151"/>
      <c r="S181" s="151"/>
      <c r="T181" s="151"/>
      <c r="U181" s="151"/>
      <c r="V181" s="151"/>
      <c r="W181" s="151"/>
      <c r="X181" s="151"/>
      <c r="Z181" s="109"/>
    </row>
    <row r="182" spans="5:26" s="110" customFormat="1" x14ac:dyDescent="0.25">
      <c r="E182" s="161"/>
      <c r="F182" s="159"/>
      <c r="G182" s="150"/>
      <c r="H182" s="150"/>
      <c r="I182" s="150"/>
      <c r="J182" s="150"/>
      <c r="K182" s="150"/>
      <c r="L182" s="150"/>
      <c r="M182" s="150"/>
      <c r="N182" s="150"/>
      <c r="O182" s="150"/>
      <c r="P182" s="150"/>
      <c r="Q182" s="151"/>
      <c r="R182" s="151"/>
      <c r="S182" s="151"/>
      <c r="T182" s="151"/>
      <c r="U182" s="151"/>
      <c r="V182" s="151"/>
      <c r="W182" s="151"/>
      <c r="X182" s="151"/>
      <c r="Z182" s="109"/>
    </row>
    <row r="183" spans="5:26" s="110" customFormat="1" x14ac:dyDescent="0.25">
      <c r="E183" s="161"/>
      <c r="F183" s="159"/>
      <c r="G183" s="150"/>
      <c r="H183" s="150"/>
      <c r="I183" s="150"/>
      <c r="J183" s="150"/>
      <c r="K183" s="150"/>
      <c r="L183" s="150"/>
      <c r="M183" s="150"/>
      <c r="N183" s="150"/>
      <c r="O183" s="150"/>
      <c r="P183" s="150"/>
      <c r="Q183" s="150"/>
      <c r="R183" s="151"/>
      <c r="S183" s="151"/>
      <c r="T183" s="151"/>
      <c r="U183" s="151"/>
      <c r="V183" s="151"/>
      <c r="W183" s="151"/>
      <c r="X183" s="151"/>
      <c r="Z183" s="109"/>
    </row>
    <row r="184" spans="5:26" s="110" customFormat="1" x14ac:dyDescent="0.25">
      <c r="E184" s="161"/>
      <c r="F184" s="159"/>
      <c r="G184" s="150"/>
      <c r="H184" s="150"/>
      <c r="I184" s="150"/>
      <c r="J184" s="150"/>
      <c r="K184" s="150"/>
      <c r="L184" s="150"/>
      <c r="M184" s="150"/>
      <c r="N184" s="150"/>
      <c r="O184" s="150"/>
      <c r="P184" s="150"/>
      <c r="Q184" s="150"/>
      <c r="R184" s="150"/>
      <c r="S184" s="151"/>
      <c r="T184" s="151"/>
      <c r="U184" s="151"/>
      <c r="V184" s="151"/>
      <c r="W184" s="151"/>
      <c r="X184" s="151"/>
      <c r="Z184" s="109"/>
    </row>
    <row r="185" spans="5:26" s="110" customFormat="1" x14ac:dyDescent="0.25">
      <c r="E185" s="161"/>
      <c r="F185" s="159"/>
      <c r="G185" s="150"/>
      <c r="H185" s="150"/>
      <c r="I185" s="150"/>
      <c r="J185" s="150"/>
      <c r="K185" s="150"/>
      <c r="L185" s="150"/>
      <c r="M185" s="150"/>
      <c r="N185" s="150"/>
      <c r="O185" s="150"/>
      <c r="P185" s="150"/>
      <c r="Q185" s="150"/>
      <c r="R185" s="150"/>
      <c r="S185" s="150"/>
      <c r="T185" s="151"/>
      <c r="U185" s="151"/>
      <c r="V185" s="151"/>
      <c r="W185" s="151"/>
      <c r="X185" s="151"/>
      <c r="Z185" s="109"/>
    </row>
    <row r="186" spans="5:26" s="110" customFormat="1" x14ac:dyDescent="0.25">
      <c r="E186" s="161"/>
      <c r="F186" s="159"/>
      <c r="G186" s="150"/>
      <c r="H186" s="150"/>
      <c r="I186" s="150"/>
      <c r="J186" s="150"/>
      <c r="K186" s="150"/>
      <c r="L186" s="150"/>
      <c r="M186" s="150"/>
      <c r="N186" s="150"/>
      <c r="O186" s="150"/>
      <c r="P186" s="150"/>
      <c r="Q186" s="150"/>
      <c r="R186" s="150"/>
      <c r="S186" s="150"/>
      <c r="T186" s="150"/>
      <c r="U186" s="151"/>
      <c r="V186" s="151"/>
      <c r="W186" s="151"/>
      <c r="X186" s="151"/>
      <c r="Z186" s="109"/>
    </row>
    <row r="187" spans="5:26" s="110" customFormat="1" x14ac:dyDescent="0.25">
      <c r="E187" s="161"/>
      <c r="F187" s="159"/>
      <c r="G187" s="150"/>
      <c r="H187" s="150"/>
      <c r="I187" s="150"/>
      <c r="J187" s="150"/>
      <c r="K187" s="150"/>
      <c r="L187" s="150"/>
      <c r="M187" s="150"/>
      <c r="N187" s="150"/>
      <c r="O187" s="150"/>
      <c r="P187" s="150"/>
      <c r="Q187" s="150"/>
      <c r="R187" s="150"/>
      <c r="S187" s="150"/>
      <c r="T187" s="150"/>
      <c r="U187" s="150"/>
      <c r="V187" s="151"/>
      <c r="W187" s="151"/>
      <c r="X187" s="151"/>
      <c r="Z187" s="109"/>
    </row>
    <row r="188" spans="5:26" s="110" customFormat="1" x14ac:dyDescent="0.25">
      <c r="E188" s="161"/>
      <c r="F188" s="159"/>
      <c r="G188" s="150"/>
      <c r="H188" s="150"/>
      <c r="I188" s="150"/>
      <c r="J188" s="150"/>
      <c r="K188" s="150"/>
      <c r="L188" s="150"/>
      <c r="M188" s="150"/>
      <c r="N188" s="150"/>
      <c r="O188" s="150"/>
      <c r="P188" s="150"/>
      <c r="Q188" s="150"/>
      <c r="R188" s="150"/>
      <c r="S188" s="150"/>
      <c r="T188" s="150"/>
      <c r="U188" s="150"/>
      <c r="V188" s="150"/>
      <c r="W188" s="151"/>
      <c r="X188" s="151"/>
      <c r="Z188" s="109"/>
    </row>
    <row r="189" spans="5:26" s="110" customFormat="1" x14ac:dyDescent="0.25">
      <c r="E189" s="161"/>
      <c r="F189" s="159"/>
      <c r="G189" s="150"/>
      <c r="H189" s="150"/>
      <c r="I189" s="150"/>
      <c r="J189" s="150"/>
      <c r="K189" s="150"/>
      <c r="L189" s="150"/>
      <c r="M189" s="150"/>
      <c r="N189" s="150"/>
      <c r="O189" s="150"/>
      <c r="P189" s="150"/>
      <c r="Q189" s="150"/>
      <c r="R189" s="150"/>
      <c r="S189" s="150"/>
      <c r="T189" s="150"/>
      <c r="U189" s="150"/>
      <c r="V189" s="150"/>
      <c r="W189" s="150"/>
      <c r="X189" s="151"/>
      <c r="Z189" s="109"/>
    </row>
    <row r="190" spans="5:26" s="110" customFormat="1" x14ac:dyDescent="0.25">
      <c r="E190" s="161"/>
      <c r="F190" s="159"/>
      <c r="G190" s="150"/>
      <c r="H190" s="150"/>
      <c r="I190" s="150"/>
      <c r="J190" s="150"/>
      <c r="K190" s="150"/>
      <c r="L190" s="150"/>
      <c r="M190" s="150"/>
      <c r="N190" s="150"/>
      <c r="O190" s="150"/>
      <c r="P190" s="150"/>
      <c r="Q190" s="150"/>
      <c r="R190" s="150"/>
      <c r="S190" s="150"/>
      <c r="T190" s="150"/>
      <c r="U190" s="150"/>
      <c r="V190" s="150"/>
      <c r="W190" s="150"/>
      <c r="X190" s="150"/>
      <c r="Z190" s="109"/>
    </row>
    <row r="191" spans="5:26" s="110" customFormat="1" x14ac:dyDescent="0.25">
      <c r="Z191" s="109"/>
    </row>
    <row r="192" spans="5:26" s="110" customFormat="1" x14ac:dyDescent="0.25">
      <c r="Z192" s="109"/>
    </row>
    <row r="193" spans="26:26" s="110" customFormat="1" x14ac:dyDescent="0.25">
      <c r="Z193" s="109"/>
    </row>
    <row r="194" spans="26:26" s="110" customFormat="1" x14ac:dyDescent="0.25">
      <c r="Z194" s="109"/>
    </row>
    <row r="195" spans="26:26" s="110" customFormat="1" x14ac:dyDescent="0.25">
      <c r="Z195" s="109"/>
    </row>
    <row r="196" spans="26:26" s="110" customFormat="1" x14ac:dyDescent="0.25">
      <c r="Z196" s="109"/>
    </row>
    <row r="197" spans="26:26" s="110" customFormat="1" x14ac:dyDescent="0.25">
      <c r="Z197" s="109"/>
    </row>
    <row r="198" spans="26:26" s="110" customFormat="1" x14ac:dyDescent="0.25">
      <c r="Z198" s="109"/>
    </row>
    <row r="199" spans="26:26" s="110" customFormat="1" x14ac:dyDescent="0.25">
      <c r="Z199" s="109"/>
    </row>
    <row r="200" spans="26:26" s="110" customFormat="1" x14ac:dyDescent="0.25">
      <c r="Z200" s="109"/>
    </row>
    <row r="201" spans="26:26" s="110" customFormat="1" x14ac:dyDescent="0.25">
      <c r="Z201" s="109"/>
    </row>
    <row r="202" spans="26:26" s="110" customFormat="1" x14ac:dyDescent="0.25">
      <c r="Z202" s="109"/>
    </row>
    <row r="203" spans="26:26" s="110" customFormat="1" x14ac:dyDescent="0.25">
      <c r="Z203" s="109"/>
    </row>
    <row r="204" spans="26:26" s="110" customFormat="1" x14ac:dyDescent="0.25">
      <c r="Z204" s="109"/>
    </row>
    <row r="205" spans="26:26" s="110" customFormat="1" x14ac:dyDescent="0.25">
      <c r="Z205" s="109"/>
    </row>
    <row r="206" spans="26:26" s="110" customFormat="1" x14ac:dyDescent="0.25">
      <c r="Z206" s="109"/>
    </row>
    <row r="207" spans="26:26" s="110" customFormat="1" x14ac:dyDescent="0.25">
      <c r="Z207" s="109"/>
    </row>
    <row r="208" spans="26:26" s="110" customFormat="1" x14ac:dyDescent="0.25">
      <c r="Z208" s="109"/>
    </row>
    <row r="209" spans="26:26" s="110" customFormat="1" x14ac:dyDescent="0.25">
      <c r="Z209" s="109"/>
    </row>
    <row r="210" spans="26:26" s="110" customFormat="1" x14ac:dyDescent="0.25">
      <c r="Z210" s="109"/>
    </row>
    <row r="211" spans="26:26" s="110" customFormat="1" x14ac:dyDescent="0.25">
      <c r="Z211" s="109"/>
    </row>
    <row r="212" spans="26:26" s="110" customFormat="1" x14ac:dyDescent="0.25">
      <c r="Z212" s="109"/>
    </row>
    <row r="213" spans="26:26" s="110" customFormat="1" x14ac:dyDescent="0.25">
      <c r="Z213" s="109"/>
    </row>
    <row r="214" spans="26:26" s="110" customFormat="1" x14ac:dyDescent="0.25">
      <c r="Z214" s="109"/>
    </row>
    <row r="215" spans="26:26" s="110" customFormat="1" x14ac:dyDescent="0.25">
      <c r="Z215" s="109"/>
    </row>
    <row r="216" spans="26:26" s="110" customFormat="1" x14ac:dyDescent="0.25">
      <c r="Z216" s="109"/>
    </row>
    <row r="217" spans="26:26" s="110" customFormat="1" x14ac:dyDescent="0.25">
      <c r="Z217" s="109"/>
    </row>
    <row r="218" spans="26:26" s="110" customFormat="1" x14ac:dyDescent="0.25">
      <c r="Z218" s="109"/>
    </row>
    <row r="219" spans="26:26" s="110" customFormat="1" x14ac:dyDescent="0.25">
      <c r="Z219" s="109"/>
    </row>
    <row r="220" spans="26:26" s="110" customFormat="1" x14ac:dyDescent="0.25">
      <c r="Z220" s="109"/>
    </row>
    <row r="221" spans="26:26" s="110" customFormat="1" x14ac:dyDescent="0.25">
      <c r="Z221" s="109"/>
    </row>
    <row r="222" spans="26:26" s="110" customFormat="1" x14ac:dyDescent="0.25">
      <c r="Z222" s="109"/>
    </row>
    <row r="223" spans="26:26" s="110" customFormat="1" x14ac:dyDescent="0.25">
      <c r="Z223" s="109"/>
    </row>
    <row r="224" spans="26:26" s="110" customFormat="1" x14ac:dyDescent="0.25">
      <c r="Z224" s="109"/>
    </row>
    <row r="225" spans="26:26" s="110" customFormat="1" x14ac:dyDescent="0.25">
      <c r="Z225" s="109"/>
    </row>
    <row r="226" spans="26:26" s="110" customFormat="1" x14ac:dyDescent="0.25">
      <c r="Z226" s="109"/>
    </row>
    <row r="227" spans="26:26" s="110" customFormat="1" x14ac:dyDescent="0.25">
      <c r="Z227" s="109"/>
    </row>
    <row r="228" spans="26:26" s="110" customFormat="1" x14ac:dyDescent="0.25">
      <c r="Z228" s="109"/>
    </row>
    <row r="229" spans="26:26" s="110" customFormat="1" x14ac:dyDescent="0.25">
      <c r="Z229" s="109"/>
    </row>
    <row r="230" spans="26:26" s="110" customFormat="1" x14ac:dyDescent="0.25">
      <c r="Z230" s="109"/>
    </row>
    <row r="231" spans="26:26" s="110" customFormat="1" x14ac:dyDescent="0.25">
      <c r="Z231" s="109"/>
    </row>
    <row r="232" spans="26:26" s="110" customFormat="1" x14ac:dyDescent="0.25">
      <c r="Z232" s="109"/>
    </row>
    <row r="233" spans="26:26" s="110" customFormat="1" x14ac:dyDescent="0.25">
      <c r="Z233" s="109"/>
    </row>
    <row r="234" spans="26:26" s="110" customFormat="1" x14ac:dyDescent="0.25">
      <c r="Z234" s="109"/>
    </row>
  </sheetData>
  <mergeCells count="11">
    <mergeCell ref="E65:E83"/>
    <mergeCell ref="F65:X65"/>
    <mergeCell ref="G90:X90"/>
    <mergeCell ref="E91:E109"/>
    <mergeCell ref="F91:X91"/>
    <mergeCell ref="G64:X64"/>
    <mergeCell ref="E6:E24"/>
    <mergeCell ref="F6:X6"/>
    <mergeCell ref="G38:X38"/>
    <mergeCell ref="E39:E57"/>
    <mergeCell ref="F39:X39"/>
  </mergeCells>
  <conditionalFormatting sqref="AB7:AC23">
    <cfRule type="dataBar" priority="3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{60610B84-05B1-4F9C-B779-1AB43A8701C9}</x14:id>
        </ext>
      </extLst>
    </cfRule>
  </conditionalFormatting>
  <conditionalFormatting sqref="AD7:AE23">
    <cfRule type="dataBar" priority="3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{945696A5-80A2-4C97-9C14-6B4CED869082}</x14:id>
        </ext>
      </extLst>
    </cfRule>
  </conditionalFormatting>
  <conditionalFormatting sqref="AF7:AI23">
    <cfRule type="dataBar" priority="3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{79DDEA84-3750-4310-9766-3D55AA05DEB0}</x14:id>
        </ext>
      </extLst>
    </cfRule>
  </conditionalFormatting>
  <conditionalFormatting sqref="H8:H24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9:I24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0:J24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1:K24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2:L24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3:M24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4:N24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5:O24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6:P24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7:Q2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8:R2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9:S2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0:T2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1:U2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2:V2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3:W2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5:X25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K7:AK23">
    <cfRule type="dataBar" priority="2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{6FE1ADA9-5EF7-4B3E-9173-93321A61FC42}</x14:id>
        </ext>
      </extLst>
    </cfRule>
  </conditionalFormatting>
  <conditionalFormatting sqref="AM7:AM23">
    <cfRule type="expression" dxfId="1" priority="28">
      <formula>AM7&lt;AK7</formula>
    </cfRule>
  </conditionalFormatting>
  <conditionalFormatting sqref="AP7:AP23">
    <cfRule type="dataBar" priority="2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{D8701F00-7C18-4BD0-A264-29A63FA92BCA}</x14:id>
        </ext>
      </extLst>
    </cfRule>
  </conditionalFormatting>
  <conditionalFormatting sqref="AR7:AR23">
    <cfRule type="expression" dxfId="0" priority="26">
      <formula>AR7&lt;AP7</formula>
    </cfRule>
  </conditionalFormatting>
  <conditionalFormatting sqref="G38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60:X63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67:X83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47:X163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1:X57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X5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90:X190 G173 G174:H174 G175:I175 G176:J176 G177:K177 G178:L178 G179:M179 G180:N180 G181:O181 G182:P182 G186:T186 G189:W189 G188:V188 G187:U187 G185:S185 G184:R184 G183:Q18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6:X8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93:X10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promptTitle="Select Year" prompt="Pick the year of operation (range: 1-5)" sqref="C27" xr:uid="{CA6618A9-AC31-48E6-8821-937C9DFC5906}">
      <formula1>$A$51:$A$69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0610B84-05B1-4F9C-B779-1AB43A8701C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AB7:AC23</xm:sqref>
        </x14:conditionalFormatting>
        <x14:conditionalFormatting xmlns:xm="http://schemas.microsoft.com/office/excel/2006/main">
          <x14:cfRule type="dataBar" id="{945696A5-80A2-4C97-9C14-6B4CED8690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AD7:AE23</xm:sqref>
        </x14:conditionalFormatting>
        <x14:conditionalFormatting xmlns:xm="http://schemas.microsoft.com/office/excel/2006/main">
          <x14:cfRule type="dataBar" id="{79DDEA84-3750-4310-9766-3D55AA05DEB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AF7:AI23</xm:sqref>
        </x14:conditionalFormatting>
        <x14:conditionalFormatting xmlns:xm="http://schemas.microsoft.com/office/excel/2006/main">
          <x14:cfRule type="dataBar" id="{6FE1ADA9-5EF7-4B3E-9173-93321A61FC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AK7:AK23</xm:sqref>
        </x14:conditionalFormatting>
        <x14:conditionalFormatting xmlns:xm="http://schemas.microsoft.com/office/excel/2006/main">
          <x14:cfRule type="dataBar" id="{D8701F00-7C18-4BD0-A264-29A63FA92BC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AP7:AP23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8D543-74D1-4EEA-A530-F67950770DB2}">
  <dimension ref="B2:J37"/>
  <sheetViews>
    <sheetView tabSelected="1" zoomScaleNormal="100" workbookViewId="0">
      <selection activeCell="D9" sqref="D9:E9"/>
    </sheetView>
  </sheetViews>
  <sheetFormatPr defaultRowHeight="15" x14ac:dyDescent="0.25"/>
  <cols>
    <col min="1" max="1" width="2.5703125" customWidth="1"/>
    <col min="2" max="2" width="6.28515625" bestFit="1" customWidth="1"/>
    <col min="3" max="3" width="11.85546875" bestFit="1" customWidth="1"/>
    <col min="4" max="4" width="20.28515625" bestFit="1" customWidth="1"/>
    <col min="5" max="5" width="19.85546875" bestFit="1" customWidth="1"/>
    <col min="6" max="6" width="12.42578125" bestFit="1" customWidth="1"/>
    <col min="7" max="7" width="18.5703125" bestFit="1" customWidth="1"/>
    <col min="8" max="8" width="23.28515625" bestFit="1" customWidth="1"/>
    <col min="9" max="9" width="11.85546875" bestFit="1" customWidth="1"/>
    <col min="10" max="10" width="10.5703125" bestFit="1" customWidth="1"/>
  </cols>
  <sheetData>
    <row r="2" spans="2:10" x14ac:dyDescent="0.25">
      <c r="B2" t="s">
        <v>55</v>
      </c>
      <c r="C2" t="s">
        <v>57</v>
      </c>
      <c r="D2" t="s">
        <v>140</v>
      </c>
      <c r="E2" t="s">
        <v>139</v>
      </c>
      <c r="F2" t="s">
        <v>138</v>
      </c>
      <c r="G2" t="s">
        <v>137</v>
      </c>
      <c r="H2" t="s">
        <v>156</v>
      </c>
      <c r="I2" t="s">
        <v>155</v>
      </c>
    </row>
    <row r="3" spans="2:10" x14ac:dyDescent="0.25">
      <c r="B3">
        <f>rho!C6</f>
        <v>211</v>
      </c>
      <c r="C3" s="269">
        <f>rho!A6</f>
        <v>44056</v>
      </c>
      <c r="D3" s="265">
        <f>SKY!H4/SKY!E4 * Rewards_Chart!G3 * (1-tr_tax)</f>
        <v>10217011.746647561</v>
      </c>
      <c r="E3" s="267">
        <f>(1-SKY!H4/SKY!E4) *G3* (1-tr_tax)</f>
        <v>21612462.27338732</v>
      </c>
      <c r="F3" s="267">
        <f t="shared" ref="F3:F31" si="0">G3*tr_tax</f>
        <v>7957368.5050087199</v>
      </c>
      <c r="G3" s="265">
        <f>rho!E6</f>
        <v>39786842.525043599</v>
      </c>
      <c r="H3" s="265">
        <f>rho!H6</f>
        <v>31744610633.902542</v>
      </c>
      <c r="I3" s="268">
        <f>((saturation_point/SKY!H4 *D3)/saturation_point +1)^73 -1</f>
        <v>7.5999764401411651E-2</v>
      </c>
    </row>
    <row r="4" spans="2:10" x14ac:dyDescent="0.25">
      <c r="B4">
        <f>rho!C7</f>
        <v>212</v>
      </c>
      <c r="C4" s="269">
        <f>rho!A7</f>
        <v>44061</v>
      </c>
      <c r="D4" s="265">
        <f>SKY!H5/SKY!E5 * Rewards_Chart!G4 * (1-tr_tax)</f>
        <v>12095950.086261615</v>
      </c>
      <c r="E4" s="267">
        <f>(1-SKY!H5/SKY!E5) *G4* (1-tr_tax)</f>
        <v>19638035.511713162</v>
      </c>
      <c r="F4" s="267">
        <f t="shared" si="0"/>
        <v>7933496.3994936943</v>
      </c>
      <c r="G4" s="265">
        <f>rho!E7</f>
        <v>39667481.997468472</v>
      </c>
      <c r="H4" s="265">
        <f>rho!H7</f>
        <v>31744610633.902542</v>
      </c>
      <c r="I4" s="268">
        <f>((saturation_point/SKY!H5 *D4)/saturation_point +1)^73 -1</f>
        <v>7.5665043437826318E-2</v>
      </c>
    </row>
    <row r="5" spans="2:10" x14ac:dyDescent="0.25">
      <c r="B5">
        <f>rho!C8</f>
        <v>213</v>
      </c>
      <c r="C5" s="269">
        <f>rho!A8</f>
        <v>44066</v>
      </c>
      <c r="D5" s="265">
        <f>SKY!H6/SKY!E6 * Rewards_Chart!G5 * (1-tr_tax)</f>
        <v>12701590.320514852</v>
      </c>
      <c r="E5" s="267">
        <f>(1-SKY!H6/SKY!E6) *G5* (1-tr_tax)</f>
        <v>18937193.320665997</v>
      </c>
      <c r="F5" s="267">
        <f t="shared" si="0"/>
        <v>7909695.9102952126</v>
      </c>
      <c r="G5" s="265">
        <f>rho!E8</f>
        <v>39548479.551476061</v>
      </c>
      <c r="H5" s="265">
        <f>rho!H8</f>
        <v>31784397476.427586</v>
      </c>
      <c r="I5" s="268">
        <f>((saturation_point/SKY!H6 *D5)/saturation_point +1)^73 -1</f>
        <v>7.5332262716506948E-2</v>
      </c>
    </row>
    <row r="6" spans="2:10" x14ac:dyDescent="0.25">
      <c r="B6">
        <f>rho!C9</f>
        <v>214</v>
      </c>
      <c r="C6" s="269">
        <f>rho!A9</f>
        <v>44071</v>
      </c>
      <c r="D6" s="265">
        <f>SKY!H7/SKY!E7 * Rewards_Chart!G6 * (1-tr_tax)</f>
        <v>13252381.966253515</v>
      </c>
      <c r="E6" s="267">
        <f>(1-SKY!H7/SKY!E7) *G6* (1-tr_tax)</f>
        <v>18291485.324003797</v>
      </c>
      <c r="F6" s="267">
        <f t="shared" si="0"/>
        <v>7885966.8225643281</v>
      </c>
      <c r="G6" s="265">
        <f>rho!E9</f>
        <v>39429834.112821639</v>
      </c>
      <c r="H6" s="265">
        <f>rho!H9</f>
        <v>31824064958.425053</v>
      </c>
      <c r="I6" s="268">
        <f>((saturation_point/SKY!H7 *D6)/saturation_point +1)^73 -1</f>
        <v>7.5001406920808256E-2</v>
      </c>
    </row>
    <row r="7" spans="2:10" x14ac:dyDescent="0.25">
      <c r="B7">
        <f>rho!C10</f>
        <v>215</v>
      </c>
      <c r="C7" s="269">
        <f>rho!A10</f>
        <v>44076</v>
      </c>
      <c r="D7" s="265">
        <f>SKY!H8/SKY!E8 * Rewards_Chart!G7 * (1-tr_tax)</f>
        <v>13679907.689428769</v>
      </c>
      <c r="E7" s="267">
        <f>(1-SKY!H8/SKY!E8) *G7* (1-tr_tax)</f>
        <v>17769327.998957768</v>
      </c>
      <c r="F7" s="267">
        <f t="shared" si="0"/>
        <v>7862308.9220966343</v>
      </c>
      <c r="G7" s="265">
        <f>rho!E10</f>
        <v>39311544.61048317</v>
      </c>
      <c r="H7" s="265">
        <f>rho!H10</f>
        <v>31863613437.976528</v>
      </c>
      <c r="I7" s="268">
        <f>((saturation_point/SKY!H8 *D7)/saturation_point +1)^73 -1</f>
        <v>7.4672460893170589E-2</v>
      </c>
    </row>
    <row r="8" spans="2:10" x14ac:dyDescent="0.25">
      <c r="B8">
        <f>rho!C11</f>
        <v>216</v>
      </c>
      <c r="C8" s="269">
        <f>rho!A11</f>
        <v>44081</v>
      </c>
      <c r="D8" s="265">
        <f>SKY!H9/SKY!E9 * Rewards_Chart!G8 * (1-tr_tax)</f>
        <v>14133134.659767596</v>
      </c>
      <c r="E8" s="267">
        <f>(1-SKY!H9/SKY!E9) *G8* (1-tr_tax)</f>
        <v>17221753.321553782</v>
      </c>
      <c r="F8" s="267">
        <f t="shared" si="0"/>
        <v>7838721.9953303449</v>
      </c>
      <c r="G8" s="265">
        <f>rho!E11</f>
        <v>39193609.976651721</v>
      </c>
      <c r="H8" s="265">
        <f>rho!H11</f>
        <v>31903043272.089352</v>
      </c>
      <c r="I8" s="268">
        <f>((saturation_point/SKY!H9 *D8)/saturation_point +1)^73 -1</f>
        <v>7.4345409632958992E-2</v>
      </c>
    </row>
    <row r="9" spans="2:10" x14ac:dyDescent="0.25">
      <c r="B9" s="104">
        <f>rho!C12</f>
        <v>217</v>
      </c>
      <c r="C9" s="270">
        <f>rho!A12</f>
        <v>44086</v>
      </c>
      <c r="D9" s="271">
        <f>SKY!H10/SKY!E10 * Rewards_Chart!G9 * (1-tr_tax)</f>
        <v>14455131.385952033</v>
      </c>
      <c r="E9" s="272">
        <f>(1-SKY!H10/SKY!E10) *G9* (1-tr_tax)</f>
        <v>16805691.931425381</v>
      </c>
      <c r="F9" s="272">
        <f t="shared" si="0"/>
        <v>7815205.8293443536</v>
      </c>
      <c r="G9" s="271">
        <f>rho!E12</f>
        <v>39076029.146721765</v>
      </c>
      <c r="H9" s="271">
        <f>rho!H12</f>
        <v>31942354816.699837</v>
      </c>
      <c r="I9" s="273">
        <f>((saturation_point/SKY!H10 *D9)/saturation_point +1)^73 -1</f>
        <v>7.402023829457427E-2</v>
      </c>
      <c r="J9" s="268"/>
    </row>
    <row r="10" spans="2:10" x14ac:dyDescent="0.25">
      <c r="B10">
        <f>rho!C13</f>
        <v>218</v>
      </c>
      <c r="C10" s="269">
        <f>rho!A13</f>
        <v>44091</v>
      </c>
      <c r="D10" s="265"/>
      <c r="E10" s="267"/>
      <c r="F10" s="267">
        <f t="shared" si="0"/>
        <v>7791760.2118563205</v>
      </c>
      <c r="G10" s="265">
        <f>rho!E13</f>
        <v>38958801.059281603</v>
      </c>
      <c r="H10" s="265">
        <f>rho!H13</f>
        <v>31981548426.676487</v>
      </c>
      <c r="I10" s="268">
        <f t="shared" ref="I10:I31" si="1">((saturation_point/staked_ada *D10)/saturation_point +1)^73 -1</f>
        <v>0</v>
      </c>
    </row>
    <row r="11" spans="2:10" x14ac:dyDescent="0.25">
      <c r="B11">
        <f>rho!C14</f>
        <v>219</v>
      </c>
      <c r="C11" s="269">
        <f>rho!A14</f>
        <v>44096</v>
      </c>
      <c r="D11" s="265"/>
      <c r="E11" s="267"/>
      <c r="F11" s="267">
        <f t="shared" si="0"/>
        <v>7768384.9312207522</v>
      </c>
      <c r="G11" s="265">
        <f>rho!E14</f>
        <v>38841924.65610376</v>
      </c>
      <c r="H11" s="265">
        <f>rho!H14</f>
        <v>32020624455.823208</v>
      </c>
      <c r="I11" s="268">
        <f t="shared" si="1"/>
        <v>0</v>
      </c>
    </row>
    <row r="12" spans="2:10" x14ac:dyDescent="0.25">
      <c r="B12">
        <f>rho!C15</f>
        <v>220</v>
      </c>
      <c r="C12" s="269">
        <f>rho!A15</f>
        <v>44101</v>
      </c>
      <c r="D12" s="265"/>
      <c r="E12" s="267"/>
      <c r="F12" s="267">
        <f t="shared" si="0"/>
        <v>7745079.7764270902</v>
      </c>
      <c r="G12" s="265">
        <f>rho!E15</f>
        <v>38725398.882135451</v>
      </c>
      <c r="H12" s="265">
        <f>rho!H15</f>
        <v>32059583256.882488</v>
      </c>
      <c r="I12" s="268">
        <f t="shared" si="1"/>
        <v>0</v>
      </c>
    </row>
    <row r="13" spans="2:10" x14ac:dyDescent="0.25">
      <c r="B13">
        <f>rho!C16</f>
        <v>221</v>
      </c>
      <c r="C13" s="269">
        <f>rho!A16</f>
        <v>44106</v>
      </c>
      <c r="D13" s="265"/>
      <c r="E13" s="267"/>
      <c r="F13" s="267">
        <f t="shared" si="0"/>
        <v>7721844.5370978089</v>
      </c>
      <c r="G13" s="265">
        <f>rho!E16</f>
        <v>38609222.685489044</v>
      </c>
      <c r="H13" s="265">
        <f>rho!H16</f>
        <v>32098425181.538593</v>
      </c>
      <c r="I13" s="268">
        <f t="shared" si="1"/>
        <v>0</v>
      </c>
    </row>
    <row r="14" spans="2:10" x14ac:dyDescent="0.25">
      <c r="B14">
        <f>rho!C17</f>
        <v>222</v>
      </c>
      <c r="C14" s="269">
        <f>rho!A17</f>
        <v>44111</v>
      </c>
      <c r="D14" s="265"/>
      <c r="E14" s="267"/>
      <c r="F14" s="267">
        <f t="shared" si="0"/>
        <v>7698679.0034865141</v>
      </c>
      <c r="G14" s="265">
        <f>rho!E17</f>
        <v>38493395.01743257</v>
      </c>
      <c r="H14" s="265">
        <f>rho!H17</f>
        <v>32137150580.420731</v>
      </c>
      <c r="I14" s="268">
        <f t="shared" si="1"/>
        <v>0</v>
      </c>
    </row>
    <row r="15" spans="2:10" x14ac:dyDescent="0.25">
      <c r="B15">
        <f>rho!C18</f>
        <v>223</v>
      </c>
      <c r="C15" s="269">
        <f>rho!A18</f>
        <v>44116</v>
      </c>
      <c r="D15" s="265"/>
      <c r="E15" s="267"/>
      <c r="F15" s="267">
        <f t="shared" si="0"/>
        <v>7675582.9664760549</v>
      </c>
      <c r="G15" s="265">
        <f>rho!E18</f>
        <v>38377914.832380272</v>
      </c>
      <c r="H15" s="265">
        <f>rho!H18</f>
        <v>32175759803.10622</v>
      </c>
      <c r="I15" s="268">
        <f t="shared" si="1"/>
        <v>0</v>
      </c>
    </row>
    <row r="16" spans="2:10" x14ac:dyDescent="0.25">
      <c r="B16">
        <f>rho!C19</f>
        <v>224</v>
      </c>
      <c r="C16" s="269">
        <f>rho!A19</f>
        <v>44121</v>
      </c>
      <c r="D16" s="265"/>
      <c r="E16" s="267"/>
      <c r="F16" s="267">
        <f t="shared" si="0"/>
        <v>7652556.2175766267</v>
      </c>
      <c r="G16" s="265">
        <f>rho!E19</f>
        <v>38262781.08788313</v>
      </c>
      <c r="H16" s="265">
        <f>rho!H19</f>
        <v>32214253198.123653</v>
      </c>
      <c r="I16" s="268">
        <f t="shared" si="1"/>
        <v>0</v>
      </c>
    </row>
    <row r="17" spans="2:9" x14ac:dyDescent="0.25">
      <c r="B17">
        <f>rho!C20</f>
        <v>225</v>
      </c>
      <c r="C17" s="269">
        <f>rho!A20</f>
        <v>44126</v>
      </c>
      <c r="D17" s="265"/>
      <c r="E17" s="267"/>
      <c r="F17" s="267">
        <f t="shared" si="0"/>
        <v>7629598.5489238966</v>
      </c>
      <c r="G17" s="265">
        <f>rho!E20</f>
        <v>38147992.744619481</v>
      </c>
      <c r="H17" s="265">
        <f>rho!H20</f>
        <v>32252631112.956032</v>
      </c>
      <c r="I17" s="268">
        <f t="shared" si="1"/>
        <v>0</v>
      </c>
    </row>
    <row r="18" spans="2:9" x14ac:dyDescent="0.25">
      <c r="B18">
        <f>rho!C21</f>
        <v>226</v>
      </c>
      <c r="C18" s="269">
        <f>rho!A21</f>
        <v>44131</v>
      </c>
      <c r="D18" s="265"/>
      <c r="E18" s="267"/>
      <c r="F18" s="267">
        <f t="shared" si="0"/>
        <v>7606709.7532771248</v>
      </c>
      <c r="G18" s="265">
        <f>rho!E21</f>
        <v>38033548.766385622</v>
      </c>
      <c r="H18" s="265">
        <f>rho!H21</f>
        <v>32290893894.043915</v>
      </c>
      <c r="I18" s="268">
        <f t="shared" si="1"/>
        <v>0</v>
      </c>
    </row>
    <row r="19" spans="2:9" x14ac:dyDescent="0.25">
      <c r="B19">
        <f>rho!C22</f>
        <v>227</v>
      </c>
      <c r="C19" s="269">
        <f>rho!A22</f>
        <v>44136</v>
      </c>
      <c r="D19" s="265"/>
      <c r="E19" s="267"/>
      <c r="F19" s="267">
        <f t="shared" si="0"/>
        <v>7583889.6240172945</v>
      </c>
      <c r="G19" s="265">
        <f>rho!E22</f>
        <v>37919448.120086469</v>
      </c>
      <c r="H19" s="265">
        <f>rho!H22</f>
        <v>32329041886.788536</v>
      </c>
      <c r="I19" s="268">
        <f t="shared" si="1"/>
        <v>0</v>
      </c>
    </row>
    <row r="20" spans="2:9" x14ac:dyDescent="0.25">
      <c r="B20">
        <f>rho!C23</f>
        <v>228</v>
      </c>
      <c r="C20" s="269">
        <f>rho!A23</f>
        <v>44141</v>
      </c>
      <c r="D20" s="265"/>
      <c r="E20" s="267"/>
      <c r="F20" s="267">
        <f t="shared" si="0"/>
        <v>7561137.9551452417</v>
      </c>
      <c r="G20" s="265">
        <f>rho!E23</f>
        <v>37805689.775726207</v>
      </c>
      <c r="H20" s="265">
        <f>rho!H23</f>
        <v>32367075435.55492</v>
      </c>
      <c r="I20" s="268">
        <f t="shared" si="1"/>
        <v>0</v>
      </c>
    </row>
    <row r="21" spans="2:9" x14ac:dyDescent="0.25">
      <c r="B21">
        <f>rho!C24</f>
        <v>229</v>
      </c>
      <c r="C21" s="269">
        <f>rho!A24</f>
        <v>44146</v>
      </c>
      <c r="D21" s="265"/>
      <c r="E21" s="267"/>
      <c r="F21" s="267">
        <f t="shared" si="0"/>
        <v>7538454.5412798068</v>
      </c>
      <c r="G21" s="265">
        <f>rho!E24</f>
        <v>37692272.706399031</v>
      </c>
      <c r="H21" s="265">
        <f>rho!H24</f>
        <v>32404994883.675007</v>
      </c>
      <c r="I21" s="268">
        <f t="shared" si="1"/>
        <v>0</v>
      </c>
    </row>
    <row r="22" spans="2:9" x14ac:dyDescent="0.25">
      <c r="B22">
        <f>rho!C25</f>
        <v>230</v>
      </c>
      <c r="C22" s="269">
        <f>rho!A25</f>
        <v>44151</v>
      </c>
      <c r="D22" s="265"/>
      <c r="E22" s="267"/>
      <c r="F22" s="267">
        <f t="shared" si="0"/>
        <v>7515839.1776559651</v>
      </c>
      <c r="G22" s="265">
        <f>rho!E25</f>
        <v>37579195.888279825</v>
      </c>
      <c r="H22" s="265">
        <f>rho!H25</f>
        <v>32442800573.450733</v>
      </c>
      <c r="I22" s="268">
        <f t="shared" si="1"/>
        <v>0</v>
      </c>
    </row>
    <row r="23" spans="2:9" x14ac:dyDescent="0.25">
      <c r="B23">
        <f>rho!C26</f>
        <v>231</v>
      </c>
      <c r="C23" s="269">
        <f>rho!A26</f>
        <v>44156</v>
      </c>
      <c r="D23" s="265"/>
      <c r="E23" s="267"/>
      <c r="F23" s="267">
        <f t="shared" si="0"/>
        <v>7493291.6601229981</v>
      </c>
      <c r="G23" s="265">
        <f>rho!E26</f>
        <v>37466458.30061499</v>
      </c>
      <c r="H23" s="265">
        <f>rho!H26</f>
        <v>32480492846.157131</v>
      </c>
      <c r="I23" s="268">
        <f t="shared" si="1"/>
        <v>0</v>
      </c>
    </row>
    <row r="24" spans="2:9" x14ac:dyDescent="0.25">
      <c r="B24">
        <f>rho!C27</f>
        <v>232</v>
      </c>
      <c r="C24" s="269">
        <f>rho!A27</f>
        <v>44161</v>
      </c>
      <c r="D24" s="265"/>
      <c r="E24" s="267"/>
      <c r="F24" s="267">
        <f t="shared" si="0"/>
        <v>7470811.7851426294</v>
      </c>
      <c r="G24" s="265">
        <f>rho!E27</f>
        <v>37354058.925713144</v>
      </c>
      <c r="H24" s="265">
        <f>rho!H27</f>
        <v>32518072042.04541</v>
      </c>
      <c r="I24" s="268">
        <f t="shared" si="1"/>
        <v>0</v>
      </c>
    </row>
    <row r="25" spans="2:9" x14ac:dyDescent="0.25">
      <c r="B25">
        <f>rho!C28</f>
        <v>233</v>
      </c>
      <c r="C25" s="269">
        <f>rho!A28</f>
        <v>44166</v>
      </c>
      <c r="D25" s="265"/>
      <c r="E25" s="267"/>
      <c r="F25" s="267">
        <f t="shared" si="0"/>
        <v>7448399.3497872017</v>
      </c>
      <c r="G25" s="265">
        <f>rho!E28</f>
        <v>37241996.748936005</v>
      </c>
      <c r="H25" s="265">
        <f>rho!H28</f>
        <v>32555538500.346024</v>
      </c>
      <c r="I25" s="268">
        <f t="shared" si="1"/>
        <v>0</v>
      </c>
    </row>
    <row r="26" spans="2:9" x14ac:dyDescent="0.25">
      <c r="B26">
        <f>rho!C29</f>
        <v>234</v>
      </c>
      <c r="C26" s="269">
        <f>rho!A29</f>
        <v>44171</v>
      </c>
      <c r="D26" s="265"/>
      <c r="E26" s="267"/>
      <c r="F26" s="267">
        <f t="shared" si="0"/>
        <v>7426054.1517378408</v>
      </c>
      <c r="G26" s="265">
        <f>rho!E29</f>
        <v>37130270.758689202</v>
      </c>
      <c r="H26" s="265">
        <f>rho!H29</f>
        <v>32592892559.271736</v>
      </c>
      <c r="I26" s="268">
        <f t="shared" si="1"/>
        <v>0</v>
      </c>
    </row>
    <row r="27" spans="2:9" x14ac:dyDescent="0.25">
      <c r="B27">
        <f>rho!C30</f>
        <v>235</v>
      </c>
      <c r="C27" s="269">
        <f>rho!A30</f>
        <v>44176</v>
      </c>
      <c r="D27" s="265"/>
      <c r="E27" s="267"/>
      <c r="F27" s="267">
        <f t="shared" si="0"/>
        <v>7403775.9892826267</v>
      </c>
      <c r="G27" s="265">
        <f>rho!E30</f>
        <v>37018879.94641313</v>
      </c>
      <c r="H27" s="265">
        <f>rho!H30</f>
        <v>32630134556.020672</v>
      </c>
      <c r="I27" s="268">
        <f t="shared" si="1"/>
        <v>0</v>
      </c>
    </row>
    <row r="28" spans="2:9" x14ac:dyDescent="0.25">
      <c r="B28">
        <f>rho!C31</f>
        <v>236</v>
      </c>
      <c r="C28" s="269">
        <f>rho!A31</f>
        <v>44181</v>
      </c>
      <c r="D28" s="265"/>
      <c r="E28" s="267"/>
      <c r="F28" s="267">
        <f t="shared" si="0"/>
        <v>7381564.661314778</v>
      </c>
      <c r="G28" s="265">
        <f>rho!E31</f>
        <v>36907823.30657389</v>
      </c>
      <c r="H28" s="265">
        <f>rho!H31</f>
        <v>32667264826.779362</v>
      </c>
      <c r="I28" s="268">
        <f t="shared" si="1"/>
        <v>0</v>
      </c>
    </row>
    <row r="29" spans="2:9" x14ac:dyDescent="0.25">
      <c r="B29">
        <f>rho!C32</f>
        <v>237</v>
      </c>
      <c r="C29" s="269">
        <f>rho!A32</f>
        <v>44186</v>
      </c>
      <c r="D29" s="265"/>
      <c r="E29" s="267"/>
      <c r="F29" s="267">
        <f t="shared" si="0"/>
        <v>7359419.9673308348</v>
      </c>
      <c r="G29" s="265">
        <f>rho!E32</f>
        <v>36797099.836654171</v>
      </c>
      <c r="H29" s="265">
        <f>rho!H32</f>
        <v>32704283706.725777</v>
      </c>
      <c r="I29" s="268">
        <f t="shared" si="1"/>
        <v>0</v>
      </c>
    </row>
    <row r="30" spans="2:9" x14ac:dyDescent="0.25">
      <c r="B30">
        <f>rho!C33</f>
        <v>238</v>
      </c>
      <c r="C30" s="269">
        <f>rho!A33</f>
        <v>44191</v>
      </c>
      <c r="D30" s="265"/>
      <c r="E30" s="267"/>
      <c r="F30" s="267">
        <f t="shared" si="0"/>
        <v>7337341.7074288419</v>
      </c>
      <c r="G30" s="265">
        <f>rho!E33</f>
        <v>36686708.537144206</v>
      </c>
      <c r="H30" s="265">
        <f>rho!H33</f>
        <v>32741191530.032352</v>
      </c>
      <c r="I30" s="268">
        <f t="shared" si="1"/>
        <v>0</v>
      </c>
    </row>
    <row r="31" spans="2:9" x14ac:dyDescent="0.25">
      <c r="B31">
        <f>rho!C34</f>
        <v>239</v>
      </c>
      <c r="C31" s="269">
        <f>rho!A34</f>
        <v>44196</v>
      </c>
      <c r="D31" s="265"/>
      <c r="E31" s="267"/>
      <c r="F31" s="267">
        <f t="shared" si="0"/>
        <v>7315329.6823065551</v>
      </c>
      <c r="G31" s="265">
        <f>rho!E34</f>
        <v>36576648.411532775</v>
      </c>
      <c r="H31" s="265">
        <f>rho!H34</f>
        <v>32777988629.869007</v>
      </c>
      <c r="I31" s="268">
        <f t="shared" si="1"/>
        <v>0</v>
      </c>
    </row>
    <row r="32" spans="2:9" x14ac:dyDescent="0.25">
      <c r="C32" s="269"/>
      <c r="D32" s="265"/>
      <c r="E32" s="267"/>
      <c r="F32" s="267"/>
      <c r="G32" s="265"/>
    </row>
    <row r="33" spans="3:7" x14ac:dyDescent="0.25">
      <c r="C33" s="269"/>
      <c r="D33" s="265"/>
      <c r="E33" s="267"/>
      <c r="F33" s="267"/>
      <c r="G33" s="265"/>
    </row>
    <row r="34" spans="3:7" x14ac:dyDescent="0.25">
      <c r="C34" s="269"/>
      <c r="D34" s="265"/>
      <c r="E34" s="267"/>
      <c r="F34" s="267"/>
      <c r="G34" s="265"/>
    </row>
    <row r="35" spans="3:7" x14ac:dyDescent="0.25">
      <c r="C35" s="269"/>
      <c r="D35" s="265"/>
      <c r="E35" s="267"/>
      <c r="F35" s="267"/>
      <c r="G35" s="265"/>
    </row>
    <row r="36" spans="3:7" x14ac:dyDescent="0.25">
      <c r="C36" s="269"/>
      <c r="D36" s="265"/>
      <c r="E36" s="267"/>
      <c r="F36" s="267"/>
      <c r="G36" s="265"/>
    </row>
    <row r="37" spans="3:7" x14ac:dyDescent="0.25">
      <c r="C37" s="269"/>
      <c r="D37" s="265"/>
      <c r="E37" s="267"/>
      <c r="F37" s="267"/>
      <c r="G37" s="265"/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53</vt:i4>
      </vt:variant>
    </vt:vector>
  </HeadingPairs>
  <TitlesOfParts>
    <vt:vector size="63" baseType="lpstr">
      <vt:lpstr>SKY</vt:lpstr>
      <vt:lpstr>SKY2</vt:lpstr>
      <vt:lpstr>rho</vt:lpstr>
      <vt:lpstr>Rewards_SKY</vt:lpstr>
      <vt:lpstr>Rewards_SKY2</vt:lpstr>
      <vt:lpstr>Epoch_Times</vt:lpstr>
      <vt:lpstr>2020 Distributions Graph</vt:lpstr>
      <vt:lpstr>Reward mechanism</vt:lpstr>
      <vt:lpstr>Pool_calculations</vt:lpstr>
      <vt:lpstr>Rewards_Chart</vt:lpstr>
      <vt:lpstr>Pool_calculations!ada_price</vt:lpstr>
      <vt:lpstr>Rewards_SKY2!ada_price</vt:lpstr>
      <vt:lpstr>ada_price</vt:lpstr>
      <vt:lpstr>Pool_calculations!av_epoch_rewards</vt:lpstr>
      <vt:lpstr>Rewards_SKY2!av_epoch_rewards</vt:lpstr>
      <vt:lpstr>av_epoch_rewards</vt:lpstr>
      <vt:lpstr>Pool_calculations!epoch_length</vt:lpstr>
      <vt:lpstr>Rewards_SKY2!epoch_length</vt:lpstr>
      <vt:lpstr>epoch_length</vt:lpstr>
      <vt:lpstr>Pool_calculations!fixed_opex</vt:lpstr>
      <vt:lpstr>Rewards_SKY2!fixed_opex</vt:lpstr>
      <vt:lpstr>fixed_opex</vt:lpstr>
      <vt:lpstr>Pool_calculations!nOps</vt:lpstr>
      <vt:lpstr>Rewards_SKY2!nOps</vt:lpstr>
      <vt:lpstr>nOps</vt:lpstr>
      <vt:lpstr>Pool_calculations!op_year</vt:lpstr>
      <vt:lpstr>Rewards_SKY2!op_year</vt:lpstr>
      <vt:lpstr>op_year</vt:lpstr>
      <vt:lpstr>Pool_calculations!performance_fee</vt:lpstr>
      <vt:lpstr>Rewards_SKY2!performance_fee</vt:lpstr>
      <vt:lpstr>performance_fee</vt:lpstr>
      <vt:lpstr>Pool_calculations!pledge</vt:lpstr>
      <vt:lpstr>Rewards_SKY2!pledge</vt:lpstr>
      <vt:lpstr>pledge</vt:lpstr>
      <vt:lpstr>Pool_calculations!pool_rewards_AT</vt:lpstr>
      <vt:lpstr>Rewards_SKY2!pool_rewards_AT</vt:lpstr>
      <vt:lpstr>pool_rewards_AT</vt:lpstr>
      <vt:lpstr>Pool_calculations!pool_size</vt:lpstr>
      <vt:lpstr>Rewards_SKY2!pool_size</vt:lpstr>
      <vt:lpstr>pool_size</vt:lpstr>
      <vt:lpstr>Pool_calculations!poop_performance</vt:lpstr>
      <vt:lpstr>Rewards_SKY2!poop_performance</vt:lpstr>
      <vt:lpstr>poop_performance</vt:lpstr>
      <vt:lpstr>Pool_calculations!rho</vt:lpstr>
      <vt:lpstr>Rewards_SKY2!rho</vt:lpstr>
      <vt:lpstr>rho</vt:lpstr>
      <vt:lpstr>Pool_calculations!saturation_point</vt:lpstr>
      <vt:lpstr>Rewards_SKY2!saturation_point</vt:lpstr>
      <vt:lpstr>saturation_point</vt:lpstr>
      <vt:lpstr>Pool_calculations!staked_ada</vt:lpstr>
      <vt:lpstr>Rewards_SKY2!staked_ada</vt:lpstr>
      <vt:lpstr>staked_ada</vt:lpstr>
      <vt:lpstr>Pool_calculations!staking_ratio</vt:lpstr>
      <vt:lpstr>Rewards_SKY2!staking_ratio</vt:lpstr>
      <vt:lpstr>staking_ratio</vt:lpstr>
      <vt:lpstr>'SKY2'!t.blocks</vt:lpstr>
      <vt:lpstr>t.blocks</vt:lpstr>
      <vt:lpstr>Pool_calculations!total_supply</vt:lpstr>
      <vt:lpstr>Rewards_SKY2!total_supply</vt:lpstr>
      <vt:lpstr>total_supply</vt:lpstr>
      <vt:lpstr>Pool_calculations!tr_tax</vt:lpstr>
      <vt:lpstr>Rewards_SKY2!tr_tax</vt:lpstr>
      <vt:lpstr>tr_tax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</dc:creator>
  <cp:lastModifiedBy>uss</cp:lastModifiedBy>
  <dcterms:created xsi:type="dcterms:W3CDTF">2020-05-05T12:00:30Z</dcterms:created>
  <dcterms:modified xsi:type="dcterms:W3CDTF">2020-09-14T19:34:12Z</dcterms:modified>
</cp:coreProperties>
</file>