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3.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codeName="ThisWorkbook"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18/"/>
    </mc:Choice>
  </mc:AlternateContent>
  <xr:revisionPtr revIDLastSave="0" documentId="8_{968256C0-716A-43A5-B95C-B2952746233D}" xr6:coauthVersionLast="47" xr6:coauthVersionMax="47" xr10:uidLastSave="{00000000-0000-0000-0000-000000000000}"/>
  <bookViews>
    <workbookView xWindow="2655" yWindow="1200" windowWidth="29430" windowHeight="18645" activeTab="30" xr2:uid="{4B6E9656-B8E6-4E1D-9C6D-2352B6E62738}"/>
  </bookViews>
  <sheets>
    <sheet name="Main Methodology" sheetId="1" r:id="rId1"/>
    <sheet name="Click to Add Values" sheetId="27" r:id="rId2"/>
    <sheet name="IWA Properties" sheetId="47" r:id="rId3"/>
    <sheet name="Tool 02" sheetId="16" r:id="rId4"/>
    <sheet name="Tool 03" sheetId="3" r:id="rId5"/>
    <sheet name="Tool 04 - SWDS-Yearly" sheetId="32" r:id="rId6"/>
    <sheet name="Tool 04 - SWDS Emissions Summ" sheetId="33" r:id="rId7"/>
    <sheet name="Tool 04 - Dropdown Items" sheetId="34" r:id="rId8"/>
    <sheet name="Tool 05.1" sheetId="11" r:id="rId9"/>
    <sheet name="Tool 05.2 Power Plants" sheetId="17" r:id="rId10"/>
    <sheet name="Tool 05.3 Default Values" sheetId="18" r:id="rId11"/>
    <sheet name="Tool 06" sheetId="45" r:id="rId12"/>
    <sheet name="Tool 07" sheetId="48" r:id="rId13"/>
    <sheet name="Tool 07 Simple OM" sheetId="49" r:id="rId14"/>
    <sheet name="Tool 07 Simple Adj OM" sheetId="50" r:id="rId15"/>
    <sheet name="Tool 07 Default Lambda" sheetId="51" r:id="rId16"/>
    <sheet name="Tool 07 Dispatch Data OM" sheetId="52" r:id="rId17"/>
    <sheet name="Tool 07 Average OM" sheetId="53" r:id="rId18"/>
    <sheet name="Tool 07 Build Margin" sheetId="54" r:id="rId19"/>
    <sheet name="Tool 07 Combined Margin" sheetId="55" r:id="rId20"/>
    <sheet name="Tool 09" sheetId="41" r:id="rId21"/>
    <sheet name="Tool 09 - Default Values" sheetId="42" r:id="rId22"/>
    <sheet name="Tool 09 - Dropdown Items" sheetId="43" r:id="rId23"/>
    <sheet name="Tool 10" sheetId="8" r:id="rId24"/>
    <sheet name="Tool 12 - Freight Trans" sheetId="38" r:id="rId25"/>
    <sheet name="Tool 12 - Emissions Summary Tab" sheetId="39" r:id="rId26"/>
    <sheet name="Tool 12 - Dropdown Items" sheetId="40" r:id="rId27"/>
    <sheet name="Tool 13" sheetId="35" r:id="rId28"/>
    <sheet name="Tool 13 - MCF Defaults" sheetId="36" r:id="rId29"/>
    <sheet name="Tool 14" sheetId="44" r:id="rId30"/>
    <sheet name="Tool 16" sheetId="28" r:id="rId31"/>
    <sheet name="Tool 16 Biomass Emissions Summ" sheetId="29" r:id="rId32"/>
    <sheet name="Tool 16 - Dropdown Items" sheetId="30" r:id="rId33"/>
    <sheet name="Tool 16 - Default Values" sheetId="31" r:id="rId34"/>
  </sheets>
  <externalReferences>
    <externalReference r:id="rId35"/>
  </externalReference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7" l="1"/>
  <c r="G3" i="27"/>
  <c r="H66" i="1"/>
  <c r="G27" i="27"/>
  <c r="G22" i="27"/>
  <c r="G11" i="27"/>
  <c r="H83" i="1"/>
  <c r="H117" i="1"/>
  <c r="H100" i="1"/>
  <c r="G28" i="55"/>
  <c r="G27" i="55"/>
  <c r="G26" i="55"/>
  <c r="G25" i="55"/>
  <c r="G24" i="55" s="1"/>
  <c r="G8" i="55" s="1"/>
  <c r="G18" i="55"/>
  <c r="G17" i="55"/>
  <c r="G16" i="55"/>
  <c r="G13" i="55"/>
  <c r="G12" i="55"/>
  <c r="G3" i="54"/>
  <c r="G30" i="53"/>
  <c r="G27" i="53"/>
  <c r="G22" i="53"/>
  <c r="G11" i="53"/>
  <c r="G6" i="53" s="1"/>
  <c r="G67" i="50"/>
  <c r="G62" i="50"/>
  <c r="G51" i="50"/>
  <c r="G44" i="50"/>
  <c r="G39" i="50"/>
  <c r="G28" i="50"/>
  <c r="G7" i="50"/>
  <c r="G6" i="50"/>
  <c r="G4" i="50"/>
  <c r="G30" i="49"/>
  <c r="G27" i="49"/>
  <c r="G22" i="49"/>
  <c r="G11" i="49"/>
  <c r="G6" i="49"/>
  <c r="G4" i="49"/>
  <c r="F63" i="44"/>
  <c r="F17" i="44" s="1"/>
  <c r="F66" i="45"/>
  <c r="F50" i="45"/>
  <c r="F48" i="45"/>
  <c r="F67" i="45" s="1"/>
  <c r="F55" i="44"/>
  <c r="F15" i="44" s="1"/>
  <c r="F47" i="44"/>
  <c r="F87" i="44"/>
  <c r="F85" i="44"/>
  <c r="F83" i="44"/>
  <c r="F79" i="44"/>
  <c r="F77" i="44"/>
  <c r="F75" i="44"/>
  <c r="F74" i="44"/>
  <c r="F72" i="44"/>
  <c r="F69" i="44"/>
  <c r="F66" i="44"/>
  <c r="F60" i="44"/>
  <c r="F57" i="44"/>
  <c r="F52" i="44"/>
  <c r="F49" i="44"/>
  <c r="F42" i="44"/>
  <c r="F37" i="44"/>
  <c r="F35" i="44"/>
  <c r="F34" i="44"/>
  <c r="F33" i="44"/>
  <c r="F32" i="44"/>
  <c r="F31" i="44"/>
  <c r="F29" i="44"/>
  <c r="F28" i="44"/>
  <c r="F26" i="44"/>
  <c r="F24" i="44"/>
  <c r="F19" i="44" s="1"/>
  <c r="F23" i="44"/>
  <c r="F16" i="44"/>
  <c r="F14" i="44"/>
  <c r="F13" i="44"/>
  <c r="A108" i="1"/>
  <c r="H125" i="1"/>
  <c r="D25" i="41"/>
  <c r="D24" i="41"/>
  <c r="D23" i="41"/>
  <c r="D22" i="41"/>
  <c r="D21" i="41"/>
  <c r="D20" i="41"/>
  <c r="D19" i="41"/>
  <c r="D18" i="41"/>
  <c r="D17" i="41"/>
  <c r="D16" i="41"/>
  <c r="D15" i="41"/>
  <c r="D14" i="41"/>
  <c r="C26" i="41" s="1"/>
  <c r="D13" i="41"/>
  <c r="D12" i="41"/>
  <c r="D11" i="41"/>
  <c r="D10" i="41"/>
  <c r="D9" i="41"/>
  <c r="D8" i="41"/>
  <c r="D7" i="41"/>
  <c r="D5" i="41"/>
  <c r="D4" i="41"/>
  <c r="G4" i="53" l="1"/>
  <c r="G11" i="55" s="1"/>
  <c r="G10" i="55" s="1"/>
  <c r="G22" i="55"/>
  <c r="G15" i="55" s="1"/>
  <c r="F47" i="45"/>
  <c r="F45" i="45" s="1"/>
  <c r="F44" i="45" s="1"/>
  <c r="F64" i="45"/>
  <c r="F65" i="45"/>
  <c r="H62" i="1"/>
  <c r="H119" i="1"/>
  <c r="C121" i="28"/>
  <c r="I13" i="39"/>
  <c r="I17" i="39" s="1"/>
  <c r="H13" i="39"/>
  <c r="G13" i="39"/>
  <c r="F13" i="39"/>
  <c r="E13" i="39"/>
  <c r="D13" i="39"/>
  <c r="C13" i="39"/>
  <c r="B13" i="39"/>
  <c r="I3" i="39"/>
  <c r="I7" i="39" s="1"/>
  <c r="H3" i="39"/>
  <c r="G3" i="39"/>
  <c r="F3" i="39"/>
  <c r="E3" i="39"/>
  <c r="D3" i="39"/>
  <c r="C3" i="39"/>
  <c r="B3" i="39"/>
  <c r="A3" i="39"/>
  <c r="D21" i="38"/>
  <c r="D20" i="38"/>
  <c r="C20" i="38"/>
  <c r="C21" i="38" s="1"/>
  <c r="D19" i="38"/>
  <c r="D18" i="38"/>
  <c r="D17" i="38"/>
  <c r="D16" i="38"/>
  <c r="D15" i="38"/>
  <c r="D14" i="38"/>
  <c r="F60" i="45" l="1"/>
  <c r="F62" i="45"/>
  <c r="F61" i="45"/>
  <c r="F58" i="45" s="1"/>
  <c r="C123" i="28"/>
  <c r="C122" i="28"/>
  <c r="F59" i="45" l="1"/>
  <c r="F57" i="45"/>
  <c r="F56" i="45" s="1"/>
  <c r="F54" i="45" s="1"/>
  <c r="F52" i="45" s="1"/>
  <c r="F69" i="45" s="1"/>
  <c r="G62" i="35"/>
  <c r="G55" i="35"/>
  <c r="G54" i="35"/>
  <c r="G53" i="35"/>
  <c r="G51" i="35"/>
  <c r="G50" i="35"/>
  <c r="G49" i="35"/>
  <c r="G44" i="35"/>
  <c r="G43" i="35" s="1"/>
  <c r="G28" i="35"/>
  <c r="G27" i="35" s="1"/>
  <c r="G24" i="35"/>
  <c r="G22" i="35"/>
  <c r="G20" i="35"/>
  <c r="G16" i="35"/>
  <c r="G9" i="35"/>
  <c r="G3" i="35" l="1"/>
  <c r="F67" i="44" s="1"/>
  <c r="F65" i="44" s="1"/>
  <c r="D2" i="33" l="1"/>
  <c r="D8" i="33" s="1"/>
  <c r="C2" i="33"/>
  <c r="C8" i="33" s="1"/>
  <c r="C85" i="32"/>
  <c r="C84" i="32"/>
  <c r="C83" i="32"/>
  <c r="C82" i="32"/>
  <c r="D71" i="32"/>
  <c r="D69" i="32"/>
  <c r="C69" i="32"/>
  <c r="D66" i="32"/>
  <c r="C66" i="32"/>
  <c r="D65" i="32"/>
  <c r="D64" i="32"/>
  <c r="D62" i="32"/>
  <c r="C62" i="32"/>
  <c r="D59" i="32"/>
  <c r="C59" i="32"/>
  <c r="C75" i="32" s="1"/>
  <c r="D58" i="32"/>
  <c r="D57" i="32"/>
  <c r="D56" i="32"/>
  <c r="D54" i="32"/>
  <c r="C54" i="32"/>
  <c r="D53" i="32"/>
  <c r="D52" i="32"/>
  <c r="D51" i="32"/>
  <c r="D50" i="32"/>
  <c r="D48" i="32"/>
  <c r="C48" i="32"/>
  <c r="D45" i="32"/>
  <c r="D44" i="32"/>
  <c r="C44" i="32"/>
  <c r="C45" i="32" s="1"/>
  <c r="C76" i="32" s="1"/>
  <c r="D43" i="32"/>
  <c r="D42" i="32"/>
  <c r="D40" i="32"/>
  <c r="D38" i="32"/>
  <c r="D35" i="32"/>
  <c r="C35" i="32"/>
  <c r="D34" i="32"/>
  <c r="C34" i="32"/>
  <c r="D33" i="32"/>
  <c r="C33" i="32"/>
  <c r="D32" i="32"/>
  <c r="C32" i="32"/>
  <c r="D31" i="32"/>
  <c r="C31" i="32"/>
  <c r="D30" i="32"/>
  <c r="C30" i="32"/>
  <c r="D29" i="32"/>
  <c r="C29" i="32"/>
  <c r="D28" i="32"/>
  <c r="C28" i="32"/>
  <c r="D26" i="32"/>
  <c r="C26" i="32"/>
  <c r="C77" i="32" s="1"/>
  <c r="D22" i="32"/>
  <c r="D21" i="32"/>
  <c r="D19" i="32"/>
  <c r="D18" i="32"/>
  <c r="D17" i="32"/>
  <c r="D16" i="32"/>
  <c r="D15" i="32"/>
  <c r="D14" i="32"/>
  <c r="D13" i="32"/>
  <c r="D12" i="32"/>
  <c r="D11" i="32"/>
  <c r="C86" i="32" l="1"/>
  <c r="B2" i="33" l="1"/>
  <c r="B8" i="33" s="1"/>
  <c r="F89" i="44"/>
  <c r="H113" i="1"/>
  <c r="G65" i="35"/>
  <c r="C134" i="28" s="1"/>
  <c r="C133" i="28"/>
  <c r="C132" i="28"/>
  <c r="C131" i="28"/>
  <c r="B11" i="29"/>
  <c r="B4" i="29"/>
  <c r="B3" i="29"/>
  <c r="D136" i="28"/>
  <c r="D135" i="28"/>
  <c r="D134" i="28"/>
  <c r="D133" i="28"/>
  <c r="D132" i="28"/>
  <c r="D131" i="28"/>
  <c r="D130" i="28"/>
  <c r="C130" i="28"/>
  <c r="D129" i="28"/>
  <c r="D128" i="28"/>
  <c r="D127" i="28"/>
  <c r="D126" i="28"/>
  <c r="D125" i="28"/>
  <c r="D124" i="28"/>
  <c r="C124" i="28"/>
  <c r="D123" i="28"/>
  <c r="D122" i="28"/>
  <c r="D121" i="28"/>
  <c r="D120" i="28"/>
  <c r="D119" i="28"/>
  <c r="D118" i="28"/>
  <c r="D117" i="28"/>
  <c r="D116" i="28"/>
  <c r="C116" i="28"/>
  <c r="B10" i="29" s="1"/>
  <c r="D115" i="28"/>
  <c r="D114" i="28"/>
  <c r="D113" i="28"/>
  <c r="D112" i="28"/>
  <c r="D111" i="28"/>
  <c r="C111" i="28"/>
  <c r="B9" i="29" s="1"/>
  <c r="D110" i="28"/>
  <c r="D109" i="28"/>
  <c r="D108" i="28"/>
  <c r="D107" i="28"/>
  <c r="D106" i="28"/>
  <c r="D105" i="28"/>
  <c r="D104" i="28"/>
  <c r="D103" i="28"/>
  <c r="D102" i="28"/>
  <c r="D101" i="28"/>
  <c r="C101" i="28"/>
  <c r="D100" i="28"/>
  <c r="D99" i="28"/>
  <c r="D98" i="28"/>
  <c r="D97" i="28"/>
  <c r="D96" i="28"/>
  <c r="D95" i="28"/>
  <c r="C95" i="28"/>
  <c r="C107" i="28" s="1"/>
  <c r="B6" i="29" s="1"/>
  <c r="D94" i="28"/>
  <c r="D93" i="28"/>
  <c r="D92" i="28"/>
  <c r="D91" i="28"/>
  <c r="D90" i="28"/>
  <c r="D89" i="28"/>
  <c r="D88" i="28"/>
  <c r="D87" i="28"/>
  <c r="D86" i="28"/>
  <c r="D85" i="28"/>
  <c r="C85" i="28"/>
  <c r="D84" i="28"/>
  <c r="D83" i="28"/>
  <c r="D82" i="28"/>
  <c r="D81" i="28"/>
  <c r="D80" i="28"/>
  <c r="D79" i="28"/>
  <c r="C79" i="28"/>
  <c r="C91" i="28" s="1"/>
  <c r="B5" i="29" s="1"/>
  <c r="D78" i="28"/>
  <c r="D77" i="28"/>
  <c r="D76" i="28"/>
  <c r="D75" i="28"/>
  <c r="D74" i="28"/>
  <c r="D73" i="28"/>
  <c r="D72" i="28"/>
  <c r="D71" i="28"/>
  <c r="D70" i="28"/>
  <c r="D69" i="28"/>
  <c r="D68" i="28"/>
  <c r="D66" i="28"/>
  <c r="C66" i="28"/>
  <c r="C70" i="28" s="1"/>
  <c r="D65" i="28"/>
  <c r="D64" i="28"/>
  <c r="D63" i="28"/>
  <c r="D62" i="28"/>
  <c r="D61" i="28"/>
  <c r="D60" i="28"/>
  <c r="D59" i="28"/>
  <c r="D58" i="28"/>
  <c r="D57" i="28"/>
  <c r="D56" i="28"/>
  <c r="D55" i="28"/>
  <c r="D54" i="28"/>
  <c r="C54" i="28"/>
  <c r="D53" i="28"/>
  <c r="D52" i="28"/>
  <c r="D51" i="28"/>
  <c r="D50" i="28"/>
  <c r="D48" i="28"/>
  <c r="C48" i="28"/>
  <c r="D47" i="28"/>
  <c r="C47" i="28"/>
  <c r="D46" i="28"/>
  <c r="D45" i="28"/>
  <c r="D44" i="28"/>
  <c r="D43" i="28"/>
  <c r="C43" i="28"/>
  <c r="D42" i="28"/>
  <c r="D41" i="28"/>
  <c r="D40" i="28"/>
  <c r="D38" i="28"/>
  <c r="C38" i="28"/>
  <c r="D37" i="28"/>
  <c r="D36" i="28"/>
  <c r="D35" i="28"/>
  <c r="D34" i="28"/>
  <c r="D33" i="28"/>
  <c r="D32" i="28"/>
  <c r="D31" i="28"/>
  <c r="D30" i="28"/>
  <c r="D29" i="28"/>
  <c r="D28" i="28"/>
  <c r="D27" i="28"/>
  <c r="D26" i="28"/>
  <c r="D25" i="28"/>
  <c r="D24" i="28"/>
  <c r="D23" i="28"/>
  <c r="D22" i="28"/>
  <c r="D21" i="28"/>
  <c r="D20" i="28"/>
  <c r="D19" i="28"/>
  <c r="C17" i="28"/>
  <c r="D16" i="28"/>
  <c r="D15" i="28"/>
  <c r="D14" i="28"/>
  <c r="D13" i="28"/>
  <c r="D12" i="28"/>
  <c r="D11" i="28"/>
  <c r="D10" i="28"/>
  <c r="D9" i="28"/>
  <c r="D8" i="28"/>
  <c r="D7" i="28"/>
  <c r="D6" i="28"/>
  <c r="C56" i="28" l="1"/>
  <c r="C136" i="28"/>
  <c r="H131" i="1" s="1"/>
  <c r="B12" i="29"/>
  <c r="C71" i="28"/>
  <c r="B2" i="29" s="1"/>
  <c r="B7" i="29" s="1"/>
  <c r="B13" i="29"/>
  <c r="G17" i="27" l="1"/>
  <c r="H126" i="1" s="1"/>
  <c r="A58" i="27"/>
  <c r="A59" i="27"/>
  <c r="A79" i="27"/>
  <c r="A80" i="27"/>
  <c r="A16" i="27"/>
  <c r="A17" i="27"/>
  <c r="A38" i="27"/>
  <c r="A37" i="27"/>
  <c r="A127" i="1"/>
  <c r="A126" i="1"/>
  <c r="A124" i="1"/>
  <c r="A125" i="1"/>
  <c r="A123" i="1"/>
  <c r="A122" i="1"/>
  <c r="A121" i="1"/>
  <c r="A118" i="1"/>
  <c r="H124" i="1"/>
  <c r="H105" i="1" l="1"/>
  <c r="A113" i="1"/>
  <c r="A110" i="1"/>
  <c r="A111" i="1"/>
  <c r="G16" i="27"/>
  <c r="H110" i="1" s="1"/>
  <c r="A107" i="1"/>
  <c r="A105" i="1"/>
  <c r="A104" i="1"/>
  <c r="A103" i="1"/>
  <c r="A98" i="1"/>
  <c r="A97" i="1"/>
  <c r="G14" i="27"/>
  <c r="G12" i="27"/>
  <c r="H84" i="1" s="1"/>
  <c r="H60" i="1"/>
  <c r="G5" i="27"/>
  <c r="A65" i="1"/>
  <c r="A71" i="1"/>
  <c r="A70" i="1"/>
  <c r="A69" i="1"/>
  <c r="A68" i="1"/>
  <c r="A67" i="1"/>
  <c r="G69" i="27"/>
  <c r="G9" i="27" s="1"/>
  <c r="H71" i="1" s="1"/>
  <c r="G48" i="27"/>
  <c r="G8" i="27" s="1"/>
  <c r="G7" i="27"/>
  <c r="H69" i="1" s="1"/>
  <c r="H87" i="1" l="1"/>
  <c r="H86" i="1" s="1"/>
  <c r="H79" i="1" s="1"/>
  <c r="H127" i="1"/>
  <c r="H61" i="1"/>
  <c r="H109" i="1"/>
  <c r="H107" i="1" s="1"/>
  <c r="H82" i="1"/>
  <c r="H123" i="1" l="1"/>
  <c r="H118" i="1" s="1"/>
  <c r="H115" i="1" s="1"/>
  <c r="H35" i="1"/>
  <c r="H104" i="1"/>
  <c r="H103" i="1" s="1"/>
  <c r="H96" i="1" l="1"/>
  <c r="H56" i="1" s="1"/>
  <c r="G40" i="11"/>
  <c r="G37" i="11"/>
  <c r="H78" i="1"/>
  <c r="H46" i="1" l="1"/>
  <c r="H43" i="1" s="1"/>
  <c r="G22" i="11"/>
  <c r="G23" i="11"/>
  <c r="G4" i="17"/>
  <c r="G3" i="17"/>
  <c r="G35" i="17"/>
  <c r="G34" i="17"/>
  <c r="G10" i="17"/>
  <c r="G22" i="17"/>
  <c r="G23" i="17"/>
  <c r="G11" i="17"/>
  <c r="H59" i="1" l="1"/>
  <c r="H67" i="1"/>
  <c r="H76" i="1"/>
  <c r="H75" i="1" s="1"/>
  <c r="H90" i="1"/>
  <c r="G32" i="17"/>
  <c r="G31" i="17"/>
  <c r="G20" i="17"/>
  <c r="G19" i="17"/>
  <c r="G7" i="17"/>
  <c r="G8" i="17"/>
  <c r="G7" i="11"/>
  <c r="G6" i="11" s="1"/>
  <c r="G12" i="11"/>
  <c r="G11" i="11" s="1"/>
  <c r="G17" i="11"/>
  <c r="G16" i="11" s="1"/>
  <c r="H93" i="1" l="1"/>
  <c r="H53" i="1" s="1"/>
  <c r="H70" i="1"/>
  <c r="H52" i="1" s="1"/>
  <c r="H91" i="1"/>
  <c r="H77" i="1"/>
  <c r="H68" i="1"/>
  <c r="H51" i="1"/>
  <c r="G37" i="3"/>
  <c r="G33" i="3"/>
  <c r="G30" i="3" s="1"/>
  <c r="G28" i="3" s="1"/>
  <c r="G32" i="3"/>
  <c r="G12" i="3"/>
  <c r="G3" i="3" s="1"/>
  <c r="G19" i="3"/>
  <c r="G14" i="3"/>
  <c r="G15" i="3"/>
  <c r="G19" i="8"/>
  <c r="G14" i="8"/>
  <c r="G3" i="8" s="1"/>
  <c r="H36" i="1"/>
  <c r="H55" i="1"/>
  <c r="H92" i="1" l="1"/>
  <c r="H89" i="1" s="1"/>
  <c r="H54" i="1" s="1"/>
  <c r="H50" i="1" s="1"/>
  <c r="H44" i="1" s="1"/>
  <c r="H42" i="1" s="1"/>
  <c r="H39" i="1" s="1"/>
  <c r="G10" i="3"/>
  <c r="H40" i="1"/>
  <c r="H38" i="1" l="1"/>
  <c r="H34" i="1" s="1"/>
  <c r="H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tc={F4D3821B-9009-4864-87C3-E6838A87AB3A}</author>
    <author>tc={DD30B18E-CFA6-4D2A-9428-067601062612}</author>
    <author>tc={41AF5208-B6BF-4F23-9781-2CD7C1B9DABD}</author>
    <author>tc={98A8328E-6F50-4E82-BCEC-2EE3B240A85B}</author>
    <author>tc={4123AC21-C053-4992-8B6D-8BA4358AC160}</author>
    <author>tc={3F9D9C64-39D8-4CB4-82B4-DB7E88BDF96D}</author>
    <author>tc={CECA16B6-B275-484E-A4F9-D2C13C71E140}</author>
    <author>tc={B7C3ED78-51C5-494E-B2CE-3B7949F54795}</author>
    <author>tc={FC63722F-83A5-4403-A2A9-7B2094A9B2F8}</author>
    <author>tc={DFD1BBE0-1257-4657-BA48-AB579EF2C6D9}</author>
    <author>tc={5D0F91A7-1B31-4935-81B3-2869073AA1CD}</author>
    <author>tc={CD896342-F14A-499D-AF0A-9E647AE64513}</author>
    <author>tc={28F7B1E5-F34E-4029-8D1A-63E85C6E8A8C}</author>
    <author>tc={61BCBDF7-843E-40D0-A520-4FBE6977E8D7}</author>
    <author>tc={966758D4-8C2A-43C3-A9B1-9CD19CD1A62E}</author>
    <author>tc={E3AB4977-3D6E-45DE-B7C1-85A222F742AF}</author>
    <author>tc={74BE8672-F7D0-497E-92D1-84347F940BE9}</author>
    <author>tc={015F5381-3C57-4508-BFF3-3591416AE027}</author>
    <author>tc={0E49BB94-B7F0-4ABB-B3AA-F091AC18ACD2}</author>
  </authors>
  <commentList>
    <comment ref="G33" authorId="0" shapeId="0" xr:uid="{F4D3821B-9009-4864-87C3-E6838A87AB3A}">
      <text>
        <t>[Threaded comment]
Your version of Excel allows you to read this threaded comment; however, any edits to it will get removed if the file is opened in a newer version of Excel. Learn more: https://go.microsoft.com/fwlink/?linkid=870924
Comment:
    Equation #1</t>
      </text>
    </comment>
    <comment ref="G38" authorId="1" shapeId="0" xr:uid="{DD30B18E-CFA6-4D2A-9428-067601062612}">
      <text>
        <t>[Threaded comment]
Your version of Excel allows you to read this threaded comment; however, any edits to it will get removed if the file is opened in a newer version of Excel. Learn more: https://go.microsoft.com/fwlink/?linkid=870924
Comment:
    Equation #2</t>
      </text>
    </comment>
    <comment ref="G42" authorId="2" shapeId="0" xr:uid="{41AF5208-B6BF-4F23-9781-2CD7C1B9DABD}">
      <text>
        <t>[Threaded comment]
Your version of Excel allows you to read this threaded comment; however, any edits to it will get removed if the file is opened in a newer version of Excel. Learn more: https://go.microsoft.com/fwlink/?linkid=870924
Comment:
    Equation #3</t>
      </text>
    </comment>
    <comment ref="G46" authorId="3" shapeId="0" xr:uid="{98A8328E-6F50-4E82-BCEC-2EE3B240A85B}">
      <text>
        <t>[Threaded comment]
Your version of Excel allows you to read this threaded comment; however, any edits to it will get removed if the file is opened in a newer version of Excel. Learn more: https://go.microsoft.com/fwlink/?linkid=870924
Comment:
    Equation #4</t>
      </text>
    </comment>
    <comment ref="G50" authorId="4" shapeId="0" xr:uid="{4123AC21-C053-4992-8B6D-8BA4358AC160}">
      <text>
        <t>[Threaded comment]
Your version of Excel allows you to read this threaded comment; however, any edits to it will get removed if the file is opened in a newer version of Excel. Learn more: https://go.microsoft.com/fwlink/?linkid=870924
Comment:
    Equation #5</t>
      </text>
    </comment>
    <comment ref="G59" authorId="5" shapeId="0" xr:uid="{3F9D9C64-39D8-4CB4-82B4-DB7E88BDF96D}">
      <text>
        <t>[Threaded comment]
Your version of Excel allows you to read this threaded comment; however, any edits to it will get removed if the file is opened in a newer version of Excel. Learn more: https://go.microsoft.com/fwlink/?linkid=870924
Comment:
    Equation #6</t>
      </text>
    </comment>
    <comment ref="G66" authorId="6" shapeId="0" xr:uid="{CECA16B6-B275-484E-A4F9-D2C13C71E140}">
      <text>
        <t>[Threaded comment]
Your version of Excel allows you to read this threaded comment; however, any edits to it will get removed if the file is opened in a newer version of Excel. Learn more: https://go.microsoft.com/fwlink/?linkid=870924
Comment:
    Equation #9 and Equation #10</t>
      </text>
    </comment>
    <comment ref="G69" authorId="7" shapeId="0" xr:uid="{B7C3ED78-51C5-494E-B2CE-3B7949F54795}">
      <text>
        <t>[Threaded comment]
Your version of Excel allows you to read this threaded comment; however, any edits to it will get removed if the file is opened in a newer version of Excel. Learn more: https://go.microsoft.com/fwlink/?linkid=870924
Comment:
    Equation #11</t>
      </text>
    </comment>
    <comment ref="G75" authorId="8" shapeId="0" xr:uid="{FC63722F-83A5-4403-A2A9-7B2094A9B2F8}">
      <text>
        <t>[Threaded comment]
Your version of Excel allows you to read this threaded comment; however, any edits to it will get removed if the file is opened in a newer version of Excel. Learn more: https://go.microsoft.com/fwlink/?linkid=870924
Comment:
    Equation # 12, 13, 14, 15, 16, 17</t>
      </text>
    </comment>
    <comment ref="G82" authorId="9" shapeId="0" xr:uid="{DFD1BBE0-1257-4657-BA48-AB579EF2C6D9}">
      <text>
        <t>[Threaded comment]
Your version of Excel allows you to read this threaded comment; however, any edits to it will get removed if the file is opened in a newer version of Excel. Learn more: https://go.microsoft.com/fwlink/?linkid=870924
Comment:
    Equation #18</t>
      </text>
    </comment>
    <comment ref="G86" authorId="10" shapeId="0" xr:uid="{5D0F91A7-1B31-4935-81B3-2869073AA1CD}">
      <text>
        <t>[Threaded comment]
Your version of Excel allows you to read this threaded comment; however, any edits to it will get removed if the file is opened in a newer version of Excel. Learn more: https://go.microsoft.com/fwlink/?linkid=870924
Comment:
    Equation #19</t>
      </text>
    </comment>
    <comment ref="G89" authorId="11" shapeId="0" xr:uid="{CD896342-F14A-499D-AF0A-9E647AE64513}">
      <text>
        <t>[Threaded comment]
Your version of Excel allows you to read this threaded comment; however, any edits to it will get removed if the file is opened in a newer version of Excel. Learn more: https://go.microsoft.com/fwlink/?linkid=870924
Comment:
    Equation #20</t>
      </text>
    </comment>
    <comment ref="G96" authorId="12" shapeId="0" xr:uid="{28F7B1E5-F34E-4029-8D1A-63E85C6E8A8C}">
      <text>
        <t>[Threaded comment]
Your version of Excel allows you to read this threaded comment; however, any edits to it will get removed if the file is opened in a newer version of Excel. Learn more: https://go.microsoft.com/fwlink/?linkid=870924
Comment:
    Equation #21</t>
      </text>
    </comment>
    <comment ref="G103" authorId="13" shapeId="0" xr:uid="{61BCBDF7-843E-40D0-A520-4FBE6977E8D7}">
      <text>
        <t>[Threaded comment]
Your version of Excel allows you to read this threaded comment; however, any edits to it will get removed if the file is opened in a newer version of Excel. Learn more: https://go.microsoft.com/fwlink/?linkid=870924
Comment:
    Equation #22</t>
      </text>
    </comment>
    <comment ref="G107" authorId="14" shapeId="0" xr:uid="{966758D4-8C2A-43C3-A9B1-9CD19CD1A62E}">
      <text>
        <t>[Threaded comment]
Your version of Excel allows you to read this threaded comment; however, any edits to it will get removed if the file is opened in a newer version of Excel. Learn more: https://go.microsoft.com/fwlink/?linkid=870924
Comment:
    Equation #23</t>
      </text>
    </comment>
    <comment ref="G115" authorId="15" shapeId="0" xr:uid="{E3AB4977-3D6E-45DE-B7C1-85A222F742AF}">
      <text>
        <t>[Threaded comment]
Your version of Excel allows you to read this threaded comment; however, any edits to it will get removed if the file is opened in a newer version of Excel. Learn more: https://go.microsoft.com/fwlink/?linkid=870924
Comment:
    Equation #24</t>
      </text>
    </comment>
    <comment ref="H117" authorId="16" shapeId="0" xr:uid="{74BE8672-F7D0-497E-92D1-84347F940BE9}">
      <text>
        <t>[Threaded comment]
Your version of Excel allows you to read this threaded comment; however, any edits to it will get removed if the file is opened in a newer version of Excel. Learn more: https://go.microsoft.com/fwlink/?linkid=870924
Comment:
    No "PEff,y" parameter in Tool 03, took overall sum of PE fossil fuel combustion</t>
      </text>
    </comment>
    <comment ref="G123" authorId="17" shapeId="0" xr:uid="{015F5381-3C57-4508-BFF3-3591416AE027}">
      <text>
        <t>[Threaded comment]
Your version of Excel allows you to read this threaded comment; however, any edits to it will get removed if the file is opened in a newer version of Excel. Learn more: https://go.microsoft.com/fwlink/?linkid=870924
Comment:
    Equation #25</t>
      </text>
    </comment>
    <comment ref="H129" authorId="18" shapeId="0" xr:uid="{0E49BB94-B7F0-4ABB-B3AA-F091AC18ACD2}">
      <text>
        <t>[Threaded comment]
Your version of Excel allows you to read this threaded comment; however, any edits to it will get removed if the file is opened in a newer version of Excel. Learn more: https://go.microsoft.com/fwlink/?linkid=870924
Comment:
    ACM0014 has not been digitized yet, using a placeholder value of 50 for now</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tc={995B6643-4322-409B-95EE-28811AE23D78}</author>
    <author>tc={C0875A3F-AF7C-464B-B078-2C6D917F6DCA}</author>
    <author>tc={0AA9B9E3-002C-4C40-9503-9DC49BC6AA42}</author>
    <author>tc={B9FC274E-2E66-4A5F-8CF4-C7350BA64E94}</author>
    <author>tc={B7567CCC-1F1A-4B47-AE71-C6BD88C9C9EF}</author>
    <author>tc={B7018E5C-B6CE-4D05-A7D1-63A21ACCC771}</author>
    <author>tc={F8DF6099-D6C7-4C03-B057-3CBE35A31618}</author>
    <author>tc={140C8D42-E889-4A9C-8BC0-02A2F59A9E6E}</author>
    <author>tc={C01C0F88-B93A-4103-96C4-700DB6AB59E6}</author>
    <author>tc={1E1735A3-8D11-467D-B6CF-F8728DBA9FE1}</author>
    <author>tc={8073EFF9-3D94-464F-843D-3B4B49A5961D}</author>
    <author>tc={F14109D4-C00E-4A54-BA09-50548D4252E3}</author>
    <author>tc={CCDB4D9C-CE7C-490A-8A77-938E18D1B630}</author>
    <author>tc={08A5A3E5-19EC-4680-9B87-13CEC7700DAC}</author>
    <author>tc={0160A85B-D487-4D04-AC72-E72F519EE3B5}</author>
    <author>tc={93AC5F12-F279-4A51-8E10-FE8AE3F7000F}</author>
    <author>tc={A7B61493-8597-43C5-A259-0C1F3B1F7BEB}</author>
    <author>tc={4291311E-508B-4B0F-A83D-C2D9234F893D}</author>
    <author>tc={3E956DC6-D902-43BD-B39A-D1F447B7DEE4}</author>
  </authors>
  <commentList>
    <comment ref="C44" authorId="0" shapeId="0" xr:uid="{995B6643-4322-409B-95EE-28811AE23D78}">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C0875A3F-AF7C-464B-B078-2C6D917F6DCA}">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0AA9B9E3-002C-4C40-9503-9DC49BC6AA42}">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B9FC274E-2E66-4A5F-8CF4-C7350BA64E94}">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B7567CCC-1F1A-4B47-AE71-C6BD88C9C9EF}">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B7018E5C-B6CE-4D05-A7D1-63A21ACCC771}">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F8DF6099-D6C7-4C03-B057-3CBE35A31618}">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140C8D42-E889-4A9C-8BC0-02A2F59A9E6E}">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C01C0F88-B93A-4103-96C4-700DB6AB59E6}">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1E1735A3-8D11-467D-B6CF-F8728DBA9FE1}">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8073EFF9-3D94-464F-843D-3B4B49A5961D}">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F14109D4-C00E-4A54-BA09-50548D4252E3}">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CCDB4D9C-CE7C-490A-8A77-938E18D1B630}">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08A5A3E5-19EC-4680-9B87-13CEC7700DAC}">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0160A85B-D487-4D04-AC72-E72F519EE3B5}">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93AC5F12-F279-4A51-8E10-FE8AE3F7000F}">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A7B61493-8597-43C5-A259-0C1F3B1F7BEB}">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4291311E-508B-4B0F-A83D-C2D9234F893D}">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3E956DC6-D902-43BD-B39A-D1F447B7DEE4}">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tc={33787097-6F43-4E93-8710-5CEC8A6F1456}</author>
    <author>tc={6EC6AC0A-2DB5-4657-972E-A39EBCBB3762}</author>
    <author>tc={64A964B1-0E6A-463F-B5B2-F97C62C28A86}</author>
    <author>tc={7B7E569C-8F88-4936-BE1D-50124BDE9DAE}</author>
    <author>tc={E3B0C753-67F0-4EA4-B660-8013556840ED}</author>
  </authors>
  <commentList>
    <comment ref="F4" authorId="0" shapeId="0" xr:uid="{33787097-6F43-4E93-8710-5CEC8A6F145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6EC6AC0A-2DB5-4657-972E-A39EBCBB3762}">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64A964B1-0E6A-463F-B5B2-F97C62C28A86}">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B7E569C-8F88-4936-BE1D-50124BDE9DAE}">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3B0C753-67F0-4EA4-B660-8013556840ED}">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tc={ED7DF3FA-EB29-435F-A812-831B0B166C4B}</author>
    <author>tc={FA9E7B6D-9582-4BE7-B82D-88341FC23815}</author>
    <author>tc={6371F802-97D2-4CF7-807F-4463A41B8E1D}</author>
    <author>tc={B994686E-3977-45DA-933E-C68D68E26372}</author>
    <author>tc={1C8AED0C-5994-4C99-80B4-D8DF116A7AFC}</author>
  </authors>
  <commentList>
    <comment ref="F4" authorId="0" shapeId="0" xr:uid="{ED7DF3FA-EB29-435F-A812-831B0B166C4B}">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FA9E7B6D-9582-4BE7-B82D-88341FC23815}">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6371F802-97D2-4CF7-807F-4463A41B8E1D}">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B994686E-3977-45DA-933E-C68D68E26372}">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1C8AED0C-5994-4C99-80B4-D8DF116A7AFC}">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tc={E49FF3B5-E03C-453E-AA1E-70554915FB20}</author>
    <author>tc={BC9E7870-16CE-43C8-84AA-5F7D253313F1}</author>
  </authors>
  <commentList>
    <comment ref="A2" authorId="0" shapeId="0" xr:uid="{E49FF3B5-E03C-453E-AA1E-70554915FB20}">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BC9E7870-16CE-43C8-84AA-5F7D253313F1}">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tc={9C400AE4-740E-46F3-9548-9F1C30250812}</author>
    <author>tc={0F1F322E-7C2F-4E21-A206-41780678D6E3}</author>
    <author>tc={956480D4-B32C-4612-8F13-35B4E7698FAC}</author>
    <author>tc={BE80289F-E870-4B50-AC35-54FFD0AAD612}</author>
    <author>tc={788C1B82-A660-41A4-A3AB-70230DE664BE}</author>
  </authors>
  <commentList>
    <comment ref="F4" authorId="0" shapeId="0" xr:uid="{9C400AE4-740E-46F3-9548-9F1C30250812}">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0F1F322E-7C2F-4E21-A206-41780678D6E3}">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956480D4-B32C-4612-8F13-35B4E7698FAC}">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BE80289F-E870-4B50-AC35-54FFD0AAD612}">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788C1B82-A660-41A4-A3AB-70230DE664BE}">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tc={7F201FFC-3A68-452B-9A42-B1C0FC0BA6FB}</author>
    <author>tc={25F5F850-338F-47F8-A873-2445549F44E7}</author>
    <author>tc={7607056D-6D6D-494D-AEA9-4A52DE5F91F8}</author>
    <author>tc={4CFBA016-BBDB-4423-8522-269293EA2CBB}</author>
  </authors>
  <commentList>
    <comment ref="F8" authorId="0" shapeId="0" xr:uid="{7F201FFC-3A68-452B-9A42-B1C0FC0BA6FB}">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25F5F850-338F-47F8-A873-2445549F44E7}">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7607056D-6D6D-494D-AEA9-4A52DE5F91F8}">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4CFBA016-BBDB-4423-8522-269293EA2CBB}">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tc={515D298D-0665-4F6A-A64A-2BD464E0A71C}</author>
  </authors>
  <commentList>
    <comment ref="A3" authorId="0" shapeId="0" xr:uid="{515D298D-0665-4F6A-A64A-2BD464E0A71C}">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tc={604A1163-42E5-43C9-BCD8-40A7B8ADAF29}</author>
    <author>tc={A08B968A-779A-4139-80C5-1374E94B0C63}</author>
    <author>tc={F24CC91D-2518-4C46-8B11-B238AB590FFD}</author>
    <author>tc={1E90C5DB-A9D4-47ED-A91E-736D405B9873}</author>
    <author>tc={C3DE08B6-69E1-4494-B95B-F8D337BA137B}</author>
    <author>tc={F5309858-8A72-4DA7-AC1C-876A1B26BAE9}</author>
    <author>tc={1E7262B5-AEC0-44B4-B2DF-6D4F11C32119}</author>
    <author>tc={03A85D4C-7575-4654-A69A-72212C6E67C2}</author>
    <author>tc={7B1396CB-9FF2-45CD-A183-4D3BB7D14F9B}</author>
    <author>tc={4E6CA96E-E94E-4DA1-A150-290F635FA0D8}</author>
  </authors>
  <commentList>
    <comment ref="F9" authorId="0" shapeId="0" xr:uid="{604A1163-42E5-43C9-BCD8-40A7B8ADAF29}">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A08B968A-779A-4139-80C5-1374E94B0C63}">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F24CC91D-2518-4C46-8B11-B238AB590FFD}">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1E90C5DB-A9D4-47ED-A91E-736D405B9873}">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C3DE08B6-69E1-4494-B95B-F8D337BA137B}">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F5309858-8A72-4DA7-AC1C-876A1B26BAE9}">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1E7262B5-AEC0-44B4-B2DF-6D4F11C32119}">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03A85D4C-7575-4654-A69A-72212C6E67C2}">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7B1396CB-9FF2-45CD-A183-4D3BB7D14F9B}">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G65" authorId="9" shapeId="0" xr:uid="{4E6CA96E-E94E-4DA1-A150-290F635FA0D8}">
      <text>
        <t>[Threaded comment]
Your version of Excel allows you to read this threaded comment; however, any edits to it will get removed if the file is opened in a newer version of Excel. Learn more: https://go.microsoft.com/fwlink/?linkid=870924
Comment:
    Edited to link with Tool 04 in this document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tc={59F89FC0-888A-4313-A524-1A6C8E36A996}</author>
    <author>tc={3AA67E44-B7E1-42B0-A256-D5E0A275E0D1}</author>
    <author>tc={ECEB3ECA-4FA7-4F14-898F-AA173E08D0F5}</author>
    <author>tc={B129D300-703A-40AD-8907-C1BF1014E9B2}</author>
    <author>tc={D8D1F46A-3CEC-48A7-A7C0-2B1FD87ED4D0}</author>
    <author>tc={4A0F4476-0DAA-4727-A353-85F1659DD4E2}</author>
    <author>tc={FB1AFA1F-33DB-447F-BCA9-9B117019CB20}</author>
    <author>tc={3FABBB38-0C8C-4249-909E-1A4E65CA53B8}</author>
    <author>tc={4F4AFDC1-8AA7-4AA1-AFED-563914F7FB2E}</author>
    <author>tc={5655A130-B4EB-4AAB-8064-ACF50AA4778A}</author>
    <author>tc={CF9F43E2-A03A-4ED4-915C-694C9F877CF3}</author>
    <author>tc={28A580E6-C12F-43A0-B82B-CCF725208D15}</author>
    <author>tc={AC281006-5A84-49B4-BC1F-8E033B8C7A45}</author>
    <author>tc={F4A59565-1607-401C-98AE-78599EBC52EE}</author>
    <author>tc={EDD51F39-CF6F-449E-AA58-12FD7200CA93}</author>
    <author>tc={3768B6D3-CA87-4C59-A5B4-98886E974799}</author>
    <author>tc={7E539ECD-CE14-4669-8F03-396A63A3B7FB}</author>
    <author>tc={35FEF703-7B4C-4FFF-A95E-4C6B4C1E0267}</author>
    <author>tc={AE60A8F5-4A48-434F-B904-D004D0CFDD44}</author>
    <author>tc={13C2D432-347E-43C2-9064-8514B59E51DF}</author>
    <author>tc={F29F6732-9D69-4B03-BC9C-6839691F0033}</author>
    <author>tc={E42913F7-B1EE-43F5-AA72-76F574738D61}</author>
    <author>tc={774EE864-0E4E-426F-A85F-16D7DB2754B1}</author>
    <author>tc={96474FF9-29BD-4A10-B2E2-401DE1603512}</author>
    <author>tc={6612A5FF-90C3-4809-95A3-F27338EF2E25}</author>
    <author>tc={5117AB29-E03C-416C-8D22-02EBC753EA2E}</author>
    <author>tc={C3820D11-ABF6-4DC3-B367-AF91FFC526A9}</author>
  </authors>
  <commentList>
    <comment ref="E13" authorId="0" shapeId="0" xr:uid="{59F89FC0-888A-4313-A524-1A6C8E36A996}">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3AA67E44-B7E1-42B0-A256-D5E0A275E0D1}">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ECEB3ECA-4FA7-4F14-898F-AA173E08D0F5}">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B129D300-703A-40AD-8907-C1BF1014E9B2}">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D8D1F46A-3CEC-48A7-A7C0-2B1FD87ED4D0}">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4A0F4476-0DAA-4727-A353-85F1659DD4E2}">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FB1AFA1F-33DB-447F-BCA9-9B117019CB20}">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3FABBB38-0C8C-4249-909E-1A4E65CA53B8}">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4F4AFDC1-8AA7-4AA1-AFED-563914F7FB2E}">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5655A130-B4EB-4AAB-8064-ACF50AA4778A}">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CF9F43E2-A03A-4ED4-915C-694C9F877CF3}">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28A580E6-C12F-43A0-B82B-CCF725208D15}">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AC281006-5A84-49B4-BC1F-8E033B8C7A45}">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F4A59565-1607-401C-98AE-78599EBC52EE}">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EDD51F39-CF6F-449E-AA58-12FD7200CA93}">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3768B6D3-CA87-4C59-A5B4-98886E974799}">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7E539ECD-CE14-4669-8F03-396A63A3B7FB}">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35FEF703-7B4C-4FFF-A95E-4C6B4C1E0267}">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AE60A8F5-4A48-434F-B904-D004D0CFDD44}">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13C2D432-347E-43C2-9064-8514B59E51DF}">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F29F6732-9D69-4B03-BC9C-6839691F0033}">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E42913F7-B1EE-43F5-AA72-76F574738D61}">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774EE864-0E4E-426F-A85F-16D7DB2754B1}">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96474FF9-29BD-4A10-B2E2-401DE1603512}">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6612A5FF-90C3-4809-95A3-F27338EF2E25}">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5117AB29-E03C-416C-8D22-02EBC753EA2E}">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C3820D11-ABF6-4DC3-B367-AF91FFC526A9}">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tc={F8979E94-EA6A-41A1-8256-E3CA7BEE37B5}</author>
    <author>tc={155E484F-5371-4938-A056-7209F9F4B043}</author>
    <author>tc={568C5D05-2DA2-4329-AC72-3B8EDD459B1E}</author>
    <author>tc={B71DF661-957E-4897-8058-361F3BB2A972}</author>
    <author>tc={2BDCAFE3-B5BF-4BF9-84F1-55C542E4D22C}</author>
    <author>tc={C7504D00-735A-4100-92B8-47B7D7159E93}</author>
    <author>tc={991A4A93-1872-46F5-AEE5-D2AAEF51AD5D}</author>
    <author>tc={83283245-B482-48BC-BBBD-DB2BE52FC4FE}</author>
    <author>tc={9047636D-9BB0-41E8-95D9-242F2A0A0AEC}</author>
    <author>tc={28E34740-8A77-49D0-A563-A17F0E79ADA2}</author>
    <author>tc={7F4F303C-1231-4695-8B5D-3437D89ED729}</author>
    <author>tc={51000DBA-3ACA-4E23-9CD6-EDC8A5F38EF4}</author>
    <author>tc={F83B5B71-B340-47D4-948E-6F777B28E457}</author>
    <author>tc={13ADD582-5F74-420E-B8CB-46C1A30D939E}</author>
    <author>tc={B4301A97-7931-4E49-893B-A5AD2497004D}</author>
    <author>tc={E4B52E71-0AAB-4182-9900-FDE18A73D177}</author>
    <author>tc={C85412AF-9547-48B0-BBBA-AE9609532029}</author>
    <author>tc={DE49F9BF-A588-46A0-A91C-318DF3AFE067}</author>
    <author>tc={1875EC83-CFB9-4586-BE98-E241B614ACD3}</author>
    <author>tc={82191B05-AC73-4046-AD3C-075C26716FC6}</author>
    <author>tc={DB616657-0B0A-4E7E-AD65-C5520531686F}</author>
    <author>tc={D8685842-8582-41C7-BD52-4632FE698B96}</author>
    <author>tc={7B10C52A-413F-4C88-89AE-0752EC4C04D0}</author>
  </authors>
  <commentList>
    <comment ref="B38" authorId="0" shapeId="0" xr:uid="{F8979E94-EA6A-41A1-8256-E3CA7BEE37B5}">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155E484F-5371-4938-A056-7209F9F4B043}">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568C5D05-2DA2-4329-AC72-3B8EDD459B1E}">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B71DF661-957E-4897-8058-361F3BB2A972}">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2BDCAFE3-B5BF-4BF9-84F1-55C542E4D22C}">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C7504D00-735A-4100-92B8-47B7D7159E93}">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91A4A93-1872-46F5-AEE5-D2AAEF51AD5D}">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83283245-B482-48BC-BBBD-DB2BE52FC4FE}">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9047636D-9BB0-41E8-95D9-242F2A0A0AEC}">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28E34740-8A77-49D0-A563-A17F0E79ADA2}">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7F4F303C-1231-4695-8B5D-3437D89ED729}">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51000DBA-3ACA-4E23-9CD6-EDC8A5F38EF4}">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F83B5B71-B340-47D4-948E-6F777B28E457}">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13ADD582-5F74-420E-B8CB-46C1A30D939E}">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B4301A97-7931-4E49-893B-A5AD2497004D}">
      <text>
        <t>[Threaded comment]
Your version of Excel allows you to read this threaded comment; however, any edits to it will get removed if the file is opened in a newer version of Excel. Learn more: https://go.microsoft.com/fwlink/?linkid=870924
Comment:
    Equation 15</t>
      </text>
    </comment>
    <comment ref="C121" authorId="15" shapeId="0" xr:uid="{E4B52E71-0AAB-4182-9900-FDE18A73D177}">
      <text>
        <t>[Threaded comment]
Your version of Excel allows you to read this threaded comment; however, any edits to it will get removed if the file is opened in a newer version of Excel. Learn more: https://go.microsoft.com/fwlink/?linkid=870924
Comment:
    "Tool 12"
Linked value to get calculation to work</t>
      </text>
    </comment>
    <comment ref="C122" authorId="16" shapeId="0" xr:uid="{C85412AF-9547-48B0-BBBA-AE9609532029}">
      <text>
        <t xml:space="preserve">[Threaded comment]
Your version of Excel allows you to read this threaded comment; however, any edits to it will get removed if the file is opened in a newer version of Excel. Learn more: https://go.microsoft.com/fwlink/?linkid=870924
Comment:
    "Parameter LEec,y from Tool 05"
</t>
      </text>
    </comment>
    <comment ref="C123" authorId="17" shapeId="0" xr:uid="{DE49F9BF-A588-46A0-A91C-318DF3AFE067}">
      <text>
        <t xml:space="preserve">[Threaded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
</t>
      </text>
    </comment>
    <comment ref="C131" authorId="18" shapeId="0" xr:uid="{1875EC83-CFB9-4586-BE98-E241B614ACD3}">
      <text>
        <t>[Threaded comment]
Your version of Excel allows you to read this threaded comment; however, any edits to it will get removed if the file is opened in a newer version of Excel. Learn more: https://go.microsoft.com/fwlink/?linkid=870924
Comment:
    "Parameter LEec,y from Tool 05"</t>
      </text>
    </comment>
    <comment ref="C132" authorId="19" shapeId="0" xr:uid="{82191B05-AC73-4046-AD3C-075C26716FC6}">
      <text>
        <t>[Threaded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t>
      </text>
    </comment>
    <comment ref="C133" authorId="20" shapeId="0" xr:uid="{DB616657-0B0A-4E7E-AD65-C5520531686F}">
      <text>
        <t>[Threaded comment]
Your version of Excel allows you to read this threaded comment; however, any edits to it will get removed if the file is opened in a newer version of Excel. Learn more: https://go.microsoft.com/fwlink/?linkid=870924
Comment:
    "Parameter  LEch4,swds,𝑦  from Tool 04"
Had to insert values for certain parameters to get a value</t>
      </text>
    </comment>
    <comment ref="C134" authorId="21" shapeId="0" xr:uid="{D8685842-8582-41C7-BD52-4632FE698B96}">
      <text>
        <t>[Threaded comment]
Your version of Excel allows you to read this threaded comment; however, any edits to it will get removed if the file is opened in a newer version of Excel. Learn more: https://go.microsoft.com/fwlink/?linkid=870924
Comment:
    "Parameter LEcomp,y  from Tool 13"</t>
      </text>
    </comment>
    <comment ref="C135" authorId="22" shapeId="0" xr:uid="{7B10C52A-413F-4C88-89AE-0752EC4C04D0}">
      <text>
        <t>[Threaded comment]
Your version of Excel allows you to read this threaded comment; however, any edits to it will get removed if the file is opened in a newer version of Excel. Learn more: https://go.microsoft.com/fwlink/?linkid=870924
Comment:
    "Parameter LEad,𝑦   from Tool 14"
Value should be pulled from 
='Tool 14'!F63
Values need to be inserted/fixed, used a placeholder of 10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tc={F9F63D94-1BF8-4634-AFF1-AC891C3A2AB0}</author>
    <author>tc={FFFADAC4-DB7F-420F-BF80-6AD55CA729D0}</author>
  </authors>
  <commentList>
    <comment ref="F7" authorId="0" shapeId="0" xr:uid="{F9F63D94-1BF8-4634-AFF1-AC891C3A2AB0}">
      <text>
        <t>[Threaded comment]
Your version of Excel allows you to read this threaded comment; however, any edits to it will get removed if the file is opened in a newer version of Excel. Learn more: https://go.microsoft.com/fwlink/?linkid=870924
Comment:
    Equation #11</t>
      </text>
    </comment>
    <comment ref="F27" authorId="1" shapeId="0" xr:uid="{FFFADAC4-DB7F-420F-BF80-6AD55CA729D0}">
      <text>
        <t>[Threaded comment]
Your version of Excel allows you to read this threaded comment; however, any edits to it will get removed if the file is opened in a newer version of Excel. Learn more: https://go.microsoft.com/fwlink/?linkid=870924
Comment:
    Equation #11</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tc={50B7CF13-480A-49F4-B47B-0BAB9321AD46}</author>
    <author>tc={AA6ADE9C-F1E8-4B9B-B503-23189DE6E705}</author>
    <author>tc={391C48FE-EC7C-48B9-B56D-8A3805227226}</author>
  </authors>
  <commentList>
    <comment ref="A1" authorId="0" shapeId="0" xr:uid="{50B7CF13-480A-49F4-B47B-0BAB9321AD46}">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AA6ADE9C-F1E8-4B9B-B503-23189DE6E705}">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391C48FE-EC7C-48B9-B56D-8A3805227226}">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tc={A81EA600-ED3C-4094-9809-004BD192FC9D}</author>
    <author>tc={9E536D13-40F9-4A38-9CDA-A5B8481F7FEE}</author>
    <author>tc={31A4EC2C-8989-4672-947A-0912F3946756}</author>
  </authors>
  <commentList>
    <comment ref="H23" authorId="0" shapeId="0" xr:uid="{A81EA600-ED3C-4094-9809-004BD192FC9D}">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25" authorId="1" shapeId="0" xr:uid="{9E536D13-40F9-4A38-9CDA-A5B8481F7FEE}">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81" authorId="2" shapeId="0" xr:uid="{31A4EC2C-8989-4672-947A-0912F3946756}">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tc={E85F3147-6A0E-481C-BAFC-6F849ED53951}</author>
  </authors>
  <commentList>
    <comment ref="F10" authorId="0" shapeId="0" xr:uid="{E85F3147-6A0E-481C-BAFC-6F849ED53951}">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tc={8D6AE484-1B21-49E5-8AC1-28F52DD26472}</author>
    <author>tc={95F44474-EAA8-467A-A099-5E55F48EB318}</author>
    <author>tc={A9790D6F-C44F-49DF-8E7E-07238849EFFA}</author>
    <author>tc={BEB64004-AC74-4CCA-A2DD-F1284E684A6D}</author>
    <author>tc={73812714-865F-4C04-B5FA-1C97FD86E0CC}</author>
    <author>tc={48D0B9FC-7EAA-414C-9695-7958BEC8F376}</author>
    <author>tc={0994E2F8-3384-46D6-A986-3703C8D346F8}</author>
    <author>tc={DB196BE1-7FA6-45F8-89BA-9F82AEF5B887}</author>
  </authors>
  <commentList>
    <comment ref="B34" authorId="0" shapeId="0" xr:uid="{8D6AE484-1B21-49E5-8AC1-28F52DD26472}">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95F44474-EAA8-467A-A099-5E55F48EB318}">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A9790D6F-C44F-49DF-8E7E-07238849EFFA}">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BEB64004-AC74-4CCA-A2DD-F1284E684A6D}">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73812714-865F-4C04-B5FA-1C97FD86E0CC}">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48D0B9FC-7EAA-414C-9695-7958BEC8F376}">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0994E2F8-3384-46D6-A986-3703C8D346F8}">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DB196BE1-7FA6-45F8-89BA-9F82AEF5B887}">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tc={547B1BA6-97AD-4D4A-AC85-AA8201C6FE30}</author>
  </authors>
  <commentList>
    <comment ref="A2" authorId="0" shapeId="0" xr:uid="{547B1BA6-97AD-4D4A-AC85-AA8201C6FE30}">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tc={B484FDF9-76DE-4DE1-BDD9-3BB42280BAE5}</author>
    <author>tc={009B0426-CA3F-41D2-ABB6-2B5881B40838}</author>
    <author>tc={B21DAD20-01A7-420E-A0B1-FF050BA85A92}</author>
    <author>tc={80B818D8-09FF-43DF-8845-4CF78D3B4DD2}</author>
    <author>tc={6D2CF11C-E238-4C12-8E77-915B8905C910}</author>
    <author>tc={543BEA8B-C99D-4A82-B1C9-EE49B14BE481}</author>
    <author>tc={D27C7D4E-B0D4-491C-A5DA-217B84B1AE64}</author>
  </authors>
  <commentList>
    <comment ref="F6" authorId="0" shapeId="0" xr:uid="{B484FDF9-76DE-4DE1-BDD9-3BB42280BAE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009B0426-CA3F-41D2-ABB6-2B5881B40838}">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B21DAD20-01A7-420E-A0B1-FF050BA85A9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80B818D8-09FF-43DF-8845-4CF78D3B4DD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6D2CF11C-E238-4C12-8E77-915B8905C910}">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543BEA8B-C99D-4A82-B1C9-EE49B14BE481}">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D27C7D4E-B0D4-491C-A5DA-217B84B1AE64}">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tc={9BD76A93-BC39-4504-86E4-B7A36CD05613}</author>
    <author>tc={2C2DC10C-3BFF-416E-86F5-A8A4111D09EA}</author>
    <author>tc={9105055C-5028-4E40-94A8-D51093D027C4}</author>
    <author>tc={27793204-8E4F-4679-B495-77763CFC7725}</author>
    <author>tc={27704783-6756-4E1D-BC80-AE9071A3FDC4}</author>
    <author>tc={567933F1-FF2F-4AF5-B7C8-6B8604BCE018}</author>
    <author>tc={C6BBD42D-A1E0-43F4-8491-EB5C0CA52C65}</author>
    <author>tc={374BA596-18E8-4C6D-8D20-9C8020AC8146}</author>
    <author>tc={87E969CA-4713-4920-B591-F78A224F8E32}</author>
    <author>tc={C4BEF18C-B10F-468F-A1C1-D207D6ED2EAC}</author>
    <author>tc={39EFD990-17AE-4DE1-8CAE-853BB366AB54}</author>
    <author>tc={B7FA5A4E-B333-47B6-99C6-0121788D2789}</author>
    <author>tc={EE5E68F2-BC77-4F69-B5F4-CB647F0AF316}</author>
    <author>tc={7CA94144-6C0E-4098-B755-CD1D1F39CD3D}</author>
    <author>tc={21C5B3CB-0B98-4156-A07A-41565D00E81C}</author>
    <author>tc={2A8AC3C1-4D99-49AB-BC3F-CE246088682F}</author>
    <author>tc={61EAC35A-C952-4F6A-88D5-2B4A98A42E19}</author>
    <author>tc={08C71520-9994-4335-AB70-76F2878ECACC}</author>
    <author>tc={05FA58C7-DE5B-46CC-A11C-14467E3A4BA6}</author>
    <author>tc={00A12F0F-33F6-4508-929E-ECFCB5451E38}</author>
  </authors>
  <commentList>
    <comment ref="F3" authorId="0" shapeId="0" xr:uid="{9BD76A93-BC39-4504-86E4-B7A36CD05613}">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2C2DC10C-3BFF-416E-86F5-A8A4111D09EA}">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9105055C-5028-4E40-94A8-D51093D027C4}">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27793204-8E4F-4679-B495-77763CFC772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27704783-6756-4E1D-BC80-AE9071A3FDC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567933F1-FF2F-4AF5-B7C8-6B8604BCE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6BBD42D-A1E0-43F4-8491-EB5C0CA52C6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374BA596-18E8-4C6D-8D20-9C8020AC814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7E969CA-4713-4920-B591-F78A224F8E3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C4BEF18C-B10F-468F-A1C1-D207D6ED2EA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39EFD990-17AE-4DE1-8CAE-853BB366AB5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B7FA5A4E-B333-47B6-99C6-0121788D278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EE5E68F2-BC77-4F69-B5F4-CB647F0AF31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7CA94144-6C0E-4098-B755-CD1D1F39CD3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21C5B3CB-0B98-4156-A07A-41565D00E81C}">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2A8AC3C1-4D99-49AB-BC3F-CE246088682F}">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61EAC35A-C952-4F6A-88D5-2B4A98A42E1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08C71520-9994-4335-AB70-76F2878ECAC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5FA58C7-DE5B-46CC-A11C-14467E3A4BA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0A12F0F-33F6-4508-929E-ECFCB5451E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tc={75198FC6-5629-4080-B24D-ED7738D58274}</author>
  </authors>
  <commentList>
    <comment ref="D3" authorId="0" shapeId="0" xr:uid="{75198FC6-5629-4080-B24D-ED7738D58274}">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sharedStrings.xml><?xml version="1.0" encoding="utf-8"?>
<sst xmlns="http://schemas.openxmlformats.org/spreadsheetml/2006/main" count="6039" uniqueCount="2423">
  <si>
    <t>Required Field</t>
  </si>
  <si>
    <t>Selective Disclosure</t>
  </si>
  <si>
    <t>Multiple Answers</t>
  </si>
  <si>
    <t>Schema Type</t>
  </si>
  <si>
    <t>Properties</t>
  </si>
  <si>
    <t>Parameter</t>
  </si>
  <si>
    <t>Question</t>
  </si>
  <si>
    <t>Answer</t>
  </si>
  <si>
    <t>Notes</t>
  </si>
  <si>
    <t>Project Details</t>
  </si>
  <si>
    <t>Yes</t>
  </si>
  <si>
    <t>No</t>
  </si>
  <si>
    <t>String</t>
  </si>
  <si>
    <t>N/A</t>
  </si>
  <si>
    <t>Summary of the Project Description</t>
  </si>
  <si>
    <t>The project activity has been essentially conceived to generate GHG emission free electricity by making use of available biomass at the project site to supply the electricity to the grid. The project being a renewable energy project leads to sustainable development through efficient utilization of available natural resources and generation of additional employment for the local stakeholders.</t>
  </si>
  <si>
    <t>ActivityImpactModule.projectScope</t>
  </si>
  <si>
    <t>Sectoral Scope</t>
  </si>
  <si>
    <t xml:space="preserve">1. Energy (renewable/non-renewable)
</t>
  </si>
  <si>
    <t>ActivityImpactModule.projectType</t>
  </si>
  <si>
    <t>Project Type</t>
  </si>
  <si>
    <t>Project Category: Renewable energy and Energy efficiency</t>
  </si>
  <si>
    <t>Type of Activity</t>
  </si>
  <si>
    <t xml:space="preserve">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 </t>
  </si>
  <si>
    <t>ActivityImpactModule.projectScale</t>
  </si>
  <si>
    <t>Project Scale</t>
  </si>
  <si>
    <t>Small-scale</t>
  </si>
  <si>
    <t>GeographicLocation.latitude</t>
  </si>
  <si>
    <t>Project Location Latitude</t>
  </si>
  <si>
    <t>84.2700° E</t>
  </si>
  <si>
    <t>GeographicLocation.longitude</t>
  </si>
  <si>
    <t>Project Location Longitude</t>
  </si>
  <si>
    <t>20.2376° N</t>
  </si>
  <si>
    <t>GeographicLocation.geoJsonOrKml</t>
  </si>
  <si>
    <t>Project Location GeoJSON (GeoJSON supports the following geometry types: Point, LineString, Polygon, MultiPoint, MultiLineString, MultiPolygon.)</t>
  </si>
  <si>
    <t>[20.276, -84.2700]</t>
  </si>
  <si>
    <t>Project Eligibility</t>
  </si>
  <si>
    <t>This is not a grouped project activity. Thus, this section is not applicable for this project</t>
  </si>
  <si>
    <t>AccountableImpactOrganization.attestations</t>
  </si>
  <si>
    <t>Project Participant Organization Name</t>
  </si>
  <si>
    <t>Grid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</si>
  <si>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</si>
  <si>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</si>
  <si>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</si>
  <si>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</si>
  <si>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</si>
  <si>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</si>
  <si>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</si>
  <si>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</si>
  <si>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</si>
  <si>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</si>
  <si>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</si>
  <si>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789-456-1234</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</si>
  <si>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</si>
  <si>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</si>
  <si>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</si>
  <si>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</si>
  <si>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</si>
  <si>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</si>
  <si>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</si>
  <si>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</si>
  <si>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</si>
  <si>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</si>
  <si>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ACM0018</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</si>
  <si>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</si>
  <si>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</si>
  <si>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</si>
  <si>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</si>
  <si>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</si>
  <si>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</si>
  <si>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</si>
  <si>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</si>
  <si>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</si>
  <si>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</si>
  <si>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ACM0018</t>
  </si>
  <si>
    <t>Compliance with Laws, Statutes and Other Regulatory Frameworks</t>
  </si>
  <si>
    <t>The Project activity conforms to all the applicable laws and regulations in India.</t>
  </si>
  <si>
    <t>CoBenefit.unSdg</t>
  </si>
  <si>
    <t>Sustainable development</t>
  </si>
  <si>
    <t>SDG 3, SDG 13</t>
  </si>
  <si>
    <t>Further Information</t>
  </si>
  <si>
    <t>n/a</t>
  </si>
  <si>
    <t>Determination of biogas scenario</t>
  </si>
  <si>
    <t>no</t>
  </si>
  <si>
    <t>if/then</t>
  </si>
  <si>
    <t>Is the proposed project activity including the use of biogas?</t>
  </si>
  <si>
    <t xml:space="preserve">If yes move to following queastion
If no move to the rest of the methodology
</t>
  </si>
  <si>
    <t>If yes:</t>
  </si>
  <si>
    <r>
      <rPr>
        <sz val="12"/>
        <color rgb="FF000000"/>
        <rFont val="Calibri"/>
        <scheme val="minor"/>
      </rPr>
      <t xml:space="preserve">Please choose which baseline alternative scenario applies to the project activity:
</t>
    </r>
    <r>
      <rPr>
        <b/>
        <sz val="12"/>
        <color rgb="FF000000"/>
        <rFont val="Calibri"/>
        <scheme val="minor"/>
      </rPr>
      <t>B1:</t>
    </r>
    <r>
      <rPr>
        <sz val="12"/>
        <color rgb="FF000000"/>
        <rFont val="Calibri"/>
        <scheme val="minor"/>
      </rPr>
      <t xml:space="preserve"> No biogas would be generated and wastewater would not be treated by anaerobic digestion
</t>
    </r>
    <r>
      <rPr>
        <b/>
        <sz val="12"/>
        <color rgb="FF000000"/>
        <rFont val="Calibri"/>
        <scheme val="minor"/>
      </rPr>
      <t>B2:</t>
    </r>
    <r>
      <rPr>
        <sz val="12"/>
        <color rgb="FF000000"/>
        <rFont val="Calibri"/>
        <scheme val="minor"/>
      </rPr>
      <t xml:space="preserve"> Biogas is captured and flared
</t>
    </r>
    <r>
      <rPr>
        <b/>
        <sz val="12"/>
        <color rgb="FF000000"/>
        <rFont val="Calibri"/>
        <scheme val="minor"/>
      </rPr>
      <t>B3:</t>
    </r>
    <r>
      <rPr>
        <sz val="12"/>
        <color rgb="FF000000"/>
        <rFont val="Calibri"/>
        <scheme val="minor"/>
      </rPr>
      <t xml:space="preserve"> Biogas is captured and used to produce electricity and/or thermal energy
</t>
    </r>
    <r>
      <rPr>
        <b/>
        <sz val="12"/>
        <color rgb="FF000000"/>
        <rFont val="Calibri"/>
        <scheme val="minor"/>
      </rPr>
      <t>B4:</t>
    </r>
    <r>
      <rPr>
        <sz val="12"/>
        <color rgb="FF000000"/>
        <rFont val="Calibri"/>
        <scheme val="minor"/>
      </rPr>
      <t xml:space="preserve"> Biogas is captured and used as feedstock or transportation fuel
</t>
    </r>
    <r>
      <rPr>
        <b/>
        <sz val="12"/>
        <color rgb="FF000000"/>
        <rFont val="Calibri"/>
        <scheme val="minor"/>
      </rPr>
      <t>B5:</t>
    </r>
    <r>
      <rPr>
        <sz val="12"/>
        <color rgb="FF000000"/>
        <rFont val="Calibri"/>
        <scheme val="minor"/>
      </rPr>
      <t xml:space="preserve"> The biomass residues are used for electricity generation in power-only plant configuration at the project site in new and/or existing power plants</t>
    </r>
  </si>
  <si>
    <t>B5</t>
  </si>
  <si>
    <t>Emission reductions</t>
  </si>
  <si>
    <t>Auto-Calculate</t>
  </si>
  <si>
    <t>ImpactClaim.quantity</t>
  </si>
  <si>
    <r>
      <t>ER</t>
    </r>
    <r>
      <rPr>
        <vertAlign val="subscript"/>
        <sz val="20"/>
        <color theme="1"/>
        <rFont val="Calibri"/>
        <family val="2"/>
        <scheme val="minor"/>
      </rPr>
      <t>y</t>
    </r>
  </si>
  <si>
    <t>Emission reductions in year y (t CO2e/yr)</t>
  </si>
  <si>
    <t>ImpactClaimCheckpoint.efBefore</t>
  </si>
  <si>
    <r>
      <t>BE</t>
    </r>
    <r>
      <rPr>
        <vertAlign val="subscript"/>
        <sz val="20"/>
        <color theme="1"/>
        <rFont val="Calibri"/>
        <family val="2"/>
        <scheme val="minor"/>
      </rPr>
      <t>y</t>
    </r>
  </si>
  <si>
    <t xml:space="preserve">Baseline emissions in year y (t CO2/yr) </t>
  </si>
  <si>
    <t>ImpactClaimCheckpoint.efAfter</t>
  </si>
  <si>
    <r>
      <t>PE</t>
    </r>
    <r>
      <rPr>
        <vertAlign val="subscript"/>
        <sz val="20"/>
        <color theme="1"/>
        <rFont val="Calibri"/>
        <family val="2"/>
        <scheme val="minor"/>
      </rPr>
      <t>y</t>
    </r>
  </si>
  <si>
    <t xml:space="preserve">Project emissions in year y (t CO2e/yr) </t>
  </si>
  <si>
    <r>
      <t>LE</t>
    </r>
    <r>
      <rPr>
        <vertAlign val="subscript"/>
        <sz val="20"/>
        <color theme="1"/>
        <rFont val="Calibri"/>
        <family val="2"/>
        <scheme val="minor"/>
      </rPr>
      <t>y</t>
    </r>
  </si>
  <si>
    <t xml:space="preserve">Leakage emissions during year y (t CO2) </t>
  </si>
  <si>
    <t>Pulled from Tool 16, also see Leakage section below</t>
  </si>
  <si>
    <t>Baseline Emissions</t>
  </si>
  <si>
    <r>
      <t>BE</t>
    </r>
    <r>
      <rPr>
        <vertAlign val="subscript"/>
        <sz val="18"/>
        <color theme="1"/>
        <rFont val="Calibri"/>
        <family val="2"/>
        <scheme val="minor"/>
      </rPr>
      <t>y</t>
    </r>
  </si>
  <si>
    <t xml:space="preserve"> Baseline emissions in year y (tCO2/yr)</t>
  </si>
  <si>
    <r>
      <t>BE</t>
    </r>
    <r>
      <rPr>
        <vertAlign val="subscript"/>
        <sz val="18"/>
        <color theme="1"/>
        <rFont val="Calibri"/>
        <family val="2"/>
        <scheme val="minor"/>
      </rPr>
      <t>EL,y</t>
    </r>
  </si>
  <si>
    <t xml:space="preserve">Baseline emissions due to generation of electricity in year y (t CO2) </t>
  </si>
  <si>
    <r>
      <t>BE</t>
    </r>
    <r>
      <rPr>
        <vertAlign val="subscript"/>
        <sz val="18"/>
        <color theme="1"/>
        <rFont val="Calibri"/>
        <family val="2"/>
        <scheme val="minor"/>
      </rPr>
      <t>BR,y</t>
    </r>
  </si>
  <si>
    <t xml:space="preserve">Baseline emissions due to uncontrolled burning or decay of biomass residues in year y (t CO2e) </t>
  </si>
  <si>
    <t>(Optional to include these emissions, see section Step 2 below)</t>
  </si>
  <si>
    <t xml:space="preserve">Step 1 : Determination of BEEL,y </t>
  </si>
  <si>
    <r>
      <t>EG</t>
    </r>
    <r>
      <rPr>
        <vertAlign val="subscript"/>
        <sz val="18"/>
        <color theme="1"/>
        <rFont val="Calibri"/>
        <family val="2"/>
        <scheme val="minor"/>
      </rPr>
      <t>PJ,y</t>
    </r>
  </si>
  <si>
    <t xml:space="preserve">Net quantity of electricity generated in all power plants which are located at the project site and included in the project boundary in year y (MWh) </t>
  </si>
  <si>
    <r>
      <t>EF</t>
    </r>
    <r>
      <rPr>
        <vertAlign val="subscript"/>
        <sz val="18"/>
        <color theme="1"/>
        <rFont val="Calibri"/>
        <family val="2"/>
        <scheme val="minor"/>
      </rPr>
      <t>BL,EL,y</t>
    </r>
  </si>
  <si>
    <t xml:space="preserve">Emission factor for electricity generation in the baseline in year y (t CO2/MWh) </t>
  </si>
  <si>
    <t xml:space="preserve">Step 1.1 : Determination of EGPJ,y </t>
  </si>
  <si>
    <t>yes</t>
  </si>
  <si>
    <t>Number</t>
  </si>
  <si>
    <r>
      <t>EG</t>
    </r>
    <r>
      <rPr>
        <vertAlign val="subscript"/>
        <sz val="18"/>
        <color theme="1"/>
        <rFont val="Calibri"/>
        <family val="2"/>
        <scheme val="minor"/>
      </rPr>
      <t>PJ,gross,y</t>
    </r>
  </si>
  <si>
    <t xml:space="preserve">Gross quantity of electricity generated in all power plants which are located at the project site and included in the project boundary in year y (MWh) </t>
  </si>
  <si>
    <r>
      <t>EG</t>
    </r>
    <r>
      <rPr>
        <vertAlign val="subscript"/>
        <sz val="18"/>
        <color theme="1"/>
        <rFont val="Calibri"/>
        <family val="2"/>
        <scheme val="minor"/>
      </rPr>
      <t>PJ,aux,y</t>
    </r>
  </si>
  <si>
    <t xml:space="preserve">Total auxiliary electricity consumption required for the operation of the power plants at the project site (MWh) </t>
  </si>
  <si>
    <t xml:space="preserve">Step 1.2 : Determination of EFBL,EL,y </t>
  </si>
  <si>
    <r>
      <t>EG</t>
    </r>
    <r>
      <rPr>
        <vertAlign val="subscript"/>
        <sz val="18"/>
        <color theme="1"/>
        <rFont val="Calibri"/>
        <family val="2"/>
        <scheme val="minor"/>
      </rPr>
      <t>BL,BR,y</t>
    </r>
  </si>
  <si>
    <t xml:space="preserve">Amount of electricity that would be generated with biomass residues in power-only plants operated at the project site in the baseline in year y (MWh) </t>
  </si>
  <si>
    <r>
      <t>EG</t>
    </r>
    <r>
      <rPr>
        <vertAlign val="subscript"/>
        <sz val="18"/>
        <color theme="1"/>
        <rFont val="Calibri"/>
        <family val="2"/>
        <scheme val="minor"/>
      </rPr>
      <t>BL,FF,y</t>
    </r>
  </si>
  <si>
    <t xml:space="preserve">Minimum amount of electricity that would be generated with fossil fuels at the project site in the baseline in year y (MWh) </t>
  </si>
  <si>
    <r>
      <t>EG</t>
    </r>
    <r>
      <rPr>
        <vertAlign val="subscript"/>
        <sz val="18"/>
        <color theme="1"/>
        <rFont val="Calibri"/>
        <family val="2"/>
        <scheme val="minor"/>
      </rPr>
      <t>BL,grid,y</t>
    </r>
  </si>
  <si>
    <t>Minimum amount of electricity that would be generated by power plants in the electricity grid in the baseline in year y (MWh)</t>
  </si>
  <si>
    <r>
      <t>EG</t>
    </r>
    <r>
      <rPr>
        <vertAlign val="subscript"/>
        <sz val="18"/>
        <color theme="1"/>
        <rFont val="Calibri"/>
        <family val="2"/>
        <scheme val="minor"/>
      </rPr>
      <t>BL,FF/grid,y</t>
    </r>
  </si>
  <si>
    <t xml:space="preserve">Amount of electricity that could be generated in the baseline either by power plants in the electricity grid or by power plants at the project site using fossil fuels in year y (MWh) </t>
  </si>
  <si>
    <r>
      <t>EF</t>
    </r>
    <r>
      <rPr>
        <vertAlign val="subscript"/>
        <sz val="18"/>
        <color theme="1"/>
        <rFont val="Calibri"/>
        <family val="2"/>
        <scheme val="minor"/>
      </rPr>
      <t>grid,CM,y</t>
    </r>
  </si>
  <si>
    <t xml:space="preserve">Combined margin CO2 emission factor for grid-connected electricity generation in year y (t CO2/MWh) </t>
  </si>
  <si>
    <r>
      <t>EF</t>
    </r>
    <r>
      <rPr>
        <vertAlign val="subscript"/>
        <sz val="18"/>
        <color theme="1"/>
        <rFont val="Calibri"/>
        <family val="2"/>
        <scheme val="minor"/>
      </rPr>
      <t>BL,FF,y</t>
    </r>
  </si>
  <si>
    <t xml:space="preserve">CO2 emission factor for electricity generation with fossil fuels in power plant(s) at the project site in the baseline in year y (t CO2/MWh) </t>
  </si>
  <si>
    <t xml:space="preserve">Step 1.3 : Determination of EGBL,BR,y </t>
  </si>
  <si>
    <t xml:space="preserve">Does project scenario apply to biomass residue categories? </t>
  </si>
  <si>
    <t xml:space="preserve">If yes then Case 1 applies : No power generation with biomass residues in the baseline (EGBL,BR,y = 0)
If no then Case 2 applies: Power generation with biomass residues in the baseline (Equation in Cell 60)
</t>
  </si>
  <si>
    <r>
      <t>n</t>
    </r>
    <r>
      <rPr>
        <vertAlign val="subscript"/>
        <sz val="18"/>
        <color theme="1"/>
        <rFont val="Calibri"/>
        <family val="2"/>
        <scheme val="minor"/>
      </rPr>
      <t>BL,BR,p</t>
    </r>
  </si>
  <si>
    <t>Efficiency of electricity generation of baseline power plant p if fired only with biomass residues and not with fossil fuels (ratio)</t>
  </si>
  <si>
    <r>
      <t xml:space="preserve">Sum of all values taken from "Click to Add Values" sheet
Shall be calculated for each power plant </t>
    </r>
    <r>
      <rPr>
        <i/>
        <sz val="12"/>
        <color rgb="FF000000"/>
        <rFont val="Calibri"/>
        <family val="2"/>
        <scheme val="minor"/>
      </rPr>
      <t>p</t>
    </r>
    <r>
      <rPr>
        <sz val="12"/>
        <color rgb="FF000000"/>
        <rFont val="Calibri"/>
        <family val="2"/>
        <scheme val="minor"/>
      </rPr>
      <t xml:space="preserve"> with </t>
    </r>
    <r>
      <rPr>
        <b/>
        <sz val="12"/>
        <color rgb="FF000000"/>
        <rFont val="Calibri"/>
        <family val="2"/>
        <scheme val="minor"/>
      </rPr>
      <t>TOOL 09</t>
    </r>
  </si>
  <si>
    <r>
      <t>NCV</t>
    </r>
    <r>
      <rPr>
        <vertAlign val="subscript"/>
        <sz val="18"/>
        <color theme="1"/>
        <rFont val="Calibri"/>
        <family val="2"/>
        <scheme val="minor"/>
      </rPr>
      <t>n,y</t>
    </r>
  </si>
  <si>
    <t xml:space="preserve">Net calorific value of biomass residues of category n in year y (GJ/tonnes on dry-basis) </t>
  </si>
  <si>
    <t>Sum of all values taken from "Click to Add Values" sheet</t>
  </si>
  <si>
    <r>
      <t>BR</t>
    </r>
    <r>
      <rPr>
        <vertAlign val="subscript"/>
        <sz val="18"/>
        <color theme="1"/>
        <rFont val="Calibri"/>
        <family val="2"/>
        <scheme val="minor"/>
      </rPr>
      <t>BL,n,p,y</t>
    </r>
  </si>
  <si>
    <t xml:space="preserve">Quantity of biomass residues of category n that would be fired in power-only plant p in the baseline in year y (tonnes on dry-basis) </t>
  </si>
  <si>
    <t>Step 1.4 : Determination of EGBL,FF,y</t>
  </si>
  <si>
    <r>
      <rPr>
        <sz val="12"/>
        <color rgb="FF000000"/>
        <rFont val="Calibri"/>
        <scheme val="minor"/>
      </rPr>
      <t xml:space="preserve">Choose which case applies to the project:
</t>
    </r>
    <r>
      <rPr>
        <b/>
        <sz val="12"/>
        <color rgb="FF000000"/>
        <rFont val="Calibri"/>
        <scheme val="minor"/>
      </rPr>
      <t xml:space="preserve">Case 1: </t>
    </r>
    <r>
      <rPr>
        <sz val="12"/>
        <color rgb="FF000000"/>
        <rFont val="Calibri"/>
        <scheme val="minor"/>
      </rPr>
      <t xml:space="preserve">No use of fossil fuels in the baseline 
</t>
    </r>
    <r>
      <rPr>
        <b/>
        <sz val="12"/>
        <color rgb="FF000000"/>
        <rFont val="Calibri"/>
        <scheme val="minor"/>
      </rPr>
      <t xml:space="preserve">Case 2: </t>
    </r>
    <r>
      <rPr>
        <sz val="12"/>
        <color rgb="FF000000"/>
        <rFont val="Calibri"/>
        <scheme val="minor"/>
      </rPr>
      <t xml:space="preserve">No connection to the electricity grid
</t>
    </r>
    <r>
      <rPr>
        <b/>
        <sz val="12"/>
        <color rgb="FF000000"/>
        <rFont val="Calibri"/>
        <scheme val="minor"/>
      </rPr>
      <t xml:space="preserve">Case 3: </t>
    </r>
    <r>
      <rPr>
        <sz val="12"/>
        <color rgb="FF000000"/>
        <rFont val="Calibri"/>
        <scheme val="minor"/>
      </rPr>
      <t xml:space="preserve">Grid connection and historical use of fossil fuels
</t>
    </r>
    <r>
      <rPr>
        <b/>
        <sz val="12"/>
        <color rgb="FF000000"/>
        <rFont val="Calibri"/>
        <scheme val="minor"/>
      </rPr>
      <t xml:space="preserve">Case 4: </t>
    </r>
    <r>
      <rPr>
        <sz val="12"/>
        <color rgb="FF000000"/>
        <rFont val="Calibri"/>
        <scheme val="minor"/>
      </rPr>
      <t xml:space="preserve">Grid connection, no historical use of fossil fuels, and construction of a new power plant (co-)fired with fossil fuels in the baseline scenario </t>
    </r>
  </si>
  <si>
    <t>Case 4</t>
  </si>
  <si>
    <t xml:space="preserve">If Case 1 applies : then EGBL,FF,y = 0.
If Case 2 applies : then EGBL,FF,y = Egpj,y−EGbl,br,y
If Case 3 applies : Move to following question
If Case 4 applies : then EGBL,FF,y = 0.
</t>
  </si>
  <si>
    <t>Only if "Case 3" is chosen:</t>
  </si>
  <si>
    <t>Were biomass residues used for electricity generation at the project site prior to the implementation of the project activity?</t>
  </si>
  <si>
    <t xml:space="preserve">If Yes then values for "EGff,x" will be auto-calculated based on the MIN three values below
If No then values for "EGff,x" must be manually inputted by the Project Participant </t>
  </si>
  <si>
    <t>All cases and their corresponding equation/value are in this answer cell.</t>
  </si>
  <si>
    <t>(This value is pulled from Section 1.1 above)</t>
  </si>
  <si>
    <t>(This value is pulled from Section 1.3 above)</t>
  </si>
  <si>
    <r>
      <t>EG</t>
    </r>
    <r>
      <rPr>
        <vertAlign val="subscript"/>
        <sz val="18"/>
        <color theme="1"/>
        <rFont val="Calibri"/>
        <family val="2"/>
        <scheme val="minor"/>
      </rPr>
      <t>FF,x</t>
    </r>
  </si>
  <si>
    <t>Electricity generation with fossil fuels in power plant(s) operated in year x at the project site and included in the project boundary (MWh/yr)</t>
  </si>
  <si>
    <t>(Used for Case 3, value taken from "Click to Add Values" sheet)</t>
  </si>
  <si>
    <r>
      <t>EG</t>
    </r>
    <r>
      <rPr>
        <vertAlign val="subscript"/>
        <sz val="18"/>
        <color theme="1"/>
        <rFont val="Calibri"/>
        <family val="2"/>
        <scheme val="minor"/>
      </rPr>
      <t>FF,x-1</t>
    </r>
  </si>
  <si>
    <t xml:space="preserve">Electricity generation with fossil fuels in power plant(s) operated in year x-1 at the project site and included in the project boundary (MWh/yr) </t>
  </si>
  <si>
    <r>
      <t>EG</t>
    </r>
    <r>
      <rPr>
        <vertAlign val="subscript"/>
        <sz val="18"/>
        <color theme="1"/>
        <rFont val="Calibri"/>
        <family val="2"/>
        <scheme val="minor"/>
      </rPr>
      <t>FF,x-2</t>
    </r>
  </si>
  <si>
    <t xml:space="preserve">Electricity generation with fossil fuels in power plant(s) operated in year x-2 at the project site and included in the project boundary (MWh/yr) </t>
  </si>
  <si>
    <t>Step 1.5: Determination of EGBL,grid,y</t>
  </si>
  <si>
    <r>
      <rPr>
        <sz val="12"/>
        <color rgb="FF000000"/>
        <rFont val="Calibri"/>
        <scheme val="minor"/>
      </rPr>
      <t xml:space="preserve">Choose which case applies to the project:
</t>
    </r>
    <r>
      <rPr>
        <b/>
        <sz val="12"/>
        <color rgb="FF000000"/>
        <rFont val="Calibri"/>
        <scheme val="minor"/>
      </rPr>
      <t>Case 1: A</t>
    </r>
    <r>
      <rPr>
        <sz val="12"/>
        <color rgb="FF000000"/>
        <rFont val="Calibri"/>
        <scheme val="minor"/>
      </rPr>
      <t xml:space="preserve">ll power plants included in the project boundary are off-grid power plants
</t>
    </r>
    <r>
      <rPr>
        <b/>
        <sz val="12"/>
        <color rgb="FF000000"/>
        <rFont val="Calibri"/>
        <scheme val="minor"/>
      </rPr>
      <t xml:space="preserve">Case 2: </t>
    </r>
    <r>
      <rPr>
        <sz val="12"/>
        <color rgb="FF000000"/>
        <rFont val="Calibri"/>
        <scheme val="minor"/>
      </rPr>
      <t xml:space="preserve">No electricity generation at the project site in the baseline
</t>
    </r>
    <r>
      <rPr>
        <b/>
        <sz val="12"/>
        <color rgb="FF000000"/>
        <rFont val="Calibri"/>
        <scheme val="minor"/>
      </rPr>
      <t>Case 3:</t>
    </r>
    <r>
      <rPr>
        <sz val="12"/>
        <color rgb="FF000000"/>
        <rFont val="Calibri"/>
        <scheme val="minor"/>
      </rPr>
      <t xml:space="preserve"> Use of only biomass residues for electricity generation at the project site in the baseline
</t>
    </r>
    <r>
      <rPr>
        <b/>
        <sz val="12"/>
        <color rgb="FF000000"/>
        <rFont val="Calibri"/>
        <scheme val="minor"/>
      </rPr>
      <t xml:space="preserve">Case 4: </t>
    </r>
    <r>
      <rPr>
        <sz val="12"/>
        <color rgb="FF000000"/>
        <rFont val="Calibri"/>
        <scheme val="minor"/>
      </rPr>
      <t xml:space="preserve">Use of only fossil fuels for electricity generation at the project site in the baseline 
</t>
    </r>
    <r>
      <rPr>
        <b/>
        <sz val="12"/>
        <color rgb="FF000000"/>
        <rFont val="Calibri"/>
        <scheme val="minor"/>
      </rPr>
      <t>Case 5:</t>
    </r>
    <r>
      <rPr>
        <sz val="12"/>
        <color rgb="FF000000"/>
        <rFont val="Calibri"/>
        <scheme val="minor"/>
      </rPr>
      <t xml:space="preserve"> Use of fossil fuels and biomass residues for electricity generation at the project site in the baseline </t>
    </r>
  </si>
  <si>
    <r>
      <t>If Case 1 applies : EG</t>
    </r>
    <r>
      <rPr>
        <vertAlign val="subscript"/>
        <sz val="14"/>
        <color rgb="FF000000"/>
        <rFont val="Calibri"/>
        <family val="2"/>
        <scheme val="minor"/>
      </rPr>
      <t xml:space="preserve">BL,grid,y </t>
    </r>
    <r>
      <rPr>
        <sz val="14"/>
        <color rgb="FF000000"/>
        <rFont val="Calibri"/>
        <family val="2"/>
        <scheme val="minor"/>
      </rPr>
      <t>= 0
If Case 2 applies : EG</t>
    </r>
    <r>
      <rPr>
        <vertAlign val="subscript"/>
        <sz val="14"/>
        <color rgb="FF000000"/>
        <rFont val="Calibri"/>
        <family val="2"/>
        <scheme val="minor"/>
      </rPr>
      <t xml:space="preserve">BL,grid,y </t>
    </r>
    <r>
      <rPr>
        <sz val="14"/>
        <color rgb="FF000000"/>
        <rFont val="Calibri"/>
        <family val="2"/>
        <scheme val="minor"/>
      </rPr>
      <t>= EG</t>
    </r>
    <r>
      <rPr>
        <vertAlign val="subscript"/>
        <sz val="14"/>
        <color rgb="FF000000"/>
        <rFont val="Calibri"/>
        <family val="2"/>
        <scheme val="minor"/>
      </rPr>
      <t>PJ,y</t>
    </r>
    <r>
      <rPr>
        <sz val="14"/>
        <color rgb="FF000000"/>
        <rFont val="Calibri"/>
        <family val="2"/>
        <scheme val="minor"/>
      </rPr>
      <t xml:space="preserve">
If Case 3 applies : EG</t>
    </r>
    <r>
      <rPr>
        <vertAlign val="subscript"/>
        <sz val="14"/>
        <color rgb="FF000000"/>
        <rFont val="Calibri"/>
        <family val="2"/>
        <scheme val="minor"/>
      </rPr>
      <t>BL,grid,y</t>
    </r>
    <r>
      <rPr>
        <sz val="14"/>
        <color rgb="FF000000"/>
        <rFont val="Calibri"/>
        <family val="2"/>
        <scheme val="minor"/>
      </rPr>
      <t xml:space="preserve"> = EG</t>
    </r>
    <r>
      <rPr>
        <vertAlign val="subscript"/>
        <sz val="14"/>
        <color rgb="FF000000"/>
        <rFont val="Calibri"/>
        <family val="2"/>
        <scheme val="minor"/>
      </rPr>
      <t>PJ,y</t>
    </r>
    <r>
      <rPr>
        <sz val="14"/>
        <color rgb="FF000000"/>
        <rFont val="Calibri"/>
        <family val="2"/>
        <scheme val="minor"/>
      </rPr>
      <t xml:space="preserve"> - EG</t>
    </r>
    <r>
      <rPr>
        <vertAlign val="subscript"/>
        <sz val="14"/>
        <color rgb="FF000000"/>
        <rFont val="Calibri"/>
        <family val="2"/>
        <scheme val="minor"/>
      </rPr>
      <t>BL,BR,y</t>
    </r>
    <r>
      <rPr>
        <sz val="14"/>
        <color rgb="FF000000"/>
        <rFont val="Calibri"/>
        <family val="2"/>
        <scheme val="minor"/>
      </rPr>
      <t xml:space="preserve">
If Case 4 applies : EGBL,grid,y = 0 (if EGPJ,y &lt;= EGBL,MAX,FF,Y) OR EGPJ,y - EGBL,MAX,FF,Y (if EGPJ,y &gt; EGBL,MAX,FF,Y)
If Case 5 applies : Move to follow up question to determine equation used
</t>
    </r>
  </si>
  <si>
    <t>Only if "Case 5" is chosen:</t>
  </si>
  <si>
    <r>
      <rPr>
        <sz val="12"/>
        <color rgb="FF000000"/>
        <rFont val="Calibri"/>
        <scheme val="minor"/>
      </rPr>
      <t xml:space="preserve">Please choose which scenario applies to the project activity:
</t>
    </r>
    <r>
      <rPr>
        <b/>
        <u/>
        <sz val="12"/>
        <color rgb="FF000000"/>
        <rFont val="Calibri"/>
        <scheme val="minor"/>
      </rPr>
      <t>Scenario A:</t>
    </r>
    <r>
      <rPr>
        <sz val="12"/>
        <color rgb="FF000000"/>
        <rFont val="Calibri"/>
        <scheme val="minor"/>
      </rPr>
      <t xml:space="preserve"> Use of all biomass residues in co-fired heat generator(s)
</t>
    </r>
    <r>
      <rPr>
        <b/>
        <u/>
        <sz val="12"/>
        <color rgb="FF000000"/>
        <rFont val="Calibri"/>
        <scheme val="minor"/>
      </rPr>
      <t>Scenario B:</t>
    </r>
    <r>
      <rPr>
        <sz val="12"/>
        <color rgb="FF000000"/>
        <rFont val="Calibri"/>
        <scheme val="minor"/>
      </rPr>
      <t xml:space="preserve"> Use of all biomass residues in biomass residues only heat generator(s)
</t>
    </r>
    <r>
      <rPr>
        <b/>
        <u/>
        <sz val="12"/>
        <color rgb="FF000000"/>
        <rFont val="Calibri"/>
        <scheme val="minor"/>
      </rPr>
      <t>Scenario C:</t>
    </r>
    <r>
      <rPr>
        <sz val="12"/>
        <color rgb="FF000000"/>
        <rFont val="Calibri"/>
        <scheme val="minor"/>
      </rPr>
      <t xml:space="preserve"> Use of biomass residues in both biomass residues only heat generator(s) and co-fired heat generator(s)</t>
    </r>
  </si>
  <si>
    <t>Scenario C</t>
  </si>
  <si>
    <t xml:space="preserve">Minimum amount of electricity that would be generated by power plants in the electricity grid in the baseline in year y (MWh/yr) </t>
  </si>
  <si>
    <r>
      <t>EG</t>
    </r>
    <r>
      <rPr>
        <vertAlign val="subscript"/>
        <sz val="18"/>
        <color theme="1"/>
        <rFont val="Calibri"/>
        <family val="2"/>
        <scheme val="minor"/>
      </rPr>
      <t>BL,MAX,FF,y</t>
    </r>
  </si>
  <si>
    <t xml:space="preserve">Maximum amount of electricity that could be generated with fossil fuels at the project site in the baseline (MWh/yr) </t>
  </si>
  <si>
    <t>(Used for Case 4 and 5)</t>
  </si>
  <si>
    <r>
      <t>EG</t>
    </r>
    <r>
      <rPr>
        <vertAlign val="subscript"/>
        <sz val="18"/>
        <color theme="1"/>
        <rFont val="Calibri"/>
        <family val="2"/>
        <scheme val="minor"/>
      </rPr>
      <t>BL,MAX,FF/BR,y</t>
    </r>
  </si>
  <si>
    <t xml:space="preserve">Maximum amount of electricity that could be generated with fossil fuels and any co-firing of biomass residues at the project site in the baseline in year y (MWh/yr) </t>
  </si>
  <si>
    <t>(Used for Case 5)</t>
  </si>
  <si>
    <r>
      <t>EG</t>
    </r>
    <r>
      <rPr>
        <vertAlign val="subscript"/>
        <sz val="18"/>
        <color theme="1"/>
        <rFont val="Calibri"/>
        <family val="2"/>
        <scheme val="minor"/>
      </rPr>
      <t>BL,BR,only,y</t>
    </r>
  </si>
  <si>
    <t xml:space="preserve">Amount of electricity that would be generated with biomassresidue-only heat generators at the project site in the baseline in year y (MWh/yr) </t>
  </si>
  <si>
    <t>(Used for Case 5, Scenario C)</t>
  </si>
  <si>
    <t>Step 1.5.6 (If case 4 and 5 applies above) Determination of EGBL,MAX,FF,y</t>
  </si>
  <si>
    <r>
      <t>CAP</t>
    </r>
    <r>
      <rPr>
        <vertAlign val="subscript"/>
        <sz val="18"/>
        <color theme="1"/>
        <rFont val="Calibri"/>
        <family val="2"/>
        <scheme val="minor"/>
      </rPr>
      <t>FF,p</t>
    </r>
  </si>
  <si>
    <t>Maximum electricity generation capacity of baseline power plant p if fired only with fossil fuels (MW)</t>
  </si>
  <si>
    <r>
      <t>LF</t>
    </r>
    <r>
      <rPr>
        <vertAlign val="subscript"/>
        <sz val="18"/>
        <color theme="1"/>
        <rFont val="Calibri"/>
        <family val="2"/>
        <scheme val="minor"/>
      </rPr>
      <t>p</t>
    </r>
  </si>
  <si>
    <t xml:space="preserve">Load factor of of baseline power plant p (ratio) </t>
  </si>
  <si>
    <t>Step 1.5.7 (If case 5(c) applies above) Determination of EGBL,MAX,FF/BR,y</t>
  </si>
  <si>
    <t>Maximum amount of electricity that could be generated with fossil fuels and any co-firing of biomass residues at the project site in the baseline in year y (MWh/yr</t>
  </si>
  <si>
    <r>
      <t>CAP</t>
    </r>
    <r>
      <rPr>
        <vertAlign val="subscript"/>
        <sz val="18"/>
        <color theme="1"/>
        <rFont val="Calibri"/>
        <family val="2"/>
        <scheme val="minor"/>
      </rPr>
      <t>FF/BR,p</t>
    </r>
  </si>
  <si>
    <t xml:space="preserve">Maximum electricity generation capacity of baseline power plant p in year y if fossil-fuel-only heat generators and co-fired heat generators are used (MW) </t>
  </si>
  <si>
    <t>Step 1.6 Determination of EGBL,FF/grid,y</t>
  </si>
  <si>
    <t xml:space="preserve">Electricity generated in power plants included in the project boundary in year y (MWh) </t>
  </si>
  <si>
    <t>(This value is pulled from Section 1.4 above)</t>
  </si>
  <si>
    <t>(This value is pulled from Section 1.5 above)</t>
  </si>
  <si>
    <t>Step 1.7 Determination of EFBL,FF,y</t>
  </si>
  <si>
    <t>Choose which Option to use for the determination of the CO2 emission factor for electricity generation with fossil fuels in power plants:
(Please note: If fossil fuel power plants were operated at the project site prior to the implementation of the project activity, either Option A or Option B can be used to determine EFBL,FF,y. 
For new power plants that would be constructed at the project site in the baseline scenario, Option B shall be used.)</t>
  </si>
  <si>
    <t>Option B</t>
  </si>
  <si>
    <t>If Option A: the value will be calculated using Scenario B in TOOL 05
If Option B: the value will be calculated using the equation in Cell G120</t>
  </si>
  <si>
    <r>
      <t>EF</t>
    </r>
    <r>
      <rPr>
        <vertAlign val="subscript"/>
        <sz val="18"/>
        <color theme="1"/>
        <rFont val="Calibri"/>
        <family val="2"/>
        <scheme val="minor"/>
      </rPr>
      <t>BL,CO2,FF</t>
    </r>
  </si>
  <si>
    <t xml:space="preserve">CO2 emission factor of the fossil fuel type that would be used for power generation at the project site in the baseline (t CO2/GJ) </t>
  </si>
  <si>
    <t>(Only required if Option B is chosen)</t>
  </si>
  <si>
    <r>
      <t>n</t>
    </r>
    <r>
      <rPr>
        <vertAlign val="subscript"/>
        <sz val="18"/>
        <color theme="1"/>
        <rFont val="Calibri"/>
        <family val="2"/>
        <scheme val="minor"/>
      </rPr>
      <t>BL,FF</t>
    </r>
  </si>
  <si>
    <t xml:space="preserve">Efficiency of the fossil fuel power plant(s) at the project site in the baseline </t>
  </si>
  <si>
    <t>Step 1.8 Determination of EFgrid,CM,y</t>
  </si>
  <si>
    <t>Shall be calculated using the combined margin CO2 emission factor from TOOL 07</t>
  </si>
  <si>
    <t>Step 2: Determination of baseline emissions due to uncontrolled burning or decay of biomass residues (BEBR,y)</t>
  </si>
  <si>
    <t>The calculation of baseline emissions due to uncontrolled burning or decay of biomass residues is optional, do you wish to include these emission sources?</t>
  </si>
  <si>
    <t>If Yes : then Project Participant must include values to use for equation below
If No : then this section does not have to be filled out and is not required</t>
  </si>
  <si>
    <r>
      <t>BE</t>
    </r>
    <r>
      <rPr>
        <vertAlign val="subscript"/>
        <sz val="18"/>
        <color theme="1"/>
        <rFont val="Calibri"/>
        <family val="2"/>
        <scheme val="minor"/>
      </rPr>
      <t>BR,B1/B3,y</t>
    </r>
  </si>
  <si>
    <t>Baseline emissions due to aerobic decay or uncontrolled burning of biomass residues in year y (t CO2)</t>
  </si>
  <si>
    <r>
      <t>BE</t>
    </r>
    <r>
      <rPr>
        <vertAlign val="subscript"/>
        <sz val="18"/>
        <color theme="1"/>
        <rFont val="Calibri"/>
        <family val="2"/>
        <scheme val="minor"/>
      </rPr>
      <t>BR,B2,y</t>
    </r>
  </si>
  <si>
    <t xml:space="preserve">Baseline emissions due to anearobic decay of biomass residues in year y (t CO2) </t>
  </si>
  <si>
    <t>Step 2.1: Determination of BEBR,B1/B3,y</t>
  </si>
  <si>
    <r>
      <t>GWP</t>
    </r>
    <r>
      <rPr>
        <vertAlign val="subscript"/>
        <sz val="18"/>
        <color theme="1"/>
        <rFont val="Calibri"/>
        <family val="2"/>
        <scheme val="minor"/>
      </rPr>
      <t>CH4</t>
    </r>
  </si>
  <si>
    <t xml:space="preserve">Global warming potential of methane valid for the commitment period (t CO2/t CH4) </t>
  </si>
  <si>
    <t>Default Value</t>
  </si>
  <si>
    <t xml:space="preserve">Net calorific value of the biomass residues category n in year y (GJ/tonnes on dry-basis) </t>
  </si>
  <si>
    <r>
      <t>BR</t>
    </r>
    <r>
      <rPr>
        <vertAlign val="subscript"/>
        <sz val="18"/>
        <color theme="1"/>
        <rFont val="Calibri"/>
        <family val="2"/>
        <scheme val="minor"/>
      </rPr>
      <t>n,B1/B3,y</t>
    </r>
  </si>
  <si>
    <t xml:space="preserve">Amount of biomass residues category n used in the project plant(s) included in the project boundary in year y for which B1 or B3 has been identified as the baseline scenario (tonnes on drybasis) </t>
  </si>
  <si>
    <r>
      <t>EF</t>
    </r>
    <r>
      <rPr>
        <vertAlign val="subscript"/>
        <sz val="18"/>
        <color theme="1"/>
        <rFont val="Calibri"/>
        <family val="2"/>
        <scheme val="minor"/>
      </rPr>
      <t>BR,n,y</t>
    </r>
  </si>
  <si>
    <t xml:space="preserve">CH4 emission factor for uncontrolled burning of the biomass residues category n during the year y (t CH4/GJ) </t>
  </si>
  <si>
    <t xml:space="preserve">Paragraph 90 mentions that it recommends using a default value of 0.001971 tCH4/t </t>
  </si>
  <si>
    <t xml:space="preserve">Step 2.2: Determination of BEBR,B2,y </t>
  </si>
  <si>
    <t>shall be determined by using TOOL 04</t>
  </si>
  <si>
    <t>Project emissions</t>
  </si>
  <si>
    <r>
      <t>PE</t>
    </r>
    <r>
      <rPr>
        <vertAlign val="subscript"/>
        <sz val="18"/>
        <color theme="1"/>
        <rFont val="Calibri"/>
        <family val="2"/>
        <scheme val="minor"/>
      </rPr>
      <t>y</t>
    </r>
  </si>
  <si>
    <t xml:space="preserve">Project emissions during year y (t CO2e) </t>
  </si>
  <si>
    <r>
      <t>PE</t>
    </r>
    <r>
      <rPr>
        <vertAlign val="subscript"/>
        <sz val="18"/>
        <color theme="1"/>
        <rFont val="Calibri"/>
        <family val="2"/>
        <scheme val="minor"/>
      </rPr>
      <t>Biomass,y</t>
    </r>
  </si>
  <si>
    <t xml:space="preserve">Project emissions associated with the biomass and biomass residues in year y (t CO2) </t>
  </si>
  <si>
    <t xml:space="preserve">shall be determined by using TOOL 16 </t>
  </si>
  <si>
    <r>
      <t>PE</t>
    </r>
    <r>
      <rPr>
        <vertAlign val="subscript"/>
        <sz val="18"/>
        <color theme="1"/>
        <rFont val="Calibri"/>
        <family val="2"/>
        <scheme val="minor"/>
      </rPr>
      <t>FF,y</t>
    </r>
  </si>
  <si>
    <t xml:space="preserve">Emissions during the year y due to fossil fuel consumption for the generation of electricity, including auxiliary equipments (t CO2) </t>
  </si>
  <si>
    <t>shall be determined by using TOOL 03</t>
  </si>
  <si>
    <r>
      <t>PE</t>
    </r>
    <r>
      <rPr>
        <vertAlign val="subscript"/>
        <sz val="18"/>
        <color theme="1"/>
        <rFont val="Calibri"/>
        <family val="2"/>
        <scheme val="minor"/>
      </rPr>
      <t>CBR,y</t>
    </r>
  </si>
  <si>
    <t xml:space="preserve">Emissions from the combustion of biomass residues during the year y (t CO2e) </t>
  </si>
  <si>
    <t>(Only included if answered Yes to Step 2 above)</t>
  </si>
  <si>
    <r>
      <t>PE</t>
    </r>
    <r>
      <rPr>
        <vertAlign val="subscript"/>
        <sz val="18"/>
        <color theme="1"/>
        <rFont val="Calibri"/>
        <family val="2"/>
        <scheme val="minor"/>
      </rPr>
      <t>BG2,y</t>
    </r>
  </si>
  <si>
    <t xml:space="preserve">Emissions from the production of biogas in year y (t CO2e) </t>
  </si>
  <si>
    <t>(Value taken from section below)</t>
  </si>
  <si>
    <t xml:space="preserve">Determination of PEcbr,y </t>
  </si>
  <si>
    <r>
      <rPr>
        <sz val="12"/>
        <color rgb="FF000000"/>
        <rFont val="Calibri"/>
        <scheme val="minor"/>
      </rPr>
      <t>Would you like to use conducted measurements or IPCC default values to determine CH</t>
    </r>
    <r>
      <rPr>
        <vertAlign val="subscript"/>
        <sz val="12"/>
        <color rgb="FF000000"/>
        <rFont val="Calibri"/>
        <scheme val="minor"/>
      </rPr>
      <t xml:space="preserve">4 </t>
    </r>
    <r>
      <rPr>
        <sz val="12"/>
        <color rgb="FF000000"/>
        <rFont val="Calibri"/>
        <scheme val="minor"/>
      </rPr>
      <t>emission factor?</t>
    </r>
  </si>
  <si>
    <t>Default Values</t>
  </si>
  <si>
    <t>If "Measurements" : then Project Participant must include values to use for equation below
If "Default Values" : then move to next question</t>
  </si>
  <si>
    <t>If "Default Values" chosen:</t>
  </si>
  <si>
    <t>Please choose which biomass residue value to use:</t>
  </si>
  <si>
    <t xml:space="preserve">Liquid biomass residues </t>
  </si>
  <si>
    <r>
      <t>EF</t>
    </r>
    <r>
      <rPr>
        <vertAlign val="subscript"/>
        <sz val="18"/>
        <color theme="1"/>
        <rFont val="Calibri"/>
        <family val="2"/>
        <scheme val="minor"/>
      </rPr>
      <t>CH4,CBR</t>
    </r>
  </si>
  <si>
    <t xml:space="preserve">CH4 emission factor for the combustion of biomass residues in the project plant (t CH4/GJ) </t>
  </si>
  <si>
    <t>Values automatically generated if Default Values were chosen, if not then Project Participant will have to input values</t>
  </si>
  <si>
    <t>(Same value that was used for Step 2 will be applied here)</t>
  </si>
  <si>
    <r>
      <t>BR</t>
    </r>
    <r>
      <rPr>
        <vertAlign val="subscript"/>
        <sz val="18"/>
        <color theme="1"/>
        <rFont val="Calibri"/>
        <family val="2"/>
        <scheme val="minor"/>
      </rPr>
      <t>PJ,n,y</t>
    </r>
  </si>
  <si>
    <t xml:space="preserve">Quantity of biomass residues of category n used in power plants which are located at the project site and included in the project boundary in year y (tonnes on dry-basis/yr) </t>
  </si>
  <si>
    <t xml:space="preserve">Determination of PEBG2,y </t>
  </si>
  <si>
    <t>Shall be determined using project emissions section of ACM0014
(If B2 or B3 chosen in the beginning, this value is not required)</t>
  </si>
  <si>
    <t>Leakage</t>
  </si>
  <si>
    <t>L</t>
  </si>
  <si>
    <t xml:space="preserve">Leakage emissions </t>
  </si>
  <si>
    <t>Default CH4 emission factors for combustion of biomass residues (Used for Determination of PEcbr,y)</t>
  </si>
  <si>
    <r>
      <t>Default emission factor (kg CH</t>
    </r>
    <r>
      <rPr>
        <b/>
        <vertAlign val="subscript"/>
        <sz val="11"/>
        <color theme="1"/>
        <rFont val="Calibri"/>
        <family val="2"/>
        <scheme val="minor"/>
      </rPr>
      <t>4</t>
    </r>
    <r>
      <rPr>
        <b/>
        <sz val="11"/>
        <color theme="1"/>
        <rFont val="Calibri"/>
        <family val="2"/>
        <scheme val="minor"/>
      </rPr>
      <t xml:space="preserve"> / TJ)</t>
    </r>
  </si>
  <si>
    <t>Wood Waste</t>
  </si>
  <si>
    <t>Sulphite lyes (Black Liquor)</t>
  </si>
  <si>
    <t xml:space="preserve">Other solid biomass residues </t>
  </si>
  <si>
    <t>Sum of all "Click to Add" values</t>
  </si>
  <si>
    <r>
      <t>BR</t>
    </r>
    <r>
      <rPr>
        <vertAlign val="subscript"/>
        <sz val="18"/>
        <rFont val="Calibri"/>
        <family val="2"/>
        <scheme val="minor"/>
      </rPr>
      <t>BL,n,p,y</t>
    </r>
  </si>
  <si>
    <r>
      <t xml:space="preserve">Shall be calculated for each power plant </t>
    </r>
    <r>
      <rPr>
        <i/>
        <sz val="12"/>
        <color rgb="FF000000"/>
        <rFont val="Calibri"/>
        <family val="2"/>
        <scheme val="minor"/>
      </rPr>
      <t>p</t>
    </r>
    <r>
      <rPr>
        <sz val="12"/>
        <color rgb="FF000000"/>
        <rFont val="Calibri"/>
        <family val="2"/>
        <scheme val="minor"/>
      </rPr>
      <t xml:space="preserve"> with </t>
    </r>
    <r>
      <rPr>
        <b/>
        <sz val="12"/>
        <color rgb="FF000000"/>
        <rFont val="Calibri"/>
        <family val="2"/>
        <scheme val="minor"/>
      </rPr>
      <t>TOOL 09</t>
    </r>
  </si>
  <si>
    <t>(Step 1.4 Case 3 Values if chosen)</t>
  </si>
  <si>
    <t>(Used for Case 3 in Step 1.4)</t>
  </si>
  <si>
    <t>(Step 1.5.6 Case 4 &amp; 5 Values if chosen)</t>
  </si>
  <si>
    <t>(Step 1.5.7 Case 5(c) Values if chosen)</t>
  </si>
  <si>
    <t>(Step 2.1 Values if chosen)</t>
  </si>
  <si>
    <t>[Click to Add Power Plant]</t>
  </si>
  <si>
    <t>p</t>
  </si>
  <si>
    <t xml:space="preserve">Power-only plants at the site of the project activity that would (partly) use biomass residues to generate electricity in the baseline </t>
  </si>
  <si>
    <t>Plant 1</t>
  </si>
  <si>
    <t>n</t>
  </si>
  <si>
    <t xml:space="preserve">Biomass residues categories </t>
  </si>
  <si>
    <t>x</t>
  </si>
  <si>
    <t xml:space="preserve">Last calendar year prior to the start of the crediting period </t>
  </si>
  <si>
    <t>(Used for Case 3, If YES to follow up question)</t>
  </si>
  <si>
    <t>m</t>
  </si>
  <si>
    <t>Fossil fuel types used in the power plants p in year (x)</t>
  </si>
  <si>
    <r>
      <t>FF</t>
    </r>
    <r>
      <rPr>
        <vertAlign val="subscript"/>
        <sz val="18"/>
        <color theme="1"/>
        <rFont val="Calibri"/>
        <family val="2"/>
        <scheme val="minor"/>
      </rPr>
      <t>m,p,x</t>
    </r>
  </si>
  <si>
    <t xml:space="preserve">Quantity of fossil fuel type m fired in power plant p in year x (mass or volume unit/yr) </t>
  </si>
  <si>
    <r>
      <t>n</t>
    </r>
    <r>
      <rPr>
        <vertAlign val="subscript"/>
        <sz val="18"/>
        <color theme="1"/>
        <rFont val="Calibri"/>
        <family val="2"/>
        <scheme val="minor"/>
      </rPr>
      <t>p,FF</t>
    </r>
  </si>
  <si>
    <t>Efficiency of electricity generation of power plant p if fired only with fossil fuels and not with biomass residues</t>
  </si>
  <si>
    <r>
      <t>NCV</t>
    </r>
    <r>
      <rPr>
        <vertAlign val="subscript"/>
        <sz val="18"/>
        <color theme="1"/>
        <rFont val="Calibri"/>
        <family val="2"/>
        <scheme val="minor"/>
      </rPr>
      <t>m,x</t>
    </r>
  </si>
  <si>
    <t xml:space="preserve">Net calorific value of fossil fuel type m in year x (GJ/mass or volume unit) </t>
  </si>
  <si>
    <t xml:space="preserve">Load factor of baseline power plant p (ratio) </t>
  </si>
  <si>
    <t>Plant 2</t>
  </si>
  <si>
    <t>Fossil fuel types used in the power plants p in year (x-1)</t>
  </si>
  <si>
    <t>Plant 3</t>
  </si>
  <si>
    <t>Fossil fuel types used in the power plants p in year (x-2)</t>
  </si>
  <si>
    <t>Property</t>
  </si>
  <si>
    <t>Methodology List</t>
  </si>
  <si>
    <t>AccountableImpactOrganization.id</t>
  </si>
  <si>
    <t>ACR- Truck Stop Electrification</t>
  </si>
  <si>
    <t>AccountableImpactOrganization.name</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</si>
  <si>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</si>
  <si>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</si>
  <si>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</si>
  <si>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</si>
  <si>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</si>
  <si>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</si>
  <si>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</si>
  <si>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</si>
  <si>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</si>
  <si>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</si>
  <si>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</si>
  <si>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</si>
  <si>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</si>
  <si>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</si>
  <si>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</si>
  <si>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</si>
  <si>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</si>
  <si>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</si>
  <si>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</si>
  <si>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</si>
  <si>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</si>
  <si>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</si>
  <si>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</si>
  <si>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</si>
  <si>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</si>
  <si>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</si>
  <si>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</si>
  <si>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</si>
  <si>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</si>
  <si>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</si>
  <si>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</si>
  <si>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</si>
  <si>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</si>
  <si>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</si>
  <si>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</si>
  <si>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</si>
  <si>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</si>
  <si>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</si>
  <si>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</si>
  <si>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</si>
  <si>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</si>
  <si>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</si>
  <si>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</si>
  <si>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</si>
  <si>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</si>
  <si>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</si>
  <si>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</si>
  <si>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</si>
  <si>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</si>
  <si>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</si>
  <si>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</si>
  <si>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</si>
  <si>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</si>
  <si>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</si>
  <si>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</si>
  <si>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</si>
  <si>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</si>
  <si>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</si>
  <si>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</si>
  <si>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</si>
  <si>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</si>
  <si>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</si>
  <si>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</si>
  <si>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</si>
  <si>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</si>
  <si>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</si>
  <si>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</si>
  <si>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</si>
  <si>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</si>
  <si>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</si>
  <si>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</si>
  <si>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</si>
  <si>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</si>
  <si>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</si>
  <si>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</si>
  <si>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</si>
  <si>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</si>
  <si>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</si>
  <si>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</si>
  <si>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</si>
  <si>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</si>
  <si>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</si>
  <si>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</si>
  <si>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</si>
  <si>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</si>
  <si>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</si>
  <si>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</si>
  <si>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</si>
  <si>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</si>
  <si>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</si>
  <si>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</si>
  <si>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</si>
  <si>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</si>
  <si>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</si>
  <si>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</si>
  <si>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</si>
  <si>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</si>
  <si>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</si>
  <si>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</si>
  <si>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</si>
  <si>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</si>
  <si>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</si>
  <si>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</si>
  <si>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</si>
  <si>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</si>
  <si>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</si>
  <si>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</si>
  <si>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</si>
  <si>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</si>
  <si>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</si>
  <si>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</si>
  <si>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</si>
  <si>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</si>
  <si>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</si>
  <si>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</si>
  <si>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</si>
  <si>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</si>
  <si>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</si>
  <si>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</si>
  <si>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</si>
  <si>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</si>
  <si>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</si>
  <si>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</si>
  <si>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</si>
  <si>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</si>
  <si>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</si>
  <si>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</si>
  <si>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</si>
  <si>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</si>
  <si>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</si>
  <si>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</si>
  <si>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</si>
  <si>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</si>
  <si>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</si>
  <si>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</si>
  <si>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</si>
  <si>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</si>
  <si>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</si>
  <si>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</si>
  <si>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</si>
  <si>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</si>
  <si>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</si>
  <si>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</si>
  <si>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</si>
  <si>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</si>
  <si>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</si>
  <si>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</si>
  <si>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</si>
  <si>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</si>
  <si>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</si>
  <si>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</si>
  <si>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</si>
  <si>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</si>
  <si>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</si>
  <si>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</si>
  <si>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</si>
  <si>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</si>
  <si>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</si>
  <si>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</si>
  <si>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</si>
  <si>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</si>
  <si>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</si>
  <si>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</si>
  <si>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</si>
  <si>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</si>
  <si>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</si>
  <si>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</si>
  <si>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</si>
  <si>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</si>
  <si>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</si>
  <si>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</si>
  <si>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</si>
  <si>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</si>
  <si>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</si>
  <si>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</si>
  <si>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</si>
  <si>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</si>
  <si>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</si>
  <si>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</si>
  <si>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</si>
  <si>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</si>
  <si>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</si>
  <si>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</si>
  <si>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</si>
  <si>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</si>
  <si>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</si>
  <si>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</si>
  <si>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</si>
  <si>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</si>
  <si>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</si>
  <si>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</si>
  <si>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</si>
  <si>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</si>
  <si>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</si>
  <si>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</si>
  <si>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</si>
  <si>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</si>
  <si>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</si>
  <si>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</si>
  <si>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</si>
  <si>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</si>
  <si>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</si>
  <si>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</si>
  <si>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</si>
  <si>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</si>
  <si>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</si>
  <si>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</si>
  <si>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</si>
  <si>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</si>
  <si>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</si>
  <si>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</si>
  <si>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</si>
  <si>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</si>
  <si>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</si>
  <si>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</si>
  <si>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</si>
  <si>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</si>
  <si>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</si>
  <si>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</si>
  <si>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</si>
  <si>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</si>
  <si>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</si>
  <si>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</si>
  <si>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</si>
  <si>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</si>
  <si>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</si>
  <si>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</si>
  <si>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</si>
  <si>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</si>
  <si>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</si>
  <si>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</si>
  <si>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</si>
  <si>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</si>
  <si>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</si>
  <si>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</si>
  <si>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</si>
  <si>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</si>
  <si>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</si>
  <si>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</si>
  <si>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</si>
  <si>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</si>
  <si>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</si>
  <si>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</si>
  <si>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</si>
  <si>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</si>
  <si>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</si>
  <si>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</si>
  <si>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</si>
  <si>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</si>
  <si>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</si>
  <si>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</si>
  <si>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</si>
  <si>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</si>
  <si>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</si>
  <si>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</si>
  <si>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</si>
  <si>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</si>
  <si>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</si>
  <si>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</si>
  <si>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</si>
  <si>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</si>
  <si>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</si>
  <si>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</si>
  <si>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</si>
  <si>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</si>
  <si>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</si>
  <si>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</si>
  <si>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</si>
  <si>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</si>
  <si>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</si>
  <si>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</si>
  <si>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</si>
  <si>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</si>
  <si>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</si>
  <si>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</si>
  <si>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</si>
  <si>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</si>
  <si>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</si>
  <si>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</si>
  <si>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</si>
  <si>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</si>
  <si>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</si>
  <si>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</si>
  <si>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</si>
  <si>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</si>
  <si>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</si>
  <si>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</si>
  <si>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</si>
  <si>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</si>
  <si>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</si>
  <si>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</si>
  <si>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</si>
  <si>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</si>
  <si>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</si>
  <si>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</si>
  <si>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</si>
  <si>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</si>
  <si>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</si>
  <si>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</si>
  <si>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</si>
  <si>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</si>
  <si>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</si>
  <si>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</si>
  <si>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</si>
  <si>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</si>
  <si>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</si>
  <si>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</si>
  <si>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</si>
  <si>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</si>
  <si>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</si>
  <si>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</si>
  <si>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</si>
  <si>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</si>
  <si>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</si>
  <si>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</si>
  <si>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</si>
  <si>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</si>
  <si>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</si>
  <si>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</si>
  <si>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</si>
  <si>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</si>
  <si>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</si>
  <si>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</si>
  <si>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</si>
  <si>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</si>
  <si>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</si>
  <si>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</si>
  <si>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</si>
  <si>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</si>
  <si>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</si>
  <si>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</si>
  <si>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</si>
  <si>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</si>
  <si>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</si>
  <si>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</si>
  <si>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</si>
  <si>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</si>
  <si>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</si>
  <si>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</si>
  <si>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</si>
  <si>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</si>
  <si>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</si>
  <si>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</si>
  <si>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</si>
  <si>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</si>
  <si>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</si>
  <si>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</si>
  <si>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</si>
  <si>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</si>
  <si>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</si>
  <si>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</si>
  <si>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</si>
  <si>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</si>
  <si>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</si>
  <si>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</si>
  <si>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</si>
  <si>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</si>
  <si>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</si>
  <si>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</si>
  <si>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</si>
  <si>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</si>
  <si>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</si>
  <si>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</si>
  <si>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</si>
  <si>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</si>
  <si>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</si>
  <si>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</si>
  <si>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</si>
  <si>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</si>
  <si>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</si>
  <si>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</si>
  <si>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</si>
  <si>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</si>
  <si>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</si>
  <si>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</si>
  <si>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</si>
  <si>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</si>
  <si>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</si>
  <si>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</si>
  <si>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</si>
  <si>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</si>
  <si>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</si>
  <si>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</si>
  <si>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</si>
  <si>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</si>
  <si>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</si>
  <si>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</si>
  <si>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</si>
  <si>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</si>
  <si>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</si>
  <si>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</si>
  <si>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</si>
  <si>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</si>
  <si>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</si>
  <si>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</si>
  <si>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</si>
  <si>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</si>
  <si>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</si>
  <si>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</si>
  <si>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</si>
  <si>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</si>
  <si>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</si>
  <si>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</si>
  <si>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</si>
  <si>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</si>
  <si>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</si>
  <si>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</si>
  <si>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</si>
  <si>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</si>
  <si>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</si>
  <si>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</si>
  <si>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</si>
  <si>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</si>
  <si>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</si>
  <si>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</si>
  <si>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</si>
  <si>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</si>
  <si>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</si>
  <si>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</si>
  <si>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</si>
  <si>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</si>
  <si>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</si>
  <si>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</si>
  <si>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</si>
  <si>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</si>
  <si>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</si>
  <si>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</si>
  <si>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</si>
  <si>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</si>
  <si>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</si>
  <si>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</si>
  <si>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</si>
  <si>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</si>
  <si>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</si>
  <si>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</si>
  <si>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</si>
  <si>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</si>
  <si>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</si>
  <si>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</si>
  <si>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</si>
  <si>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</si>
  <si>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</si>
  <si>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</si>
  <si>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</si>
  <si>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</si>
  <si>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</si>
  <si>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</si>
  <si>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</si>
  <si>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</si>
  <si>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</si>
  <si>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</si>
  <si>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</si>
  <si>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</si>
  <si>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</si>
  <si>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</si>
  <si>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</si>
  <si>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</si>
  <si>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</si>
  <si>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</si>
  <si>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</si>
  <si>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</si>
  <si>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</si>
  <si>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</si>
  <si>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</si>
  <si>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</si>
  <si>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</si>
  <si>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</si>
  <si>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</si>
  <si>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</si>
  <si>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</si>
  <si>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</si>
  <si>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</si>
  <si>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</si>
  <si>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</si>
  <si>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</si>
  <si>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</si>
  <si>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</si>
  <si>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</si>
  <si>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</si>
  <si>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</si>
  <si>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</si>
  <si>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</si>
  <si>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</si>
  <si>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</si>
  <si>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</si>
  <si>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</si>
  <si>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</si>
  <si>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</si>
  <si>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</si>
  <si>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</si>
  <si>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</si>
  <si>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</si>
  <si>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</si>
  <si>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</si>
  <si>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</si>
  <si>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</si>
  <si>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</si>
  <si>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</si>
  <si>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</si>
  <si>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</si>
  <si>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</si>
  <si>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</si>
  <si>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</si>
  <si>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</si>
  <si>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</si>
  <si>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</si>
  <si>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</si>
  <si>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</si>
  <si>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</si>
  <si>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</si>
  <si>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</si>
  <si>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</si>
  <si>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</si>
  <si>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</si>
  <si>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</si>
  <si>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</si>
  <si>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</si>
  <si>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</si>
  <si>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</si>
  <si>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</si>
  <si>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</si>
  <si>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</si>
  <si>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</si>
  <si>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</si>
  <si>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</si>
  <si>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</si>
  <si>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</si>
  <si>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</si>
  <si>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</si>
  <si>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</si>
  <si>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</si>
  <si>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</si>
  <si>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</si>
  <si>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</si>
  <si>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</si>
  <si>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</si>
  <si>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</si>
  <si>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</si>
  <si>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</si>
  <si>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</si>
  <si>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</si>
  <si>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</si>
  <si>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</si>
  <si>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</si>
  <si>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</si>
  <si>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</si>
  <si>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</si>
  <si>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</si>
  <si>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</si>
  <si>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</si>
  <si>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</si>
  <si>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</si>
  <si>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</si>
  <si>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</si>
  <si>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</si>
  <si>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</si>
  <si>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</si>
  <si>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</si>
  <si>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</si>
  <si>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</si>
  <si>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</si>
  <si>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</si>
  <si>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</si>
  <si>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</si>
  <si>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</si>
  <si>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</si>
  <si>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</si>
  <si>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</si>
  <si>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</si>
  <si>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</si>
  <si>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</si>
  <si>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</si>
  <si>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</si>
  <si>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</si>
  <si>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</si>
  <si>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</si>
  <si>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</si>
  <si>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</si>
  <si>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</si>
  <si>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</si>
  <si>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</si>
  <si>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</si>
  <si>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</si>
  <si>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</si>
  <si>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</si>
  <si>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</si>
  <si>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</si>
  <si>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</si>
  <si>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</si>
  <si>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</si>
  <si>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</si>
  <si>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</si>
  <si>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</si>
  <si>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</si>
  <si>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</si>
  <si>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</si>
  <si>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</si>
  <si>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</si>
  <si>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</si>
  <si>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</si>
  <si>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</si>
  <si>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</si>
  <si>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</si>
  <si>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</si>
  <si>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</si>
  <si>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</si>
  <si>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</si>
  <si>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</si>
  <si>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</si>
  <si>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</si>
  <si>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</si>
  <si>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</si>
  <si>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</si>
  <si>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</si>
  <si>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</si>
  <si>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</si>
  <si>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</si>
  <si>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</si>
  <si>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</si>
  <si>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</si>
  <si>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</si>
  <si>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</si>
  <si>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</si>
  <si>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</si>
  <si>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</si>
  <si>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</si>
  <si>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</si>
  <si>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</si>
  <si>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</si>
  <si>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</si>
  <si>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</si>
  <si>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</si>
  <si>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</si>
  <si>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</si>
  <si>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</si>
  <si>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</si>
  <si>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</si>
  <si>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</si>
  <si>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</si>
  <si>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</si>
  <si>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</si>
  <si>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</si>
  <si>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</si>
  <si>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</si>
  <si>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</si>
  <si>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</si>
  <si>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</si>
  <si>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</si>
  <si>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</si>
  <si>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</si>
  <si>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</si>
  <si>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</si>
  <si>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</si>
  <si>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</si>
  <si>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</si>
  <si>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</si>
  <si>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</si>
  <si>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</si>
  <si>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</si>
  <si>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</si>
  <si>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</si>
  <si>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</si>
  <si>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</si>
  <si>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</si>
  <si>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</si>
  <si>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</si>
  <si>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</si>
  <si>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</si>
  <si>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</si>
  <si>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</si>
  <si>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</si>
  <si>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</si>
  <si>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</si>
  <si>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</si>
  <si>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</si>
  <si>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</si>
  <si>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</si>
  <si>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</si>
  <si>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</si>
  <si>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</si>
  <si>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</si>
  <si>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</si>
  <si>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</si>
  <si>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</si>
  <si>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</si>
  <si>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</si>
  <si>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</si>
  <si>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</si>
  <si>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</si>
  <si>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</si>
  <si>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</si>
  <si>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</si>
  <si>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</si>
  <si>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</si>
  <si>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</si>
  <si>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</si>
  <si>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</si>
  <si>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</si>
  <si>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</si>
  <si>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</si>
  <si>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</si>
  <si>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</si>
  <si>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</si>
  <si>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</si>
  <si>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</si>
  <si>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</si>
  <si>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</si>
  <si>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</si>
  <si>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</si>
  <si>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</si>
  <si>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</si>
  <si>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</si>
  <si>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</si>
  <si>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</si>
  <si>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</si>
  <si>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</si>
  <si>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</si>
  <si>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</si>
  <si>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</si>
  <si>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</si>
  <si>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</si>
  <si>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</si>
  <si>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</si>
  <si>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</si>
  <si>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</si>
  <si>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</si>
  <si>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</si>
  <si>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</si>
  <si>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</si>
  <si>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</si>
  <si>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</si>
  <si>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</si>
  <si>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</si>
  <si>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</si>
  <si>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</si>
  <si>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 xml:space="preserve">TOOL 02: Combined tool to identify the baseline scenario and demonstrate additionality </t>
  </si>
  <si>
    <t xml:space="preserve">if/then </t>
  </si>
  <si>
    <t xml:space="preserve">Step 0 : First-of-its-kind project activities </t>
  </si>
  <si>
    <t xml:space="preserve">Is the proposed project activity the first-of-its-kind? </t>
  </si>
  <si>
    <t>If Yes: Move to Step 1A in Case 2
If No: Move to Step 1A in Case 1</t>
  </si>
  <si>
    <t>string</t>
  </si>
  <si>
    <t>Provide evidence to justify answer.</t>
  </si>
  <si>
    <t>(Explanation/proof)</t>
  </si>
  <si>
    <t>Follow up to previous question.</t>
  </si>
  <si>
    <r>
      <rPr>
        <b/>
        <sz val="16"/>
        <color rgb="FF000000"/>
        <rFont val="Calibri"/>
      </rPr>
      <t xml:space="preserve">Case 1: If Project is </t>
    </r>
    <r>
      <rPr>
        <b/>
        <i/>
        <u/>
        <sz val="16"/>
        <color rgb="FF000000"/>
        <rFont val="Calibri"/>
      </rPr>
      <t>not</t>
    </r>
    <r>
      <rPr>
        <b/>
        <sz val="16"/>
        <color rgb="FF000000"/>
        <rFont val="Calibri"/>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</si>
  <si>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</si>
  <si>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</si>
  <si>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</si>
  <si>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</si>
  <si>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</si>
  <si>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</si>
  <si>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</si>
  <si>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</si>
  <si>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</si>
  <si>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</si>
  <si>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</si>
  <si>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</si>
  <si>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</si>
  <si>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</si>
  <si>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</si>
  <si>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</si>
  <si>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</si>
  <si>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</si>
  <si>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</si>
  <si>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</si>
  <si>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</si>
  <si>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</si>
  <si>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</si>
  <si>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</si>
  <si>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</si>
  <si>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</si>
  <si>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</si>
  <si>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</si>
  <si>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</si>
  <si>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</si>
  <si>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</si>
  <si>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</si>
  <si>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</si>
  <si>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</si>
  <si>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</si>
  <si>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</si>
  <si>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</si>
  <si>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rPr>
      <t xml:space="preserve">Flowchart: (Case 1) If Project is </t>
    </r>
    <r>
      <rPr>
        <b/>
        <i/>
        <u/>
        <sz val="16"/>
        <color rgb="FF000000"/>
        <rFont val="Calibri"/>
      </rPr>
      <t>not</t>
    </r>
    <r>
      <rPr>
        <b/>
        <sz val="16"/>
        <color rgb="FF000000"/>
        <rFont val="Calibri"/>
      </rPr>
      <t xml:space="preserve"> a first-of-its-kind. </t>
    </r>
  </si>
  <si>
    <r>
      <rPr>
        <b/>
        <sz val="16"/>
        <color rgb="FF000000"/>
        <rFont val="Calibri"/>
      </rPr>
      <t xml:space="preserve">Case 2: If Project </t>
    </r>
    <r>
      <rPr>
        <b/>
        <i/>
        <u/>
        <sz val="16"/>
        <color rgb="FF000000"/>
        <rFont val="Calibri"/>
      </rPr>
      <t>is</t>
    </r>
    <r>
      <rPr>
        <b/>
        <sz val="16"/>
        <color rgb="FF000000"/>
        <rFont val="Calibri"/>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</si>
  <si>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</si>
  <si>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</si>
  <si>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</si>
  <si>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</si>
  <si>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</si>
  <si>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</si>
  <si>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</si>
  <si>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</si>
  <si>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</si>
  <si>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</si>
  <si>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rPr>
      <t xml:space="preserve">Flowchart: (Case 2) If Project </t>
    </r>
    <r>
      <rPr>
        <b/>
        <i/>
        <u/>
        <sz val="16"/>
        <color rgb="FF000000"/>
        <rFont val="Calibri"/>
      </rPr>
      <t>is</t>
    </r>
    <r>
      <rPr>
        <b/>
        <sz val="16"/>
        <color rgb="FF000000"/>
        <rFont val="Calibri"/>
      </rPr>
      <t xml:space="preserve"> a first-of-its-kind. </t>
    </r>
  </si>
  <si>
    <t xml:space="preserve">Tool 03: Tool to calculate project or leakage CO2 emissions from fossil fuel combustion </t>
  </si>
  <si>
    <t>Auto-Calculated</t>
  </si>
  <si>
    <r>
      <t>PE</t>
    </r>
    <r>
      <rPr>
        <vertAlign val="subscript"/>
        <sz val="20"/>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</si>
  <si>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</si>
  <si>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</si>
  <si>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</si>
  <si>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</si>
  <si>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</si>
  <si>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</si>
  <si>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</si>
  <si>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</si>
  <si>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</si>
  <si>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</si>
  <si>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</si>
  <si>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theme="1"/>
        <rFont val="Calibri"/>
        <family val="2"/>
        <scheme val="minor"/>
      </rPr>
      <t>Option A:</t>
    </r>
    <r>
      <rPr>
        <sz val="11"/>
        <color theme="1"/>
        <rFont val="Calibri"/>
        <family val="2"/>
        <scheme val="minor"/>
      </rPr>
      <t xml:space="preserve"> The CO2 emission coefficient is calculated based on the chemical composition of the fossil fuel type. (Option A should be the preferred approach, if the necessary data is available.)
</t>
    </r>
    <r>
      <rPr>
        <b/>
        <u/>
        <sz val="11"/>
        <color theme="1"/>
        <rFont val="Calibri"/>
        <family val="2"/>
        <scheme val="minor"/>
      </rPr>
      <t>Option B:</t>
    </r>
    <r>
      <rPr>
        <sz val="11"/>
        <color theme="1"/>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</si>
  <si>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</si>
  <si>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</si>
  <si>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</si>
  <si>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</si>
  <si>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</si>
  <si>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20"/>
        <color theme="1"/>
        <rFont val="Calibri"/>
        <family val="2"/>
        <scheme val="minor"/>
      </rPr>
      <t>i,j,y</t>
    </r>
  </si>
  <si>
    <t>Quantity of fuel type i combusted in process j during the year y (mass or volume unit/yr)</t>
  </si>
  <si>
    <r>
      <t>COEF</t>
    </r>
    <r>
      <rPr>
        <vertAlign val="subscript"/>
        <sz val="20"/>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</si>
  <si>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</si>
  <si>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</si>
  <si>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</si>
  <si>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</si>
  <si>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</si>
  <si>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</si>
  <si>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</si>
  <si>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20"/>
        <color theme="1"/>
        <rFont val="Calibri"/>
        <family val="2"/>
        <scheme val="minor"/>
      </rPr>
      <t>c,i,y</t>
    </r>
  </si>
  <si>
    <t>Weighted average mass fraction of carbon in fuel type i in year y (tC/mass unit of the fuel)</t>
  </si>
  <si>
    <r>
      <t>P</t>
    </r>
    <r>
      <rPr>
        <vertAlign val="subscript"/>
        <sz val="20"/>
        <color theme="1"/>
        <rFont val="Calibri"/>
        <family val="2"/>
        <scheme val="minor"/>
      </rPr>
      <t>i,y</t>
    </r>
  </si>
  <si>
    <t>Weighted average density of fuel type i in year y (mass unit/volume unit of the fuel)</t>
  </si>
  <si>
    <t>The CO2 emission coefficient COEFi,y Option B</t>
  </si>
  <si>
    <r>
      <t>NCV</t>
    </r>
    <r>
      <rPr>
        <vertAlign val="subscript"/>
        <sz val="20"/>
        <color theme="1"/>
        <rFont val="Calibri"/>
        <family val="2"/>
        <scheme val="minor"/>
      </rPr>
      <t>i,y</t>
    </r>
  </si>
  <si>
    <t>Weighted average net calorific value of the fuel type i in year y (GJ/mass or volume unit)</t>
  </si>
  <si>
    <r>
      <t>EF</t>
    </r>
    <r>
      <rPr>
        <vertAlign val="subscript"/>
        <sz val="20"/>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</si>
  <si>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</si>
  <si>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</si>
  <si>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</si>
  <si>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</si>
  <si>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</si>
  <si>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</si>
  <si>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</si>
  <si>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</si>
  <si>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Baseline Emissions (BE)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</si>
  <si>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</si>
  <si>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</si>
  <si>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</si>
  <si>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</si>
  <si>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</si>
  <si>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</si>
  <si>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</si>
  <si>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</si>
  <si>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</si>
  <si>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</si>
  <si>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</si>
  <si>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</si>
  <si>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</si>
  <si>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</si>
  <si>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</si>
  <si>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</si>
  <si>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</si>
  <si>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</si>
  <si>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</si>
  <si>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</si>
  <si>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</si>
  <si>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</si>
  <si>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</si>
  <si>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</si>
  <si>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</si>
  <si>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</si>
  <si>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</si>
  <si>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</si>
  <si>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</si>
  <si>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</si>
  <si>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</si>
  <si>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</si>
  <si>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</si>
  <si>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</si>
  <si>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</si>
  <si>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</si>
  <si>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</si>
  <si>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</si>
  <si>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</si>
  <si>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</si>
  <si>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</si>
  <si>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</si>
  <si>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</si>
  <si>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</si>
  <si>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</si>
  <si>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</si>
  <si>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</si>
  <si>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</si>
  <si>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</si>
  <si>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</si>
  <si>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</si>
  <si>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</si>
  <si>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</si>
  <si>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</si>
  <si>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</si>
  <si>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</si>
  <si>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</si>
  <si>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</si>
  <si>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</si>
  <si>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</si>
  <si>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</si>
  <si>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</si>
  <si>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</si>
  <si>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</si>
  <si>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</si>
  <si>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</si>
  <si>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</si>
  <si>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</si>
  <si>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</si>
  <si>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</si>
  <si>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</si>
  <si>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</si>
  <si>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</si>
  <si>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</si>
  <si>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</si>
  <si>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</si>
  <si>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</si>
  <si>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</si>
  <si>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</si>
  <si>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</si>
  <si>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</si>
  <si>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</si>
  <si>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</si>
  <si>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</si>
  <si>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</si>
  <si>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</si>
  <si>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</si>
  <si>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</si>
  <si>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</si>
  <si>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</si>
  <si>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</si>
  <si>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</si>
  <si>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</si>
  <si>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</si>
  <si>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</si>
  <si>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</si>
  <si>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</si>
  <si>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</si>
  <si>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</si>
  <si>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</si>
  <si>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</si>
  <si>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</si>
  <si>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</si>
  <si>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</si>
  <si>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</si>
  <si>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</si>
  <si>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</si>
  <si>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</si>
  <si>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</si>
  <si>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</si>
  <si>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</si>
  <si>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</si>
  <si>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</si>
  <si>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</si>
  <si>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</si>
  <si>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</si>
  <si>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</si>
  <si>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</si>
  <si>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</si>
  <si>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</si>
  <si>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</si>
  <si>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</si>
  <si>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</si>
  <si>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</si>
  <si>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</si>
  <si>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</si>
  <si>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</si>
  <si>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</si>
  <si>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</si>
  <si>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</si>
  <si>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</si>
  <si>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</si>
  <si>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</si>
  <si>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</si>
  <si>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</si>
  <si>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</si>
  <si>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</si>
  <si>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</si>
  <si>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</si>
  <si>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</si>
  <si>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</si>
  <si>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</si>
  <si>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</si>
  <si>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</si>
  <si>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</si>
  <si>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</si>
  <si>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</si>
  <si>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</si>
  <si>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</si>
  <si>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</si>
  <si>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</si>
  <si>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theme="1"/>
        <rFont val="Calibri"/>
        <family val="2"/>
        <scheme val="minor"/>
      </rPr>
      <t xml:space="preserve">Scenario A: </t>
    </r>
    <r>
      <rPr>
        <sz val="12"/>
        <color theme="1"/>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theme="1"/>
        <rFont val="Calibri"/>
        <family val="2"/>
        <scheme val="minor"/>
      </rPr>
      <t xml:space="preserve">Scenario B: </t>
    </r>
    <r>
      <rPr>
        <sz val="12"/>
        <color theme="1"/>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theme="1"/>
        <rFont val="Calibri"/>
        <family val="2"/>
        <scheme val="minor"/>
      </rPr>
      <t>Scenario C:</t>
    </r>
    <r>
      <rPr>
        <sz val="12"/>
        <color theme="1"/>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</si>
  <si>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</si>
  <si>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</si>
  <si>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</si>
  <si>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t>𝐸𝐹𝐸𝐹,𝑗,y</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</si>
  <si>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</si>
  <si>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</si>
  <si>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</si>
  <si>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t>𝐸𝐶𝑃𝐽,𝑗,y</t>
  </si>
  <si>
    <t>Quantity of electricity consumed by the project electricity consumption source in year y (MWh/yr)</t>
  </si>
  <si>
    <t>𝑇𝐷𝐿𝑗,y</t>
  </si>
  <si>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</si>
  <si>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</si>
  <si>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</si>
  <si>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</si>
  <si>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t>𝐸𝐹𝐸𝐹,𝑘,y</t>
  </si>
  <si>
    <t>Baseline emission factor for electricity generation for source in year y (t CO2/MWh)</t>
  </si>
  <si>
    <t>𝐸𝐶𝐵𝐿,𝑘,y</t>
  </si>
  <si>
    <t>Quantity of electricity that would be consumed by the baseline electricity consumer in year y (MWh/yr)</t>
  </si>
  <si>
    <t>𝑇𝐷𝐿𝑘,y</t>
  </si>
  <si>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</si>
  <si>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</si>
  <si>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</si>
  <si>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</si>
  <si>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t>𝐸𝐹𝐸𝐹,𝑙,y</t>
  </si>
  <si>
    <t>Leakage emission factor for electricity generation for source in year y (t CO2/MWh)</t>
  </si>
  <si>
    <t>𝐸𝐶𝐿𝐸,𝑙,y</t>
  </si>
  <si>
    <t>Net increase in electricity consumption of source in year y as a result of leakage (MWh/yr)</t>
  </si>
  <si>
    <t>𝑇𝐷𝐿𝑙,y</t>
  </si>
  <si>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</si>
  <si>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</si>
  <si>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</si>
  <si>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</si>
  <si>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</si>
  <si>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</si>
  <si>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</si>
  <si>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</si>
  <si>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</si>
  <si>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</si>
  <si>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</si>
  <si>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</si>
  <si>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</si>
  <si>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</si>
  <si>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</si>
  <si>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</si>
  <si>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</si>
  <si>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</si>
  <si>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</si>
  <si>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</si>
  <si>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</si>
  <si>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</si>
  <si>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</si>
  <si>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</si>
  <si>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</si>
  <si>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</si>
  <si>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</si>
  <si>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</si>
  <si>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</si>
  <si>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</si>
  <si>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</si>
  <si>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</si>
  <si>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</si>
  <si>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</si>
  <si>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</si>
  <si>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</si>
  <si>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</si>
  <si>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</si>
  <si>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</si>
  <si>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</si>
  <si>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</si>
  <si>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</si>
  <si>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Values will auto-populate depending on the answer given in question above</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</si>
  <si>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</si>
  <si>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</si>
  <si>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</si>
  <si>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</si>
  <si>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If Option A was chosen = 1.3
If Option B was chosen = 0.4</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</si>
  <si>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</si>
  <si>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</si>
  <si>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</si>
  <si>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</si>
  <si>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</si>
  <si>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</si>
  <si>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</si>
  <si>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</si>
  <si>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</si>
  <si>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</si>
  <si>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</si>
  <si>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</si>
  <si>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</si>
  <si>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Emission factor for electricity generation for source j, k or l in year y (fuel consumption between electricity and heat generation) (t CO2/MWh)</t>
  </si>
  <si>
    <t>Sum of each Emission Factor (Fuel consumption between electricity and heat generation)</t>
  </si>
  <si>
    <t>[Click to Add Fossil Fuel Captive Power Plant]</t>
  </si>
  <si>
    <t xml:space="preserve">Plant Name </t>
  </si>
  <si>
    <t>Type of fossil fuel used</t>
  </si>
  <si>
    <t>Crude Oil</t>
  </si>
  <si>
    <t>𝑁𝐶𝑉𝑖,𝑡</t>
  </si>
  <si>
    <t>Average net calorific value of the fossil fuel type used in the period t (GJ / mass or volume unit)</t>
  </si>
  <si>
    <t xml:space="preserve">Will auto-populate value from Default Values sheet dependent on Type of Fossil Fuel Used </t>
  </si>
  <si>
    <t>𝐸𝐹𝐶𝑂2,𝑖,t</t>
  </si>
  <si>
    <t>Average CO2 emission factor of the fossil fuel type used in the period t (t CO2 / GJ)</t>
  </si>
  <si>
    <t xml:space="preserve">Will auto-populate converted value from Default Values sheet dependent on Type of Fossil Fuel Used </t>
  </si>
  <si>
    <t xml:space="preserve">𝐹𝐶𝑛,𝑖,𝑡 </t>
  </si>
  <si>
    <t>Quantity of fossil fuel fired in the captive power plant in the time period described in the project details (cubric meters, metric ton, or liters)</t>
  </si>
  <si>
    <t>𝐸𝐺𝑛,t</t>
  </si>
  <si>
    <t>Quantity of electricity generated in captive the power plant in the time period decribed in the projet details (MWh)</t>
  </si>
  <si>
    <t>𝐻𝐺𝑛,t</t>
  </si>
  <si>
    <t>Quantity of heat co-generated in captive power plant n in the time period t (GJ). (Only applicable if the CO2 emission factor for electricity generation is calculated by allocating the fuel consumption between electricity and heat generation)</t>
  </si>
  <si>
    <t>ηboiler,y</t>
  </si>
  <si>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</si>
  <si>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</si>
  <si>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</si>
  <si>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Gas/Diesel Oil</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</si>
  <si>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</si>
  <si>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</si>
  <si>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</si>
  <si>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</si>
  <si>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</si>
  <si>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</si>
  <si>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</si>
  <si>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</si>
  <si>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</si>
  <si>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</si>
  <si>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</si>
  <si>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</si>
  <si>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</si>
  <si>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</si>
  <si>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</si>
  <si>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</si>
  <si>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</si>
  <si>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</si>
  <si>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</si>
  <si>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</si>
  <si>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</si>
  <si>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</si>
  <si>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</si>
  <si>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</si>
  <si>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</si>
  <si>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</si>
  <si>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</si>
  <si>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</si>
  <si>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</si>
  <si>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</si>
  <si>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</si>
  <si>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</si>
  <si>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</si>
  <si>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</si>
  <si>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</si>
  <si>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</si>
  <si>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</si>
  <si>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</si>
  <si>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</si>
  <si>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</si>
  <si>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</si>
  <si>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</si>
  <si>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</si>
  <si>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</si>
  <si>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</si>
  <si>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</si>
  <si>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</si>
  <si>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</si>
  <si>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</si>
  <si>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</si>
  <si>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</si>
  <si>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</si>
  <si>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</si>
  <si>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</si>
  <si>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</si>
  <si>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Allow Multiple Answers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</si>
  <si>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</si>
  <si>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</si>
  <si>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</si>
  <si>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</si>
  <si>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</si>
  <si>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</si>
  <si>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</si>
  <si>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</si>
  <si>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</si>
  <si>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</si>
  <si>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</si>
  <si>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</si>
  <si>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</si>
  <si>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</si>
  <si>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</si>
  <si>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</si>
  <si>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</si>
  <si>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</si>
  <si>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</si>
  <si>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</si>
  <si>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</si>
  <si>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</si>
  <si>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</si>
  <si>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</si>
  <si>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</si>
  <si>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</si>
  <si>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</si>
  <si>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</si>
  <si>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</si>
  <si>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</si>
  <si>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</si>
  <si>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</si>
  <si>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</si>
  <si>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</si>
  <si>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</si>
  <si>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</si>
  <si>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</si>
  <si>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</si>
  <si>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</si>
  <si>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</si>
  <si>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</si>
  <si>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</si>
  <si>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</si>
  <si>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</si>
  <si>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</si>
  <si>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</si>
  <si>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</si>
  <si>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</si>
  <si>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</si>
  <si>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</si>
  <si>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</si>
  <si>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</si>
  <si>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</si>
  <si>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</si>
  <si>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</si>
  <si>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</si>
  <si>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</si>
  <si>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</si>
  <si>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</si>
  <si>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</si>
  <si>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</si>
  <si>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</si>
  <si>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</si>
  <si>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</si>
  <si>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</si>
  <si>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</si>
  <si>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</si>
  <si>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</si>
  <si>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</si>
  <si>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</si>
  <si>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</si>
  <si>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</si>
  <si>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</si>
  <si>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</si>
  <si>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</si>
  <si>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</si>
  <si>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</si>
  <si>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</si>
  <si>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</si>
  <si>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</si>
  <si>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</si>
  <si>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</si>
  <si>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</si>
  <si>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</si>
  <si>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</si>
  <si>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</si>
  <si>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</si>
  <si>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</si>
  <si>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</si>
  <si>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</si>
  <si>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</si>
  <si>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</si>
  <si>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</si>
  <si>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</si>
  <si>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</si>
  <si>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</si>
  <si>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</si>
  <si>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</si>
  <si>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</si>
  <si>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</si>
  <si>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</si>
  <si>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</si>
  <si>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</si>
  <si>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</si>
  <si>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</si>
  <si>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</si>
  <si>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</si>
  <si>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</si>
  <si>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</si>
  <si>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</si>
  <si>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</si>
  <si>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</si>
  <si>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</si>
  <si>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</si>
  <si>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</si>
  <si>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</si>
  <si>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</si>
  <si>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</si>
  <si>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</si>
  <si>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</si>
  <si>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</si>
  <si>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</si>
  <si>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</si>
  <si>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</si>
  <si>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</si>
  <si>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</si>
  <si>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</si>
  <si>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</si>
  <si>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</si>
  <si>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</si>
  <si>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</si>
  <si>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</si>
  <si>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</si>
  <si>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</si>
  <si>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</si>
  <si>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</si>
  <si>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</si>
  <si>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</si>
  <si>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</si>
  <si>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</si>
  <si>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</si>
  <si>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</si>
  <si>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</si>
  <si>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</si>
  <si>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</si>
  <si>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</si>
  <si>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</si>
  <si>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</si>
  <si>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</si>
  <si>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</si>
  <si>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</si>
  <si>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</si>
  <si>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</si>
  <si>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</si>
  <si>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</si>
  <si>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</si>
  <si>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</si>
  <si>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</si>
  <si>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</si>
  <si>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</si>
  <si>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</si>
  <si>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</si>
  <si>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</si>
  <si>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</si>
  <si>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</si>
  <si>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</si>
  <si>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</si>
  <si>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</si>
  <si>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</si>
  <si>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</si>
  <si>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</si>
  <si>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</si>
  <si>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</si>
  <si>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</si>
  <si>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</si>
  <si>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</si>
  <si>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</si>
  <si>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</si>
  <si>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</si>
  <si>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</si>
  <si>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</si>
  <si>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</si>
  <si>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</si>
  <si>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</si>
  <si>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</si>
  <si>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</si>
  <si>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</si>
  <si>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</si>
  <si>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</si>
  <si>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</si>
  <si>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</si>
  <si>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</si>
  <si>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</si>
  <si>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</si>
  <si>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</si>
  <si>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</si>
  <si>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</si>
  <si>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</si>
  <si>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</si>
  <si>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</si>
  <si>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</si>
  <si>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</si>
  <si>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</si>
  <si>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</si>
  <si>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</si>
  <si>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</si>
  <si>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</si>
  <si>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</si>
  <si>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</si>
  <si>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</si>
  <si>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</si>
  <si>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</si>
  <si>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</si>
  <si>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</si>
  <si>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</si>
  <si>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</si>
  <si>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</si>
  <si>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</si>
  <si>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</si>
  <si>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</si>
  <si>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</si>
  <si>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</si>
  <si>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</si>
  <si>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</si>
  <si>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</si>
  <si>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</si>
  <si>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</si>
  <si>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</si>
  <si>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</si>
  <si>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</si>
  <si>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</si>
  <si>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</si>
  <si>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</si>
  <si>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</si>
  <si>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</si>
  <si>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</si>
  <si>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</si>
  <si>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</si>
  <si>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</si>
  <si>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</si>
  <si>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</si>
  <si>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</si>
  <si>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</si>
  <si>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</si>
  <si>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</si>
  <si>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</si>
  <si>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</si>
  <si>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</si>
  <si>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</si>
  <si>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</si>
  <si>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</si>
  <si>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</si>
  <si>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</si>
  <si>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</si>
  <si>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</si>
  <si>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</si>
  <si>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</si>
  <si>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</si>
  <si>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</si>
  <si>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</si>
  <si>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</si>
  <si>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</si>
  <si>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</si>
  <si>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</si>
  <si>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</si>
  <si>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</si>
  <si>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</si>
  <si>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</si>
  <si>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</si>
  <si>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</si>
  <si>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</si>
  <si>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</si>
  <si>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</si>
  <si>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</si>
  <si>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</si>
  <si>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</si>
  <si>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</si>
  <si>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</si>
  <si>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</si>
  <si>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</si>
  <si>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</si>
  <si>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</si>
  <si>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</si>
  <si>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</si>
  <si>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</si>
  <si>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</si>
  <si>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</si>
  <si>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</si>
  <si>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</si>
  <si>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</si>
  <si>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</si>
  <si>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</si>
  <si>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</si>
  <si>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</si>
  <si>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</si>
  <si>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</si>
  <si>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</si>
  <si>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</si>
  <si>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</si>
  <si>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</si>
  <si>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</si>
  <si>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</si>
  <si>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</si>
  <si>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</si>
  <si>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</si>
  <si>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</si>
  <si>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</si>
  <si>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</si>
  <si>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</si>
  <si>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</si>
  <si>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</si>
  <si>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</si>
  <si>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</si>
  <si>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</si>
  <si>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</si>
  <si>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</si>
  <si>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</si>
  <si>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</si>
  <si>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</si>
  <si>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</si>
  <si>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</si>
  <si>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C: Establish the efficiency based on historical data and a regression analysis</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</si>
  <si>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</si>
  <si>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</si>
  <si>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</si>
  <si>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</si>
  <si>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</si>
  <si>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</si>
  <si>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</si>
  <si>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</si>
  <si>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</si>
  <si>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</si>
  <si>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</si>
  <si>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</si>
  <si>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</si>
  <si>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</si>
  <si>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</si>
  <si>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 xml:space="preserve">No </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</si>
  <si>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</si>
  <si>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</si>
  <si>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</si>
  <si>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</si>
  <si>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</si>
  <si>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</si>
  <si>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</si>
  <si>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</si>
  <si>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</si>
  <si>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</si>
  <si>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Option F: Use a default value</t>
  </si>
  <si>
    <t xml:space="preserve">Project participants may use the default values for the applicable technology from the appendix as constant efficiency. See default values tables. </t>
  </si>
  <si>
    <t xml:space="preserve">Value to be Used in Main Framework Schema </t>
  </si>
  <si>
    <t>Auto-calculation</t>
  </si>
  <si>
    <t>Efficiency Estimation Options</t>
  </si>
  <si>
    <t>Binary Yes/No</t>
  </si>
  <si>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</si>
  <si>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</si>
  <si>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</si>
  <si>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</si>
  <si>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</si>
  <si>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</si>
  <si>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</si>
  <si>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</si>
  <si>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number</t>
  </si>
  <si>
    <t>Remaining lifetime of the baseline or project equipment (unit in years or hours) : Manufacturer Info</t>
  </si>
  <si>
    <t>Project Proponent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</si>
  <si>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</si>
  <si>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</si>
  <si>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</si>
  <si>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</si>
  <si>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</si>
  <si>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</si>
  <si>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</si>
  <si>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</si>
  <si>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</si>
  <si>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</si>
  <si>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</si>
  <si>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</si>
  <si>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</si>
  <si>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</si>
  <si>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</si>
  <si>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</si>
  <si>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</si>
  <si>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</si>
  <si>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</si>
  <si>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</si>
  <si>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</si>
  <si>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</si>
  <si>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</si>
  <si>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</si>
  <si>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</si>
  <si>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</si>
  <si>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</si>
  <si>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</si>
  <si>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</si>
  <si>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</si>
  <si>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</si>
  <si>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</si>
  <si>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</si>
  <si>
    <t xml:space="preserve">Answer </t>
  </si>
  <si>
    <t xml:space="preserve">Multiple Answers </t>
  </si>
  <si>
    <t xml:space="preserve">Selective Disclosure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</si>
  <si>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</si>
  <si>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</si>
  <si>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</si>
  <si>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</si>
  <si>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</si>
  <si>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</si>
  <si>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</si>
  <si>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</si>
  <si>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</si>
  <si>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</si>
  <si>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</si>
  <si>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</si>
  <si>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</si>
  <si>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</si>
  <si>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</si>
  <si>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</si>
  <si>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</si>
  <si>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</si>
  <si>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</si>
  <si>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</si>
  <si>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</si>
  <si>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</si>
  <si>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</si>
  <si>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</si>
  <si>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</si>
  <si>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</si>
  <si>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</si>
  <si>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</si>
  <si>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</si>
  <si>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r>
      <t>[Tool  03] Parameter =</t>
    </r>
    <r>
      <rPr>
        <b/>
        <sz val="11"/>
        <color theme="1"/>
        <rFont val="Calibri"/>
        <family val="2"/>
        <scheme val="minor"/>
      </rPr>
      <t xml:space="preserve"> PEFC,j,y</t>
    </r>
  </si>
  <si>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</si>
  <si>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</si>
  <si>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</si>
  <si>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</si>
  <si>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</si>
  <si>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</si>
  <si>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</si>
  <si>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</si>
  <si>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</si>
  <si>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</si>
  <si>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</si>
  <si>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</si>
  <si>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</si>
  <si>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</si>
  <si>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</si>
  <si>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</si>
  <si>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</si>
  <si>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</si>
  <si>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</si>
  <si>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</si>
  <si>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</si>
  <si>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</si>
  <si>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</si>
  <si>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Type of Emissions Estimates</t>
  </si>
  <si>
    <t>Rail</t>
  </si>
  <si>
    <t xml:space="preserve">Light </t>
  </si>
  <si>
    <t>Leakage emissions (LEtr,m)</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</si>
  <si>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</si>
  <si>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</si>
  <si>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</si>
  <si>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</si>
  <si>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</si>
  <si>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</si>
  <si>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</si>
  <si>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</si>
  <si>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</si>
  <si>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</si>
  <si>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</si>
  <si>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</si>
  <si>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</si>
  <si>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</si>
  <si>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</si>
  <si>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</si>
  <si>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</si>
  <si>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</si>
  <si>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</si>
  <si>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</si>
  <si>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</si>
  <si>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</si>
  <si>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</si>
  <si>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</si>
  <si>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</si>
  <si>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</si>
  <si>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</si>
  <si>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</si>
  <si>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</si>
  <si>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</si>
  <si>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</si>
  <si>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</si>
  <si>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</si>
  <si>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</si>
  <si>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</si>
  <si>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</si>
  <si>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</si>
  <si>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</si>
  <si>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</si>
  <si>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</si>
  <si>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</si>
  <si>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</si>
  <si>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</si>
  <si>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</si>
  <si>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</si>
  <si>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</si>
  <si>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</si>
  <si>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</si>
  <si>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</si>
  <si>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</si>
  <si>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</si>
  <si>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</si>
  <si>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</si>
  <si>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</si>
  <si>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</si>
  <si>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</si>
  <si>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</si>
  <si>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</si>
  <si>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</si>
  <si>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</si>
  <si>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</si>
  <si>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</si>
  <si>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</si>
  <si>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</si>
  <si>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</si>
  <si>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</si>
  <si>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</si>
  <si>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</si>
  <si>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</si>
  <si>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</si>
  <si>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</si>
  <si>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</si>
  <si>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</si>
  <si>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</si>
  <si>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</si>
  <si>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</si>
  <si>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</si>
  <si>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</si>
  <si>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</si>
  <si>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</si>
  <si>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</si>
  <si>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</si>
  <si>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</si>
  <si>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</si>
  <si>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</si>
  <si>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</si>
  <si>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</si>
  <si>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</si>
  <si>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</si>
  <si>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</si>
  <si>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</si>
  <si>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</si>
  <si>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</si>
  <si>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</si>
  <si>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</si>
  <si>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</si>
  <si>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</si>
  <si>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</si>
  <si>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</si>
  <si>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</si>
  <si>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</si>
  <si>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</si>
  <si>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</si>
  <si>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</si>
  <si>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</si>
  <si>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</si>
  <si>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</si>
  <si>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</si>
  <si>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</si>
  <si>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</si>
  <si>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</si>
  <si>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</si>
  <si>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</si>
  <si>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</si>
  <si>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</si>
  <si>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</si>
  <si>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</si>
  <si>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</si>
  <si>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</si>
  <si>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</si>
  <si>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</si>
  <si>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</si>
  <si>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</si>
  <si>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</si>
  <si>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</si>
  <si>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</si>
  <si>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</si>
  <si>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</si>
  <si>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</si>
  <si>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</si>
  <si>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</si>
  <si>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</si>
  <si>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</si>
  <si>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</si>
  <si>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</si>
  <si>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</si>
  <si>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</si>
  <si>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</si>
  <si>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</si>
  <si>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</si>
  <si>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</si>
  <si>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</si>
  <si>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</si>
  <si>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</si>
  <si>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</si>
  <si>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</si>
  <si>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</si>
  <si>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</si>
  <si>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</si>
  <si>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</si>
  <si>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</si>
  <si>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</si>
  <si>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</si>
  <si>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</si>
  <si>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</si>
  <si>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</si>
  <si>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</si>
  <si>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</si>
  <si>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</si>
  <si>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</si>
  <si>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</si>
  <si>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</si>
  <si>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</si>
  <si>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</si>
  <si>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</si>
  <si>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</si>
  <si>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</si>
  <si>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</si>
  <si>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</si>
  <si>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</si>
  <si>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</si>
  <si>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</si>
  <si>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</si>
  <si>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</si>
  <si>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</si>
  <si>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</si>
  <si>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</si>
  <si>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</si>
  <si>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</si>
  <si>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</si>
  <si>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</si>
  <si>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1"/>
        <color theme="1"/>
        <rFont val="Calibri"/>
        <family val="2"/>
        <scheme val="minor"/>
      </rPr>
      <t xml:space="preserve">Covered anaerobic lagoons (gravity fed) / conventional digesters 
</t>
    </r>
    <r>
      <rPr>
        <b/>
        <sz val="11"/>
        <color theme="1"/>
        <rFont val="Calibri"/>
        <family val="2"/>
        <scheme val="minor"/>
      </rPr>
      <t xml:space="preserve">Option B- </t>
    </r>
    <r>
      <rPr>
        <sz val="11"/>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1"/>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1"/>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1"/>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</si>
  <si>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</si>
  <si>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</si>
  <si>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</si>
  <si>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</si>
  <si>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</si>
  <si>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</si>
  <si>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</si>
  <si>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</si>
  <si>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</si>
  <si>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</si>
  <si>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</si>
  <si>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</si>
  <si>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</si>
  <si>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</si>
  <si>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</si>
  <si>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</si>
  <si>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</si>
  <si>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</si>
  <si>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</si>
  <si>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</si>
  <si>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</si>
  <si>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</si>
  <si>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</si>
  <si>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</si>
  <si>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</si>
  <si>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</si>
  <si>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</si>
  <si>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</si>
  <si>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</si>
  <si>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</si>
  <si>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</si>
  <si>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</si>
  <si>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</si>
  <si>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</si>
  <si>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</si>
  <si>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</si>
  <si>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</si>
  <si>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</si>
  <si>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</si>
  <si>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</si>
  <si>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</si>
  <si>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</si>
  <si>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</si>
  <si>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</si>
  <si>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</si>
  <si>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</si>
  <si>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</si>
  <si>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</si>
  <si>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</si>
  <si>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 xml:space="preserve">What is the scale of the project </t>
  </si>
  <si>
    <t>Small or Micro</t>
  </si>
  <si>
    <t xml:space="preserve">Select One </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</si>
  <si>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</si>
  <si>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</si>
  <si>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</si>
  <si>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Omitted</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</si>
  <si>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</si>
  <si>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</si>
  <si>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</si>
  <si>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</si>
  <si>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</si>
  <si>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</si>
  <si>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</si>
  <si>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</si>
  <si>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</si>
  <si>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</si>
  <si>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</si>
  <si>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</si>
  <si>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</si>
  <si>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</si>
  <si>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</si>
  <si>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</si>
  <si>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</si>
  <si>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</si>
  <si>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</si>
  <si>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1"/>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</si>
  <si>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</si>
  <si>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</si>
  <si>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</si>
  <si>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</si>
  <si>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</si>
  <si>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</si>
  <si>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</si>
  <si>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</si>
  <si>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</si>
  <si>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</si>
  <si>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</si>
  <si>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</si>
  <si>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</si>
  <si>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</si>
  <si>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</si>
  <si>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</si>
  <si>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</si>
  <si>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</si>
  <si>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</si>
  <si>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</si>
  <si>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</si>
  <si>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</si>
  <si>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</si>
  <si>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</si>
  <si>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</si>
  <si>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</si>
  <si>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</si>
  <si>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</si>
  <si>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</si>
  <si>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</si>
  <si>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</si>
  <si>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Parameter 𝑃𝐸ec,y from Tool 05</t>
  </si>
  <si>
    <t xml:space="preserve">Referenced Parameter </t>
  </si>
  <si>
    <t>𝑃𝐸bsh,𝑓𝑢𝑒𝑙,y</t>
  </si>
  <si>
    <t>Project emissions from the consumption of fossil fuels for biomass seeding and harvesting in year y (tCO2e)</t>
  </si>
  <si>
    <t>Parameter 𝑃𝐸fc,𝑗,y from Tool 03</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</si>
  <si>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</si>
  <si>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</si>
  <si>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</si>
  <si>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</si>
  <si>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</si>
  <si>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</si>
  <si>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</si>
  <si>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</si>
  <si>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</si>
  <si>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</si>
  <si>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</si>
  <si>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</si>
  <si>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</si>
  <si>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</si>
  <si>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</si>
  <si>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</si>
  <si>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</si>
  <si>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</si>
  <si>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</si>
  <si>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</si>
  <si>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</si>
  <si>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</si>
  <si>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</si>
  <si>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</si>
  <si>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</si>
  <si>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</si>
  <si>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</si>
  <si>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</si>
  <si>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</si>
  <si>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</si>
  <si>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</si>
  <si>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</si>
  <si>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</si>
  <si>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</si>
  <si>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</si>
  <si>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</si>
  <si>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</si>
  <si>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</si>
  <si>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</si>
  <si>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</si>
  <si>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</si>
  <si>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</si>
  <si>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</si>
  <si>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</si>
  <si>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</si>
  <si>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</si>
  <si>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</si>
  <si>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</si>
  <si>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</si>
  <si>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</si>
  <si>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</si>
  <si>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</si>
  <si>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</si>
  <si>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</si>
  <si>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</si>
  <si>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</si>
  <si>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</si>
  <si>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Parameter PEtr,m from Tool 12</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</si>
  <si>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</si>
  <si>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</si>
  <si>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</si>
  <si>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</si>
  <si>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</si>
  <si>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</si>
  <si>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</si>
  <si>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</si>
  <si>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Tool 12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</si>
  <si>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</si>
  <si>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</si>
  <si>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</si>
  <si>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</si>
  <si>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</si>
  <si>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Parameter 𝑃𝐸fc,𝑗,𝑦  from Tool 03</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</si>
  <si>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</si>
  <si>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</si>
  <si>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</si>
  <si>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</si>
  <si>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</si>
  <si>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</si>
  <si>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</si>
  <si>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</si>
  <si>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</si>
  <si>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</si>
  <si>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</si>
  <si>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</si>
  <si>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</si>
  <si>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</si>
  <si>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</si>
  <si>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</si>
  <si>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</si>
  <si>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</si>
  <si>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</si>
  <si>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</si>
  <si>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</si>
  <si>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Parameter  𝑃𝐸ch4,swds,𝑦  from Tool 04</t>
  </si>
  <si>
    <t>𝑃𝐸bp,comp,y</t>
  </si>
  <si>
    <t>Project emissions resulting from composting due to thermo-chemical, biological and mechanical processing of the biomass in year y (tCO2e)</t>
  </si>
  <si>
    <t>Parameter 𝑃𝐸comp,y  from Tool 13</t>
  </si>
  <si>
    <t>𝑃𝐸bp,ad,y</t>
  </si>
  <si>
    <t>Project emissions resulting from the anaerobic digester due to thermochemical, biological and mechanical processing of the biomass in year y (tCO2e)</t>
  </si>
  <si>
    <t>Parameter 𝑃𝐸ad,𝑦   from Tool 14</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</si>
  <si>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</si>
  <si>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</si>
  <si>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</si>
  <si>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</si>
  <si>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</si>
  <si>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</si>
  <si>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</si>
  <si>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</si>
  <si>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</si>
  <si>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</si>
  <si>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</si>
  <si>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</si>
  <si>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</si>
  <si>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</si>
  <si>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</si>
  <si>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</si>
  <si>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</si>
  <si>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</si>
  <si>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</si>
  <si>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</si>
  <si>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</si>
  <si>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</si>
  <si>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</si>
  <si>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</si>
  <si>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</si>
  <si>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</si>
  <si>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</si>
  <si>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</si>
  <si>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</si>
  <si>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</si>
  <si>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</si>
  <si>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</si>
  <si>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</si>
  <si>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</si>
  <si>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</si>
  <si>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</si>
  <si>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</si>
  <si>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</si>
  <si>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</si>
  <si>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</si>
  <si>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</si>
  <si>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</si>
  <si>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</si>
  <si>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</si>
  <si>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</si>
  <si>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</si>
  <si>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</si>
  <si>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</si>
  <si>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</si>
  <si>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Parameter LEtr,m from Tool 12</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</si>
  <si>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</si>
  <si>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</si>
  <si>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</si>
  <si>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</si>
  <si>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</si>
  <si>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</si>
  <si>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</si>
  <si>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</si>
  <si>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</si>
  <si>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</si>
  <si>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</si>
  <si>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</si>
  <si>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</si>
  <si>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</si>
  <si>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</si>
  <si>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</si>
  <si>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</si>
  <si>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</si>
  <si>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</si>
  <si>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</si>
  <si>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</si>
  <si>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</si>
  <si>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</si>
  <si>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</si>
  <si>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</si>
  <si>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</si>
  <si>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</si>
  <si>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</si>
  <si>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</si>
  <si>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</si>
  <si>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</si>
  <si>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</si>
  <si>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</si>
  <si>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</si>
  <si>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</si>
  <si>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</si>
  <si>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</si>
  <si>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</si>
  <si>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</si>
  <si>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</si>
  <si>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</si>
  <si>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</si>
  <si>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</si>
  <si>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</si>
  <si>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</si>
  <si>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</si>
  <si>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</si>
  <si>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</si>
  <si>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</si>
  <si>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</si>
  <si>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</si>
  <si>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</si>
  <si>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</si>
  <si>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</si>
  <si>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</si>
  <si>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</si>
  <si>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</si>
  <si>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</si>
  <si>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NA</t>
  </si>
  <si>
    <t>No-tillage</t>
  </si>
  <si>
    <t>Tropical montane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</si>
</sst>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8">
    <font>
      <sz val="11"/>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sz val="14"/>
      <color theme="1"/>
      <name val="Calibri"/>
      <family val="2"/>
      <scheme val="minor"/>
    </font>
    <font>
      <sz val="12"/>
      <color theme="1"/>
      <name val="Calibri"/>
      <family val="2"/>
      <scheme val="minor"/>
    </font>
    <font>
      <sz val="18"/>
      <color theme="1"/>
      <name val="Calibri"/>
      <family val="2"/>
      <scheme val="minor"/>
    </font>
    <font>
      <vertAlign val="subscript"/>
      <sz val="18"/>
      <color theme="1"/>
      <name val="Calibri"/>
      <family val="2"/>
      <scheme val="minor"/>
    </font>
    <font>
      <sz val="18"/>
      <color rgb="FF000000"/>
      <name val="Calibri"/>
      <family val="2"/>
      <scheme val="minor"/>
    </font>
    <font>
      <b/>
      <sz val="16"/>
      <color rgb="FF000000"/>
      <name val="Calibri"/>
    </font>
    <font>
      <b/>
      <i/>
      <u/>
      <sz val="16"/>
      <color rgb="FF000000"/>
      <name val="Calibri"/>
    </font>
    <font>
      <sz val="11"/>
      <color rgb="FF000000"/>
      <name val="Calibri"/>
    </font>
    <font>
      <b/>
      <sz val="11"/>
      <color theme="1"/>
      <name val="Calibri"/>
      <family val="2"/>
      <scheme val="minor"/>
    </font>
    <font>
      <b/>
      <i/>
      <sz val="18"/>
      <color theme="1"/>
      <name val="Calibri"/>
      <family val="2"/>
      <scheme val="minor"/>
    </font>
    <font>
      <sz val="16"/>
      <color rgb="FF000000"/>
      <name val="Calibri"/>
      <family val="2"/>
      <scheme val="minor"/>
    </font>
    <font>
      <b/>
      <sz val="11"/>
      <color rgb="FF000000"/>
      <name val="Calibri"/>
      <family val="2"/>
      <scheme val="minor"/>
    </font>
    <font>
      <b/>
      <u/>
      <sz val="11"/>
      <color theme="1"/>
      <name val="Calibri"/>
      <family val="2"/>
      <scheme val="minor"/>
    </font>
    <font>
      <i/>
      <sz val="16"/>
      <color rgb="FF00000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i/>
      <sz val="12"/>
      <color rgb="FF000000"/>
      <name val="Calibri"/>
      <family val="2"/>
      <scheme val="minor"/>
    </font>
    <font>
      <sz val="14"/>
      <color rgb="FF000000"/>
      <name val="Calibri"/>
      <family val="2"/>
      <scheme val="minor"/>
    </font>
    <font>
      <vertAlign val="subscript"/>
      <sz val="14"/>
      <color rgb="FF000000"/>
      <name val="Calibri"/>
      <family val="2"/>
      <scheme val="minor"/>
    </font>
    <font>
      <b/>
      <sz val="18"/>
      <color theme="1"/>
      <name val="Calibri"/>
      <family val="2"/>
      <scheme val="minor"/>
    </font>
    <font>
      <sz val="12"/>
      <name val="Calibri"/>
      <family val="2"/>
      <scheme val="minor"/>
    </font>
    <font>
      <sz val="18"/>
      <name val="Calibri"/>
      <family val="2"/>
      <scheme val="minor"/>
    </font>
    <font>
      <vertAlign val="subscript"/>
      <sz val="18"/>
      <name val="Calibri"/>
      <family val="2"/>
      <scheme val="minor"/>
    </font>
    <font>
      <b/>
      <vertAlign val="subscript"/>
      <sz val="11"/>
      <color theme="1"/>
      <name val="Calibri"/>
      <family val="2"/>
      <scheme val="minor"/>
    </font>
    <font>
      <sz val="11"/>
      <name val="Calibri"/>
      <family val="2"/>
      <scheme val="minor"/>
    </font>
    <font>
      <b/>
      <i/>
      <sz val="11"/>
      <color theme="1"/>
      <name val="Calibri"/>
      <family val="2"/>
      <scheme val="minor"/>
    </font>
    <font>
      <b/>
      <i/>
      <sz val="14"/>
      <color theme="1"/>
      <name val="Calibri"/>
      <family val="2"/>
      <scheme val="minor"/>
    </font>
    <font>
      <i/>
      <sz val="11"/>
      <color theme="1"/>
      <name val="Calibri"/>
      <family val="2"/>
      <scheme val="minor"/>
    </font>
    <font>
      <vertAlign val="superscript"/>
      <sz val="11"/>
      <color theme="1"/>
      <name val="Calibri"/>
      <family val="2"/>
      <scheme val="minor"/>
    </font>
    <font>
      <u/>
      <sz val="11"/>
      <color theme="1"/>
      <name val="Calibri"/>
      <family val="2"/>
      <scheme val="minor"/>
    </font>
    <font>
      <b/>
      <sz val="15"/>
      <color theme="1"/>
      <name val="Calibri"/>
      <family val="2"/>
      <scheme val="minor"/>
    </font>
    <font>
      <sz val="11"/>
      <color rgb="FF9C5700"/>
      <name val="Calibri"/>
      <family val="2"/>
      <scheme val="minor"/>
    </font>
    <font>
      <sz val="10"/>
      <name val="Arial"/>
      <family val="2"/>
    </font>
    <font>
      <sz val="12"/>
      <color rgb="FF000000"/>
      <name val="Calibri"/>
      <scheme val="minor"/>
    </font>
    <font>
      <b/>
      <sz val="12"/>
      <color rgb="FF000000"/>
      <name val="Calibri"/>
      <scheme val="minor"/>
    </font>
    <font>
      <b/>
      <u/>
      <sz val="12"/>
      <color rgb="FF000000"/>
      <name val="Calibri"/>
      <scheme val="minor"/>
    </font>
    <font>
      <vertAlign val="subscript"/>
      <sz val="12"/>
      <color rgb="FF000000"/>
      <name val="Calibri"/>
      <scheme val="minor"/>
    </font>
  </fonts>
  <fills count="16">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C6E0B4"/>
        <bgColor rgb="FF000000"/>
      </patternFill>
    </fill>
    <fill>
      <patternFill patternType="solid">
        <fgColor theme="0" tint="-0.34998626667073579"/>
        <bgColor indexed="64"/>
      </patternFill>
    </fill>
    <fill>
      <patternFill patternType="solid">
        <fgColor theme="0" tint="-0.14999847407452621"/>
        <bgColor rgb="FF000000"/>
      </patternFill>
    </fill>
    <fill>
      <patternFill patternType="solid">
        <fgColor rgb="FF00B050"/>
        <bgColor indexed="64"/>
      </patternFill>
    </fill>
    <fill>
      <patternFill patternType="solid">
        <fgColor rgb="FFFFEB9C"/>
      </patternFill>
    </fill>
    <fill>
      <patternFill patternType="solid">
        <fgColor theme="2" tint="-9.9978637043366805E-2"/>
        <bgColor indexed="64"/>
      </patternFill>
    </fill>
    <fill>
      <patternFill patternType="solid">
        <fgColor rgb="FFE2EFDA"/>
        <bgColor rgb="FF000000"/>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43" fontId="24" fillId="0" borderId="0" applyFont="0" applyFill="0" applyBorder="0" applyAlignment="0" applyProtection="0"/>
    <xf numFmtId="0" fontId="42" fillId="13" borderId="0" applyNumberFormat="0" applyBorder="0" applyAlignment="0" applyProtection="0"/>
    <xf numFmtId="0" fontId="43" fillId="0" borderId="0"/>
  </cellStyleXfs>
  <cellXfs count="327">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left" wrapText="1"/>
    </xf>
    <xf numFmtId="0" fontId="0" fillId="0" borderId="0" xfId="0" applyAlignment="1">
      <alignment vertical="center" wrapText="1"/>
    </xf>
    <xf numFmtId="0" fontId="5" fillId="0" borderId="0" xfId="0" applyFont="1" applyAlignment="1">
      <alignment horizontal="center" vertical="center"/>
    </xf>
    <xf numFmtId="0" fontId="1"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5"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horizontal="left"/>
    </xf>
    <xf numFmtId="0" fontId="0" fillId="3" borderId="0" xfId="0" applyFill="1"/>
    <xf numFmtId="0" fontId="0" fillId="3" borderId="0" xfId="0" applyFill="1" applyAlignment="1">
      <alignment wrapText="1"/>
    </xf>
    <xf numFmtId="0" fontId="11" fillId="0" borderId="0" xfId="0" applyFont="1"/>
    <xf numFmtId="0" fontId="11" fillId="3" borderId="0" xfId="0" applyFont="1" applyFill="1"/>
    <xf numFmtId="0" fontId="11" fillId="3" borderId="0" xfId="0" applyFont="1" applyFill="1" applyAlignment="1">
      <alignment vertical="center" wrapText="1" readingOrder="1"/>
    </xf>
    <xf numFmtId="0" fontId="11" fillId="3" borderId="0" xfId="0" applyFont="1" applyFill="1" applyAlignment="1">
      <alignment wrapText="1"/>
    </xf>
    <xf numFmtId="0" fontId="12" fillId="3" borderId="0" xfId="0" applyFont="1" applyFill="1" applyAlignment="1">
      <alignment horizontal="center" vertical="center"/>
    </xf>
    <xf numFmtId="0" fontId="11" fillId="3" borderId="0" xfId="0" applyFont="1" applyFill="1" applyAlignment="1">
      <alignment vertical="center" wrapText="1"/>
    </xf>
    <xf numFmtId="0" fontId="11" fillId="3" borderId="0" xfId="0" applyFont="1" applyFill="1" applyAlignment="1">
      <alignment horizontal="left"/>
    </xf>
    <xf numFmtId="0" fontId="11" fillId="3" borderId="0" xfId="0" applyFont="1" applyFill="1" applyAlignment="1">
      <alignment horizontal="center"/>
    </xf>
    <xf numFmtId="0" fontId="11" fillId="0" borderId="0" xfId="0" applyFont="1" applyAlignment="1">
      <alignment vertical="center" wrapText="1"/>
    </xf>
    <xf numFmtId="0" fontId="11" fillId="0" borderId="0" xfId="0" applyFont="1" applyAlignment="1">
      <alignment horizontal="left"/>
    </xf>
    <xf numFmtId="0" fontId="12" fillId="0" borderId="0" xfId="0" applyFont="1" applyAlignment="1">
      <alignment horizontal="center" vertical="center"/>
    </xf>
    <xf numFmtId="0" fontId="11" fillId="3" borderId="0" xfId="0" applyFont="1" applyFill="1" applyAlignment="1">
      <alignment vertical="center"/>
    </xf>
    <xf numFmtId="0" fontId="8" fillId="3" borderId="0" xfId="0" applyFont="1" applyFill="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xf>
    <xf numFmtId="0" fontId="10" fillId="0" borderId="0" xfId="0" applyFont="1" applyAlignment="1">
      <alignment vertical="center" wrapText="1"/>
    </xf>
    <xf numFmtId="0" fontId="0" fillId="0" borderId="0" xfId="0" applyAlignment="1">
      <alignment vertical="center"/>
    </xf>
    <xf numFmtId="0" fontId="8" fillId="4" borderId="0" xfId="0" applyFont="1" applyFill="1" applyAlignment="1">
      <alignment horizontal="left" vertical="center" wrapText="1"/>
    </xf>
    <xf numFmtId="0" fontId="14" fillId="4" borderId="0" xfId="0" applyFont="1" applyFill="1" applyAlignment="1">
      <alignment horizontal="center" vertical="center" wrapText="1"/>
    </xf>
    <xf numFmtId="0" fontId="9" fillId="4" borderId="0" xfId="0" applyFont="1" applyFill="1" applyAlignment="1">
      <alignment horizontal="left" vertical="center" wrapText="1"/>
    </xf>
    <xf numFmtId="0" fontId="18" fillId="0" borderId="2"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3" xfId="0" applyFont="1" applyBorder="1" applyAlignment="1">
      <alignment wrapText="1"/>
    </xf>
    <xf numFmtId="0" fontId="19" fillId="0" borderId="0" xfId="0" applyFont="1" applyAlignment="1">
      <alignment horizontal="center" vertical="center"/>
    </xf>
    <xf numFmtId="0" fontId="0" fillId="0" borderId="0" xfId="0" applyAlignment="1">
      <alignment horizontal="center" vertical="center"/>
    </xf>
    <xf numFmtId="0" fontId="19" fillId="3" borderId="0" xfId="0" applyFont="1" applyFill="1" applyAlignment="1">
      <alignment horizontal="center" vertical="center"/>
    </xf>
    <xf numFmtId="0" fontId="11" fillId="3" borderId="0" xfId="0" applyFont="1" applyFill="1" applyAlignment="1">
      <alignment horizontal="left" vertical="center"/>
    </xf>
    <xf numFmtId="0" fontId="8" fillId="3" borderId="0" xfId="0" applyFont="1" applyFill="1" applyAlignment="1">
      <alignment horizontal="left" vertical="center"/>
    </xf>
    <xf numFmtId="0" fontId="8" fillId="3" borderId="0" xfId="0" applyFont="1" applyFill="1" applyAlignment="1">
      <alignment vertical="center" wrapText="1"/>
    </xf>
    <xf numFmtId="0" fontId="8" fillId="3" borderId="0" xfId="0" applyFont="1" applyFill="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11" fillId="0" borderId="0" xfId="0" applyFont="1" applyAlignment="1">
      <alignment horizontal="left" vertical="center"/>
    </xf>
    <xf numFmtId="0" fontId="0" fillId="3" borderId="0" xfId="0" applyFill="1" applyAlignment="1">
      <alignment vertical="center"/>
    </xf>
    <xf numFmtId="0" fontId="5" fillId="4" borderId="0" xfId="0" applyFont="1" applyFill="1" applyAlignment="1">
      <alignment horizontal="center" vertical="center"/>
    </xf>
    <xf numFmtId="0" fontId="0" fillId="4" borderId="0" xfId="0" applyFill="1" applyAlignment="1">
      <alignment horizontal="left" vertical="center" wrapText="1"/>
    </xf>
    <xf numFmtId="0" fontId="0" fillId="4" borderId="0" xfId="0" applyFill="1" applyAlignment="1">
      <alignment horizontal="center" vertical="center"/>
    </xf>
    <xf numFmtId="0" fontId="0" fillId="4" borderId="0" xfId="0" applyFill="1" applyAlignment="1">
      <alignment wrapText="1"/>
    </xf>
    <xf numFmtId="0" fontId="2" fillId="4" borderId="0" xfId="0" applyFont="1" applyFill="1"/>
    <xf numFmtId="0" fontId="0" fillId="4" borderId="0" xfId="0" applyFill="1"/>
    <xf numFmtId="0" fontId="0" fillId="4" borderId="0" xfId="0" applyFill="1" applyAlignment="1">
      <alignment vertical="center" wrapText="1"/>
    </xf>
    <xf numFmtId="0" fontId="0" fillId="4" borderId="0" xfId="0" applyFill="1" applyAlignment="1">
      <alignment vertical="center"/>
    </xf>
    <xf numFmtId="0" fontId="2" fillId="4" borderId="0" xfId="0" applyFont="1" applyFill="1" applyAlignment="1">
      <alignment horizontal="left" vertical="center"/>
    </xf>
    <xf numFmtId="0" fontId="2" fillId="4" borderId="0" xfId="0" applyFont="1" applyFill="1" applyAlignment="1">
      <alignment vertical="center"/>
    </xf>
    <xf numFmtId="0" fontId="10" fillId="4" borderId="0" xfId="0" applyFont="1" applyFill="1" applyAlignment="1">
      <alignment horizontal="left" vertical="center" wrapText="1"/>
    </xf>
    <xf numFmtId="0" fontId="0" fillId="4" borderId="0" xfId="0" applyFill="1" applyAlignment="1">
      <alignment horizontal="left"/>
    </xf>
    <xf numFmtId="0" fontId="17" fillId="4" borderId="0" xfId="0" applyFont="1" applyFill="1" applyAlignment="1">
      <alignment vertical="center" wrapText="1"/>
    </xf>
    <xf numFmtId="0" fontId="10" fillId="4" borderId="0" xfId="0" applyFont="1" applyFill="1" applyAlignment="1">
      <alignment vertical="center" wrapText="1"/>
    </xf>
    <xf numFmtId="0" fontId="1" fillId="0" borderId="0" xfId="0" applyFont="1" applyAlignment="1">
      <alignment horizontal="center"/>
    </xf>
    <xf numFmtId="0" fontId="0" fillId="3" borderId="0" xfId="0" applyFill="1" applyAlignment="1">
      <alignment horizontal="center"/>
    </xf>
    <xf numFmtId="0" fontId="18" fillId="0" borderId="8" xfId="0" applyFont="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0" fontId="0" fillId="0" borderId="9" xfId="0" applyBorder="1" applyAlignment="1">
      <alignment horizontal="center"/>
    </xf>
    <xf numFmtId="0" fontId="20" fillId="4" borderId="0" xfId="0" applyFont="1" applyFill="1" applyAlignment="1">
      <alignment horizontal="center" vertical="center" wrapText="1"/>
    </xf>
    <xf numFmtId="0" fontId="0" fillId="7" borderId="0" xfId="0" applyFill="1"/>
    <xf numFmtId="0" fontId="0" fillId="7" borderId="0" xfId="0" applyFill="1" applyAlignment="1">
      <alignment wrapText="1"/>
    </xf>
    <xf numFmtId="0" fontId="5" fillId="0" borderId="0" xfId="0" applyFont="1"/>
    <xf numFmtId="0" fontId="5" fillId="3" borderId="0" xfId="0" applyFont="1" applyFill="1"/>
    <xf numFmtId="0" fontId="0" fillId="0" borderId="0" xfId="0"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xf numFmtId="0" fontId="0" fillId="3"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wrapText="1"/>
    </xf>
    <xf numFmtId="0" fontId="21" fillId="0" borderId="0" xfId="0" applyFont="1" applyAlignment="1">
      <alignment horizontal="left"/>
    </xf>
    <xf numFmtId="0" fontId="26" fillId="0" borderId="14" xfId="0" applyFont="1" applyBorder="1" applyAlignment="1">
      <alignment horizontal="center"/>
    </xf>
    <xf numFmtId="0" fontId="26" fillId="0" borderId="14" xfId="0" applyFont="1" applyBorder="1" applyAlignment="1">
      <alignment horizontal="center" wrapText="1"/>
    </xf>
    <xf numFmtId="0" fontId="0" fillId="0" borderId="15" xfId="0" applyBorder="1"/>
    <xf numFmtId="0" fontId="0" fillId="0" borderId="16" xfId="0" applyBorder="1"/>
    <xf numFmtId="164" fontId="0" fillId="0" borderId="17" xfId="2" applyNumberFormat="1" applyFont="1" applyBorder="1"/>
    <xf numFmtId="0" fontId="0" fillId="0" borderId="18" xfId="0" applyBorder="1"/>
    <xf numFmtId="0" fontId="0" fillId="0" borderId="10" xfId="0" applyBorder="1"/>
    <xf numFmtId="164" fontId="0" fillId="0" borderId="19" xfId="2" applyNumberFormat="1" applyFont="1" applyBorder="1"/>
    <xf numFmtId="0" fontId="0" fillId="0" borderId="18" xfId="0" applyBorder="1" applyAlignment="1">
      <alignment wrapText="1"/>
    </xf>
    <xf numFmtId="0" fontId="0" fillId="0" borderId="20" xfId="0" applyBorder="1"/>
    <xf numFmtId="0" fontId="0" fillId="0" borderId="21" xfId="0" applyBorder="1"/>
    <xf numFmtId="164" fontId="0" fillId="0" borderId="22" xfId="2" applyNumberFormat="1" applyFont="1" applyBorder="1"/>
    <xf numFmtId="0" fontId="5" fillId="3" borderId="0" xfId="0" applyFont="1" applyFill="1" applyAlignment="1">
      <alignment vertical="center"/>
    </xf>
    <xf numFmtId="0" fontId="0" fillId="3" borderId="0" xfId="0" applyFill="1" applyAlignment="1">
      <alignment horizontal="left" wrapText="1"/>
    </xf>
    <xf numFmtId="0" fontId="11" fillId="7" borderId="0" xfId="0" applyFont="1" applyFill="1" applyAlignment="1">
      <alignment horizontal="left" vertical="center"/>
    </xf>
    <xf numFmtId="0" fontId="11" fillId="7" borderId="0" xfId="0" applyFont="1" applyFill="1" applyAlignment="1">
      <alignment horizontal="left" vertical="center" wrapText="1"/>
    </xf>
    <xf numFmtId="0" fontId="11" fillId="7" borderId="0" xfId="0" applyFont="1" applyFill="1" applyAlignment="1">
      <alignment wrapText="1"/>
    </xf>
    <xf numFmtId="0" fontId="12" fillId="3" borderId="0" xfId="0" applyFont="1" applyFill="1" applyAlignment="1">
      <alignment vertical="center"/>
    </xf>
    <xf numFmtId="0" fontId="8" fillId="3" borderId="26" xfId="0" applyFont="1" applyFill="1" applyBorder="1" applyAlignment="1">
      <alignment horizontal="left" vertical="center" wrapText="1"/>
    </xf>
    <xf numFmtId="0" fontId="11" fillId="3" borderId="27" xfId="0" applyFont="1" applyFill="1" applyBorder="1" applyAlignment="1">
      <alignment wrapText="1"/>
    </xf>
    <xf numFmtId="0" fontId="8" fillId="0" borderId="26" xfId="0" applyFont="1" applyBorder="1" applyAlignment="1">
      <alignment vertical="center"/>
    </xf>
    <xf numFmtId="0" fontId="11" fillId="0" borderId="27" xfId="0" applyFont="1" applyBorder="1" applyAlignment="1">
      <alignment wrapText="1"/>
    </xf>
    <xf numFmtId="0" fontId="8" fillId="0" borderId="27" xfId="0" applyFont="1" applyBorder="1" applyAlignment="1">
      <alignment wrapText="1"/>
    </xf>
    <xf numFmtId="0" fontId="8" fillId="0" borderId="28" xfId="0" applyFont="1" applyBorder="1" applyAlignment="1">
      <alignment vertical="center"/>
    </xf>
    <xf numFmtId="0" fontId="8" fillId="0" borderId="29" xfId="0" applyFont="1" applyBorder="1" applyAlignment="1">
      <alignment vertical="center"/>
    </xf>
    <xf numFmtId="0" fontId="12" fillId="0" borderId="29" xfId="0" applyFont="1" applyBorder="1" applyAlignment="1">
      <alignment horizontal="center" vertical="center"/>
    </xf>
    <xf numFmtId="0" fontId="11" fillId="0" borderId="29" xfId="0" applyFont="1" applyBorder="1" applyAlignment="1">
      <alignment vertical="center" wrapText="1"/>
    </xf>
    <xf numFmtId="0" fontId="11" fillId="0" borderId="29" xfId="0" applyFont="1" applyBorder="1" applyAlignment="1">
      <alignment horizontal="left" vertical="center" wrapText="1"/>
    </xf>
    <xf numFmtId="0" fontId="11" fillId="0" borderId="29" xfId="0" applyFont="1" applyBorder="1" applyAlignment="1">
      <alignment horizontal="left"/>
    </xf>
    <xf numFmtId="0" fontId="11" fillId="0" borderId="30" xfId="0" applyFont="1" applyBorder="1" applyAlignment="1">
      <alignment wrapText="1"/>
    </xf>
    <xf numFmtId="0" fontId="8" fillId="3" borderId="28"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3" borderId="29" xfId="0" applyFont="1" applyFill="1" applyBorder="1" applyAlignment="1">
      <alignment horizontal="left" vertical="center"/>
    </xf>
    <xf numFmtId="0" fontId="11" fillId="3" borderId="29" xfId="0" applyFont="1" applyFill="1" applyBorder="1" applyAlignment="1">
      <alignment horizontal="left" vertical="center"/>
    </xf>
    <xf numFmtId="0" fontId="12" fillId="3" borderId="29" xfId="0" applyFont="1" applyFill="1" applyBorder="1" applyAlignment="1">
      <alignment horizontal="center" vertical="center"/>
    </xf>
    <xf numFmtId="0" fontId="11" fillId="3" borderId="29" xfId="0" applyFont="1" applyFill="1" applyBorder="1" applyAlignment="1">
      <alignment vertical="center" wrapText="1"/>
    </xf>
    <xf numFmtId="0" fontId="11" fillId="3" borderId="29" xfId="0" applyFont="1" applyFill="1" applyBorder="1" applyAlignment="1">
      <alignment horizontal="left"/>
    </xf>
    <xf numFmtId="0" fontId="11" fillId="3" borderId="30" xfId="0" applyFont="1" applyFill="1" applyBorder="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7" borderId="0" xfId="0" applyFont="1" applyFill="1"/>
    <xf numFmtId="0" fontId="2" fillId="3" borderId="0" xfId="0" applyFont="1" applyFill="1"/>
    <xf numFmtId="0" fontId="30" fillId="8" borderId="15" xfId="0" applyFont="1" applyFill="1" applyBorder="1" applyAlignment="1">
      <alignment horizontal="center"/>
    </xf>
    <xf numFmtId="0" fontId="30" fillId="8" borderId="17" xfId="0" applyFont="1" applyFill="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8" fillId="3" borderId="26" xfId="0" applyFont="1" applyFill="1" applyBorder="1" applyAlignment="1">
      <alignment vertical="center" wrapText="1"/>
    </xf>
    <xf numFmtId="0" fontId="11" fillId="3" borderId="27" xfId="0" applyFont="1" applyFill="1" applyBorder="1"/>
    <xf numFmtId="0" fontId="11" fillId="0" borderId="26" xfId="0" applyFont="1" applyBorder="1"/>
    <xf numFmtId="0" fontId="11" fillId="0" borderId="29" xfId="0" applyFont="1" applyBorder="1" applyAlignment="1">
      <alignment vertical="center"/>
    </xf>
    <xf numFmtId="0" fontId="8" fillId="3" borderId="28" xfId="0" applyFont="1" applyFill="1" applyBorder="1" applyAlignment="1">
      <alignment vertical="center" wrapText="1"/>
    </xf>
    <xf numFmtId="0" fontId="8" fillId="3" borderId="29" xfId="0" applyFont="1" applyFill="1" applyBorder="1" applyAlignment="1">
      <alignment vertical="center" wrapText="1"/>
    </xf>
    <xf numFmtId="0" fontId="8" fillId="3" borderId="29" xfId="0" applyFont="1" applyFill="1" applyBorder="1" applyAlignment="1">
      <alignment vertical="center"/>
    </xf>
    <xf numFmtId="0" fontId="11" fillId="3" borderId="29" xfId="0" applyFont="1" applyFill="1" applyBorder="1" applyAlignment="1">
      <alignment vertical="center"/>
    </xf>
    <xf numFmtId="0" fontId="11" fillId="3" borderId="30" xfId="0" applyFont="1" applyFill="1" applyBorder="1"/>
    <xf numFmtId="0" fontId="11" fillId="3" borderId="0" xfId="0" applyFont="1" applyFill="1" applyAlignment="1">
      <alignment horizontal="left" wrapText="1"/>
    </xf>
    <xf numFmtId="0" fontId="8" fillId="3" borderId="27" xfId="0" applyFont="1" applyFill="1" applyBorder="1" applyAlignment="1">
      <alignment wrapText="1"/>
    </xf>
    <xf numFmtId="0" fontId="11" fillId="3" borderId="29" xfId="0" applyFont="1" applyFill="1" applyBorder="1" applyAlignment="1">
      <alignment horizontal="left" wrapText="1"/>
    </xf>
    <xf numFmtId="0" fontId="8" fillId="3" borderId="30" xfId="0" applyFont="1" applyFill="1" applyBorder="1" applyAlignment="1">
      <alignment wrapText="1"/>
    </xf>
    <xf numFmtId="0" fontId="8" fillId="4" borderId="26" xfId="0" applyFont="1" applyFill="1" applyBorder="1" applyAlignment="1">
      <alignment horizontal="left" vertical="center" wrapText="1"/>
    </xf>
    <xf numFmtId="0" fontId="8" fillId="4" borderId="0" xfId="0" applyFont="1" applyFill="1" applyAlignment="1">
      <alignment horizontal="left" vertical="center"/>
    </xf>
    <xf numFmtId="0" fontId="8" fillId="4" borderId="27" xfId="0" applyFont="1" applyFill="1" applyBorder="1" applyAlignment="1">
      <alignment horizontal="left" vertical="center" wrapText="1"/>
    </xf>
    <xf numFmtId="0" fontId="8" fillId="0" borderId="26" xfId="0" applyFont="1" applyBorder="1" applyAlignment="1">
      <alignment horizontal="left" vertical="center"/>
    </xf>
    <xf numFmtId="0" fontId="11" fillId="0" borderId="27" xfId="0" applyFont="1" applyBorder="1"/>
    <xf numFmtId="0" fontId="8" fillId="0" borderId="28" xfId="0" applyFont="1" applyBorder="1" applyAlignment="1">
      <alignment horizontal="left" vertical="center"/>
    </xf>
    <xf numFmtId="0" fontId="8" fillId="0" borderId="29" xfId="0" applyFont="1" applyBorder="1" applyAlignment="1">
      <alignment horizontal="left" vertical="center"/>
    </xf>
    <xf numFmtId="0" fontId="11" fillId="0" borderId="29" xfId="0" applyFont="1" applyBorder="1" applyAlignment="1">
      <alignment horizontal="left" vertical="center"/>
    </xf>
    <xf numFmtId="0" fontId="11" fillId="3" borderId="26" xfId="0" applyFont="1" applyFill="1" applyBorder="1" applyAlignment="1">
      <alignment horizontal="left" vertical="center"/>
    </xf>
    <xf numFmtId="0" fontId="11" fillId="3" borderId="28" xfId="0" applyFont="1" applyFill="1" applyBorder="1" applyAlignment="1">
      <alignment horizontal="left" vertical="center"/>
    </xf>
    <xf numFmtId="0" fontId="11" fillId="3" borderId="29" xfId="0" applyFont="1" applyFill="1" applyBorder="1" applyAlignment="1">
      <alignment vertical="center" wrapText="1" readingOrder="1"/>
    </xf>
    <xf numFmtId="0" fontId="11" fillId="3" borderId="29" xfId="0" applyFont="1" applyFill="1" applyBorder="1" applyAlignment="1">
      <alignment wrapText="1"/>
    </xf>
    <xf numFmtId="0" fontId="28" fillId="4" borderId="27" xfId="0" applyFont="1" applyFill="1" applyBorder="1" applyAlignment="1">
      <alignment horizontal="left" vertical="center" wrapText="1"/>
    </xf>
    <xf numFmtId="0" fontId="8" fillId="3" borderId="26" xfId="0" applyFont="1" applyFill="1" applyBorder="1" applyAlignment="1">
      <alignment vertical="center"/>
    </xf>
    <xf numFmtId="0" fontId="0" fillId="3" borderId="0" xfId="0" applyFill="1" applyAlignment="1">
      <alignment horizontal="left" vertical="center"/>
    </xf>
    <xf numFmtId="0" fontId="0" fillId="3" borderId="27" xfId="0" applyFill="1" applyBorder="1" applyAlignment="1">
      <alignment wrapText="1"/>
    </xf>
    <xf numFmtId="0" fontId="0" fillId="3" borderId="29" xfId="0" applyFill="1" applyBorder="1" applyAlignment="1">
      <alignment horizontal="left" vertical="center"/>
    </xf>
    <xf numFmtId="0" fontId="5" fillId="3" borderId="29" xfId="0" applyFont="1" applyFill="1" applyBorder="1" applyAlignment="1">
      <alignment horizontal="center" vertical="center"/>
    </xf>
    <xf numFmtId="0" fontId="0" fillId="3" borderId="29" xfId="0" applyFill="1" applyBorder="1" applyAlignment="1">
      <alignment wrapText="1"/>
    </xf>
    <xf numFmtId="0" fontId="0" fillId="3" borderId="30" xfId="0" applyFill="1" applyBorder="1" applyAlignment="1">
      <alignment wrapText="1"/>
    </xf>
    <xf numFmtId="0" fontId="8" fillId="9" borderId="27" xfId="0" applyFont="1" applyFill="1" applyBorder="1" applyAlignment="1">
      <alignment horizontal="left" vertical="center" wrapText="1"/>
    </xf>
    <xf numFmtId="0" fontId="8" fillId="9" borderId="26" xfId="0" applyFont="1" applyFill="1" applyBorder="1" applyAlignment="1">
      <alignment horizontal="left" vertical="center" wrapText="1"/>
    </xf>
    <xf numFmtId="0" fontId="8" fillId="9" borderId="0" xfId="0" applyFont="1" applyFill="1" applyAlignment="1">
      <alignment horizontal="left" vertical="center" wrapText="1"/>
    </xf>
    <xf numFmtId="0" fontId="8" fillId="9" borderId="0" xfId="0" applyFont="1" applyFill="1" applyAlignment="1">
      <alignment horizontal="left" vertical="center"/>
    </xf>
    <xf numFmtId="0" fontId="14" fillId="9" borderId="0" xfId="0" applyFont="1" applyFill="1" applyAlignment="1">
      <alignment horizontal="center" vertical="center" wrapText="1"/>
    </xf>
    <xf numFmtId="0" fontId="9" fillId="9" borderId="0" xfId="0" applyFont="1" applyFill="1" applyAlignment="1">
      <alignment horizontal="left" vertical="center" wrapText="1"/>
    </xf>
    <xf numFmtId="0" fontId="0" fillId="0" borderId="27" xfId="0" applyBorder="1"/>
    <xf numFmtId="0" fontId="31" fillId="3" borderId="26" xfId="0" applyFont="1" applyFill="1" applyBorder="1" applyAlignment="1">
      <alignment horizontal="left" vertical="center" wrapText="1"/>
    </xf>
    <xf numFmtId="0" fontId="31" fillId="3" borderId="27" xfId="0" applyFont="1" applyFill="1" applyBorder="1" applyAlignment="1">
      <alignment wrapText="1"/>
    </xf>
    <xf numFmtId="0" fontId="25" fillId="0" borderId="13" xfId="0" applyFont="1" applyBorder="1" applyAlignment="1">
      <alignment horizontal="center"/>
    </xf>
    <xf numFmtId="0" fontId="11" fillId="3" borderId="29" xfId="0" applyFont="1" applyFill="1" applyBorder="1" applyAlignment="1">
      <alignment horizontal="left" vertical="center" wrapText="1"/>
    </xf>
    <xf numFmtId="0" fontId="31" fillId="3" borderId="0" xfId="0" applyFont="1" applyFill="1" applyAlignment="1">
      <alignment horizontal="left" vertical="center" wrapText="1"/>
    </xf>
    <xf numFmtId="0" fontId="31" fillId="3" borderId="0" xfId="0" applyFont="1" applyFill="1" applyAlignment="1">
      <alignment horizontal="left" vertical="center"/>
    </xf>
    <xf numFmtId="0" fontId="32" fillId="3" borderId="0" xfId="0" applyFont="1" applyFill="1" applyAlignment="1">
      <alignment horizontal="center" vertical="center"/>
    </xf>
    <xf numFmtId="0" fontId="31" fillId="3" borderId="0" xfId="0" applyFont="1" applyFill="1" applyAlignment="1">
      <alignment vertical="center" wrapText="1"/>
    </xf>
    <xf numFmtId="0" fontId="31" fillId="3" borderId="0" xfId="0" applyFont="1" applyFill="1" applyAlignment="1">
      <alignment horizontal="left"/>
    </xf>
    <xf numFmtId="0" fontId="11" fillId="3" borderId="0" xfId="0" applyFont="1" applyFill="1" applyAlignment="1">
      <alignment horizontal="left" vertical="center" wrapText="1"/>
    </xf>
    <xf numFmtId="0" fontId="8" fillId="3" borderId="28" xfId="0" applyFont="1" applyFill="1" applyBorder="1" applyAlignment="1">
      <alignment vertical="center"/>
    </xf>
    <xf numFmtId="0" fontId="25" fillId="6" borderId="0" xfId="0" applyFont="1" applyFill="1" applyAlignment="1">
      <alignment wrapText="1"/>
    </xf>
    <xf numFmtId="0" fontId="0" fillId="6" borderId="0" xfId="0" applyFill="1"/>
    <xf numFmtId="0" fontId="18" fillId="0" borderId="32" xfId="0" applyFont="1" applyBorder="1" applyAlignment="1">
      <alignment wrapText="1"/>
    </xf>
    <xf numFmtId="0" fontId="0" fillId="3" borderId="32" xfId="0" applyFill="1" applyBorder="1"/>
    <xf numFmtId="0" fontId="0" fillId="0" borderId="32" xfId="0" applyBorder="1"/>
    <xf numFmtId="0" fontId="0" fillId="0" borderId="33" xfId="0" applyBorder="1" applyAlignment="1">
      <alignment wrapText="1"/>
    </xf>
    <xf numFmtId="0" fontId="0" fillId="0" borderId="33" xfId="0" applyBorder="1"/>
    <xf numFmtId="0" fontId="25" fillId="6" borderId="0" xfId="0" applyFont="1" applyFill="1"/>
    <xf numFmtId="0" fontId="36" fillId="0" borderId="0" xfId="0" applyFont="1" applyAlignment="1">
      <alignment wrapText="1"/>
    </xf>
    <xf numFmtId="0" fontId="18" fillId="6" borderId="0" xfId="0" applyFont="1" applyFill="1"/>
    <xf numFmtId="0" fontId="18" fillId="6" borderId="0" xfId="0" applyFont="1" applyFill="1" applyAlignment="1">
      <alignment wrapText="1"/>
    </xf>
    <xf numFmtId="0" fontId="0" fillId="3" borderId="31" xfId="0" applyFill="1" applyBorder="1"/>
    <xf numFmtId="0" fontId="18" fillId="0" borderId="32" xfId="0" applyFont="1" applyBorder="1"/>
    <xf numFmtId="0" fontId="18" fillId="3" borderId="32" xfId="0" applyFont="1" applyFill="1" applyBorder="1"/>
    <xf numFmtId="0" fontId="18" fillId="3" borderId="0" xfId="0" applyFont="1" applyFill="1"/>
    <xf numFmtId="9" fontId="0" fillId="0" borderId="0" xfId="0" applyNumberFormat="1"/>
    <xf numFmtId="0" fontId="0" fillId="0" borderId="32" xfId="0" applyBorder="1" applyAlignment="1">
      <alignment wrapText="1"/>
    </xf>
    <xf numFmtId="0" fontId="0" fillId="3" borderId="33" xfId="0" applyFill="1" applyBorder="1"/>
    <xf numFmtId="0" fontId="0" fillId="0" borderId="34" xfId="0" applyBorder="1"/>
    <xf numFmtId="0" fontId="36" fillId="0" borderId="34" xfId="0" applyFont="1" applyBorder="1" applyAlignment="1">
      <alignment wrapText="1"/>
    </xf>
    <xf numFmtId="0" fontId="25" fillId="0" borderId="0" xfId="0" applyFont="1"/>
    <xf numFmtId="0" fontId="37" fillId="0" borderId="0" xfId="0" applyFont="1" applyAlignment="1">
      <alignment wrapText="1"/>
    </xf>
    <xf numFmtId="0" fontId="18" fillId="0" borderId="0" xfId="0" applyFont="1" applyAlignment="1">
      <alignment horizontal="center"/>
    </xf>
    <xf numFmtId="0" fontId="18" fillId="0" borderId="0" xfId="0" applyFont="1"/>
    <xf numFmtId="0" fontId="38" fillId="0" borderId="0" xfId="0" applyFont="1"/>
    <xf numFmtId="0" fontId="38" fillId="3" borderId="0" xfId="0" applyFont="1" applyFill="1"/>
    <xf numFmtId="0" fontId="0" fillId="10" borderId="0" xfId="0" applyFill="1"/>
    <xf numFmtId="9" fontId="0" fillId="3" borderId="0" xfId="0" applyNumberFormat="1" applyFill="1"/>
    <xf numFmtId="0" fontId="18" fillId="0" borderId="0" xfId="0" applyFont="1" applyAlignment="1">
      <alignment horizontal="center" wrapText="1"/>
    </xf>
    <xf numFmtId="0" fontId="25" fillId="10" borderId="0" xfId="0" applyFont="1" applyFill="1"/>
    <xf numFmtId="0" fontId="36" fillId="0" borderId="0" xfId="0" applyFont="1" applyAlignment="1">
      <alignment horizontal="center"/>
    </xf>
    <xf numFmtId="0" fontId="36" fillId="0" borderId="0" xfId="0" applyFont="1"/>
    <xf numFmtId="0" fontId="2" fillId="3" borderId="0" xfId="0" applyFont="1" applyFill="1" applyAlignment="1">
      <alignment wrapText="1"/>
    </xf>
    <xf numFmtId="0" fontId="1" fillId="3" borderId="0" xfId="0" applyFont="1" applyFill="1" applyAlignment="1">
      <alignment wrapText="1"/>
    </xf>
    <xf numFmtId="0" fontId="2" fillId="3" borderId="0" xfId="0" applyFont="1" applyFill="1" applyAlignment="1">
      <alignment horizontal="left" wrapText="1"/>
    </xf>
    <xf numFmtId="0" fontId="2" fillId="3" borderId="0" xfId="0" applyFont="1" applyFill="1" applyAlignment="1">
      <alignment horizontal="right"/>
    </xf>
    <xf numFmtId="0" fontId="1" fillId="3" borderId="0" xfId="0" applyFont="1" applyFill="1" applyAlignment="1">
      <alignment horizontal="left" wrapText="1"/>
    </xf>
    <xf numFmtId="0" fontId="0" fillId="0" borderId="0" xfId="0" applyAlignment="1">
      <alignment horizontal="right"/>
    </xf>
    <xf numFmtId="0" fontId="0" fillId="3" borderId="0" xfId="0" applyFill="1" applyAlignment="1">
      <alignment horizontal="right"/>
    </xf>
    <xf numFmtId="0" fontId="4" fillId="0" borderId="0" xfId="0" applyFont="1" applyAlignment="1">
      <alignment vertical="center" wrapText="1"/>
    </xf>
    <xf numFmtId="0" fontId="25" fillId="0" borderId="31" xfId="0" applyFont="1" applyBorder="1" applyAlignment="1">
      <alignment horizontal="center" wrapText="1"/>
    </xf>
    <xf numFmtId="0" fontId="0" fillId="0" borderId="35" xfId="0" applyBorder="1" applyAlignment="1">
      <alignment wrapText="1"/>
    </xf>
    <xf numFmtId="0" fontId="0" fillId="0" borderId="36" xfId="0" applyBorder="1"/>
    <xf numFmtId="0" fontId="0" fillId="0" borderId="19" xfId="0" applyBorder="1"/>
    <xf numFmtId="0" fontId="0" fillId="0" borderId="22" xfId="0" applyBorder="1"/>
    <xf numFmtId="0" fontId="1" fillId="0" borderId="0" xfId="0" applyFont="1"/>
    <xf numFmtId="0" fontId="1" fillId="5" borderId="0" xfId="0" applyFont="1" applyFill="1" applyAlignment="1">
      <alignment horizontal="left"/>
    </xf>
    <xf numFmtId="0" fontId="28" fillId="5" borderId="0" xfId="0" applyFont="1" applyFill="1" applyAlignment="1">
      <alignment horizontal="left"/>
    </xf>
    <xf numFmtId="0" fontId="1" fillId="7" borderId="0" xfId="0" applyFont="1" applyFill="1"/>
    <xf numFmtId="0" fontId="2" fillId="7" borderId="0" xfId="0" applyFont="1" applyFill="1" applyAlignment="1">
      <alignment horizontal="left" wrapText="1"/>
    </xf>
    <xf numFmtId="0" fontId="2" fillId="7" borderId="0" xfId="0" applyFont="1" applyFill="1" applyAlignment="1">
      <alignment horizontal="left"/>
    </xf>
    <xf numFmtId="0" fontId="2" fillId="7" borderId="0" xfId="0" applyFont="1" applyFill="1" applyAlignment="1">
      <alignment wrapText="1"/>
    </xf>
    <xf numFmtId="0" fontId="0" fillId="6" borderId="0" xfId="0" applyFill="1" applyAlignment="1">
      <alignment wrapText="1"/>
    </xf>
    <xf numFmtId="0" fontId="0" fillId="6" borderId="0" xfId="0" applyFill="1" applyAlignment="1">
      <alignment horizontal="left"/>
    </xf>
    <xf numFmtId="0" fontId="38" fillId="0" borderId="0" xfId="0" applyFont="1" applyAlignment="1">
      <alignment horizontal="center"/>
    </xf>
    <xf numFmtId="0" fontId="0" fillId="12" borderId="0" xfId="0" applyFill="1" applyAlignment="1">
      <alignment horizontal="left"/>
    </xf>
    <xf numFmtId="3" fontId="0" fillId="0" borderId="0" xfId="0" applyNumberFormat="1" applyAlignment="1">
      <alignment horizontal="left"/>
    </xf>
    <xf numFmtId="0" fontId="18" fillId="0" borderId="26" xfId="0" applyFont="1" applyBorder="1" applyAlignment="1">
      <alignment horizontal="left"/>
    </xf>
    <xf numFmtId="0" fontId="18" fillId="0" borderId="27" xfId="0" applyFont="1" applyBorder="1"/>
    <xf numFmtId="0" fontId="0" fillId="3" borderId="26" xfId="0" applyFill="1" applyBorder="1" applyAlignment="1">
      <alignment horizontal="left"/>
    </xf>
    <xf numFmtId="0" fontId="0" fillId="3" borderId="27" xfId="0" applyFill="1" applyBorder="1"/>
    <xf numFmtId="0" fontId="0" fillId="0" borderId="26" xfId="0" applyBorder="1" applyAlignment="1">
      <alignment horizontal="left"/>
    </xf>
    <xf numFmtId="0" fontId="18" fillId="0" borderId="11" xfId="0" applyFont="1" applyBorder="1" applyAlignment="1">
      <alignment horizontal="left"/>
    </xf>
    <xf numFmtId="0" fontId="18" fillId="0" borderId="12" xfId="0" applyFont="1" applyBorder="1"/>
    <xf numFmtId="0" fontId="18" fillId="3" borderId="13" xfId="0" applyFont="1" applyFill="1" applyBorder="1"/>
    <xf numFmtId="0" fontId="18" fillId="0" borderId="28" xfId="0" applyFont="1" applyBorder="1" applyAlignment="1">
      <alignment horizontal="left"/>
    </xf>
    <xf numFmtId="0" fontId="18" fillId="0" borderId="29" xfId="0" applyFont="1" applyBorder="1"/>
    <xf numFmtId="0" fontId="18" fillId="3" borderId="30" xfId="0" applyFont="1" applyFill="1" applyBorder="1"/>
    <xf numFmtId="0" fontId="18" fillId="10" borderId="0" xfId="0" applyFont="1" applyFill="1" applyAlignment="1">
      <alignment wrapText="1"/>
    </xf>
    <xf numFmtId="0" fontId="18" fillId="10" borderId="0" xfId="0" applyFont="1" applyFill="1"/>
    <xf numFmtId="0" fontId="41" fillId="0" borderId="11" xfId="0" applyFont="1" applyBorder="1"/>
    <xf numFmtId="0" fontId="41" fillId="0" borderId="12" xfId="0" applyFont="1" applyBorder="1" applyAlignment="1">
      <alignment wrapText="1"/>
    </xf>
    <xf numFmtId="0" fontId="41" fillId="3" borderId="13" xfId="0" applyFont="1" applyFill="1" applyBorder="1"/>
    <xf numFmtId="0" fontId="41" fillId="0" borderId="0" xfId="0" applyFont="1"/>
    <xf numFmtId="0" fontId="3" fillId="0" borderId="0" xfId="1" applyAlignment="1">
      <alignment wrapText="1"/>
    </xf>
    <xf numFmtId="0" fontId="11" fillId="0" borderId="0" xfId="0" applyFont="1" applyAlignment="1">
      <alignment horizontal="left" vertical="center" wrapText="1"/>
    </xf>
    <xf numFmtId="0" fontId="11" fillId="0" borderId="0" xfId="0" applyFont="1" applyAlignment="1">
      <alignment horizontal="left" wrapText="1"/>
    </xf>
    <xf numFmtId="0" fontId="11" fillId="0" borderId="0" xfId="0" applyFont="1" applyAlignment="1">
      <alignment vertical="center"/>
    </xf>
    <xf numFmtId="0" fontId="35" fillId="7" borderId="0" xfId="3" applyFont="1" applyFill="1" applyAlignment="1">
      <alignment wrapText="1"/>
    </xf>
    <xf numFmtId="0" fontId="2" fillId="4" borderId="0" xfId="0" applyFont="1" applyFill="1" applyAlignment="1">
      <alignment horizontal="left"/>
    </xf>
    <xf numFmtId="0" fontId="35" fillId="3" borderId="0" xfId="3" applyFont="1" applyFill="1" applyAlignment="1">
      <alignment horizontal="left" wrapText="1"/>
    </xf>
    <xf numFmtId="0" fontId="42" fillId="3" borderId="0" xfId="3" applyFill="1" applyAlignment="1">
      <alignment wrapText="1"/>
    </xf>
    <xf numFmtId="0" fontId="0" fillId="7" borderId="0" xfId="0" applyFill="1" applyAlignment="1">
      <alignment horizontal="left"/>
    </xf>
    <xf numFmtId="0" fontId="35" fillId="3" borderId="0" xfId="4"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0" fontId="2" fillId="3" borderId="0" xfId="0" applyFont="1" applyFill="1" applyAlignment="1">
      <alignment horizontal="left"/>
    </xf>
    <xf numFmtId="0" fontId="18" fillId="0" borderId="10" xfId="0" applyFont="1" applyBorder="1" applyAlignment="1">
      <alignment horizontal="center" vertical="top"/>
    </xf>
    <xf numFmtId="0" fontId="18" fillId="0" borderId="37" xfId="0" applyFont="1" applyBorder="1" applyAlignment="1">
      <alignment horizontal="center" vertical="top" wrapText="1"/>
    </xf>
    <xf numFmtId="0" fontId="0" fillId="14" borderId="0" xfId="0" applyFill="1"/>
    <xf numFmtId="0" fontId="2" fillId="0" borderId="0" xfId="0" applyFont="1" applyAlignment="1">
      <alignment wrapText="1"/>
    </xf>
    <xf numFmtId="14" fontId="2" fillId="0" borderId="0" xfId="0" applyNumberFormat="1" applyFont="1" applyAlignment="1">
      <alignment horizontal="left" wrapText="1"/>
    </xf>
    <xf numFmtId="0" fontId="2" fillId="3" borderId="0" xfId="0" applyFont="1" applyFill="1" applyAlignment="1">
      <alignment horizontal="center"/>
    </xf>
    <xf numFmtId="0" fontId="2" fillId="15" borderId="0" xfId="0" applyFont="1" applyFill="1" applyAlignment="1">
      <alignment wrapText="1"/>
    </xf>
    <xf numFmtId="0" fontId="44" fillId="9" borderId="0" xfId="0" applyFont="1" applyFill="1" applyAlignment="1">
      <alignment horizontal="left" vertical="center" wrapText="1"/>
    </xf>
    <xf numFmtId="0" fontId="44" fillId="4" borderId="0" xfId="0" applyFont="1" applyFill="1" applyAlignment="1">
      <alignment horizontal="left" vertical="center" wrapText="1"/>
    </xf>
    <xf numFmtId="0" fontId="3" fillId="0" borderId="0" xfId="1" applyFill="1" applyAlignment="1">
      <alignment horizontal="left" wrapText="1"/>
    </xf>
    <xf numFmtId="0" fontId="0" fillId="3" borderId="29" xfId="0" applyFill="1" applyBorder="1" applyAlignment="1">
      <alignment horizontal="left" wrapText="1"/>
    </xf>
    <xf numFmtId="0" fontId="11" fillId="0" borderId="29" xfId="0" applyFont="1" applyBorder="1" applyAlignment="1">
      <alignment horizontal="left" wrapText="1"/>
    </xf>
    <xf numFmtId="0" fontId="8" fillId="0" borderId="0" xfId="0" applyFont="1" applyAlignment="1">
      <alignment horizontal="left" wrapText="1"/>
    </xf>
    <xf numFmtId="0" fontId="8" fillId="0" borderId="29" xfId="0" applyFont="1" applyBorder="1" applyAlignment="1">
      <alignment horizontal="left" wrapText="1"/>
    </xf>
    <xf numFmtId="0" fontId="8" fillId="3" borderId="29" xfId="0" applyFont="1" applyFill="1" applyBorder="1" applyAlignment="1">
      <alignment horizontal="left" wrapText="1"/>
    </xf>
    <xf numFmtId="0" fontId="8" fillId="3" borderId="0" xfId="0" applyFont="1" applyFill="1" applyAlignment="1">
      <alignment horizontal="left" wrapText="1"/>
    </xf>
    <xf numFmtId="0" fontId="18" fillId="0" borderId="17" xfId="0" applyFont="1" applyBorder="1" applyAlignment="1">
      <alignment horizontal="left" wrapText="1"/>
    </xf>
    <xf numFmtId="0" fontId="0" fillId="0" borderId="19" xfId="0" applyBorder="1" applyAlignment="1">
      <alignment horizontal="left" wrapText="1"/>
    </xf>
    <xf numFmtId="0" fontId="0" fillId="0" borderId="22" xfId="0" applyBorder="1" applyAlignment="1">
      <alignment horizontal="left" wrapText="1"/>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0" xfId="0" applyFont="1" applyFill="1" applyAlignment="1">
      <alignment horizontal="center"/>
    </xf>
    <xf numFmtId="0" fontId="4" fillId="5" borderId="23"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27" xfId="0" applyFont="1" applyFill="1" applyBorder="1" applyAlignment="1">
      <alignment horizontal="center" vertical="center" wrapText="1"/>
    </xf>
    <xf numFmtId="0" fontId="1" fillId="6" borderId="26" xfId="0" applyFont="1" applyFill="1" applyBorder="1" applyAlignment="1">
      <alignment horizontal="center"/>
    </xf>
    <xf numFmtId="0" fontId="1" fillId="6" borderId="0" xfId="0" applyFont="1" applyFill="1" applyAlignment="1">
      <alignment horizontal="center"/>
    </xf>
    <xf numFmtId="0" fontId="1" fillId="6" borderId="27" xfId="0" applyFont="1" applyFill="1" applyBorder="1" applyAlignment="1">
      <alignment horizontal="center"/>
    </xf>
    <xf numFmtId="0" fontId="1" fillId="6" borderId="23" xfId="0" applyFont="1" applyFill="1" applyBorder="1" applyAlignment="1">
      <alignment horizontal="center"/>
    </xf>
    <xf numFmtId="0" fontId="1" fillId="6" borderId="24" xfId="0" applyFont="1" applyFill="1" applyBorder="1" applyAlignment="1">
      <alignment horizontal="center"/>
    </xf>
    <xf numFmtId="0" fontId="1" fillId="6" borderId="25" xfId="0" applyFont="1" applyFill="1" applyBorder="1" applyAlignment="1">
      <alignment horizontal="center"/>
    </xf>
    <xf numFmtId="0" fontId="15" fillId="2" borderId="0" xfId="0" applyFont="1" applyFill="1" applyAlignment="1">
      <alignment horizontal="center" vertical="center" wrapText="1"/>
    </xf>
    <xf numFmtId="0" fontId="4" fillId="6" borderId="0" xfId="0" applyFont="1" applyFill="1" applyAlignment="1">
      <alignment horizontal="center"/>
    </xf>
    <xf numFmtId="0" fontId="4" fillId="6" borderId="0" xfId="0" applyFont="1" applyFill="1" applyAlignment="1">
      <alignment horizontal="center" vertical="center"/>
    </xf>
    <xf numFmtId="0" fontId="4" fillId="5" borderId="0" xfId="0" applyFont="1" applyFill="1" applyAlignment="1">
      <alignment horizontal="center"/>
    </xf>
    <xf numFmtId="0" fontId="4" fillId="5" borderId="0" xfId="0" applyFont="1" applyFill="1" applyAlignment="1">
      <alignment horizontal="center" vertic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13" xfId="0" applyFont="1" applyBorder="1" applyAlignment="1">
      <alignment horizontal="center"/>
    </xf>
    <xf numFmtId="0" fontId="1" fillId="2" borderId="0" xfId="0" applyFont="1" applyFill="1" applyAlignment="1">
      <alignment horizontal="center"/>
    </xf>
    <xf numFmtId="0" fontId="2" fillId="15" borderId="0" xfId="0" applyFont="1" applyFill="1" applyAlignment="1">
      <alignment horizontal="left"/>
    </xf>
    <xf numFmtId="0" fontId="38" fillId="0" borderId="0" xfId="0" applyFont="1" applyAlignment="1">
      <alignment horizontal="center"/>
    </xf>
    <xf numFmtId="0" fontId="4" fillId="11" borderId="0" xfId="0" applyFont="1" applyFill="1" applyAlignment="1">
      <alignment horizontal="center" vertical="center" wrapText="1"/>
    </xf>
    <xf numFmtId="0" fontId="4" fillId="2" borderId="29" xfId="0" applyFont="1" applyFill="1" applyBorder="1" applyAlignment="1">
      <alignment horizontal="center" vertical="center" wrapText="1"/>
    </xf>
    <xf numFmtId="0" fontId="18" fillId="0" borderId="0" xfId="0" applyFont="1" applyAlignment="1">
      <alignment horizontal="center"/>
    </xf>
    <xf numFmtId="0" fontId="0" fillId="0" borderId="0" xfId="0" applyAlignment="1">
      <alignment horizontal="center"/>
    </xf>
    <xf numFmtId="0" fontId="2" fillId="15" borderId="0" xfId="0" applyFont="1" applyFill="1" applyAlignment="1"/>
  </cellXfs>
  <cellStyles count="5">
    <cellStyle name="Comma" xfId="2" builtinId="3"/>
    <cellStyle name="Hyperlink" xfId="1" builtinId="8"/>
    <cellStyle name="Neutral" xfId="3" builtinId="28"/>
    <cellStyle name="Normal" xfId="0" builtinId="0"/>
    <cellStyle name="Normal 3" xfId="4" xr:uid="{C6977E57-844F-4C3D-9B0F-2AAB473DF181}"/>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1362075</xdr:colOff>
      <xdr:row>61</xdr:row>
      <xdr:rowOff>1123950</xdr:rowOff>
    </xdr:to>
    <xdr:pic>
      <xdr:nvPicPr>
        <xdr:cNvPr id="3" name="Picture 2">
          <a:extLst>
            <a:ext uri="{FF2B5EF4-FFF2-40B4-BE49-F238E27FC236}">
              <a16:creationId xmlns:a16="http://schemas.microsoft.com/office/drawing/2014/main" id="{27F5C1CF-995F-F21A-1878-15878197620D}"/>
            </a:ext>
          </a:extLst>
        </xdr:cNvPr>
        <xdr:cNvPicPr>
          <a:picLocks noChangeAspect="1"/>
        </xdr:cNvPicPr>
      </xdr:nvPicPr>
      <xdr:blipFill>
        <a:blip xmlns:r="http://schemas.openxmlformats.org/officeDocument/2006/relationships" r:embed="rId1"/>
        <a:stretch>
          <a:fillRect/>
        </a:stretch>
      </xdr:blipFill>
      <xdr:spPr>
        <a:xfrm>
          <a:off x="0" y="14944725"/>
          <a:ext cx="6191250" cy="8353425"/>
        </a:xfrm>
        <a:prstGeom prst="rect">
          <a:avLst/>
        </a:prstGeom>
      </xdr:spPr>
    </xdr:pic>
    <xdr:clientData/>
  </xdr:twoCellAnchor>
  <xdr:twoCellAnchor editAs="oneCell">
    <xdr:from>
      <xdr:col>0</xdr:col>
      <xdr:colOff>0</xdr:colOff>
      <xdr:row>83</xdr:row>
      <xdr:rowOff>0</xdr:rowOff>
    </xdr:from>
    <xdr:to>
      <xdr:col>5</xdr:col>
      <xdr:colOff>1762125</xdr:colOff>
      <xdr:row>124</xdr:row>
      <xdr:rowOff>142875</xdr:rowOff>
    </xdr:to>
    <xdr:pic>
      <xdr:nvPicPr>
        <xdr:cNvPr id="5" name="Picture 4">
          <a:extLst>
            <a:ext uri="{FF2B5EF4-FFF2-40B4-BE49-F238E27FC236}">
              <a16:creationId xmlns:a16="http://schemas.microsoft.com/office/drawing/2014/main" id="{89ADCB46-DE1E-20FA-E700-4004605CF226}"/>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147250"/>
          <a:ext cx="6591300" cy="795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17E656D3-BAE3-4F88-8B3E-875F89C687E9}"/>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142875</xdr:rowOff>
    </xdr:from>
    <xdr:to>
      <xdr:col>15</xdr:col>
      <xdr:colOff>564828</xdr:colOff>
      <xdr:row>19</xdr:row>
      <xdr:rowOff>38100</xdr:rowOff>
    </xdr:to>
    <xdr:pic>
      <xdr:nvPicPr>
        <xdr:cNvPr id="2" name="Picture 1">
          <a:extLst>
            <a:ext uri="{FF2B5EF4-FFF2-40B4-BE49-F238E27FC236}">
              <a16:creationId xmlns:a16="http://schemas.microsoft.com/office/drawing/2014/main" id="{060F343D-9492-42A5-85F6-265973AF137C}"/>
            </a:ext>
          </a:extLst>
        </xdr:cNvPr>
        <xdr:cNvPicPr>
          <a:picLocks noChangeAspect="1"/>
        </xdr:cNvPicPr>
      </xdr:nvPicPr>
      <xdr:blipFill rotWithShape="1">
        <a:blip xmlns:r="http://schemas.openxmlformats.org/officeDocument/2006/relationships" r:embed="rId1"/>
        <a:srcRect l="12126" t="34569" r="5162" b="14234"/>
        <a:stretch/>
      </xdr:blipFill>
      <xdr:spPr>
        <a:xfrm>
          <a:off x="19050" y="142875"/>
          <a:ext cx="9689778" cy="3514725"/>
        </a:xfrm>
        <a:prstGeom prst="rect">
          <a:avLst/>
        </a:prstGeom>
      </xdr:spPr>
    </xdr:pic>
    <xdr:clientData/>
  </xdr:twoCellAnchor>
  <xdr:twoCellAnchor editAs="oneCell">
    <xdr:from>
      <xdr:col>0</xdr:col>
      <xdr:colOff>304800</xdr:colOff>
      <xdr:row>23</xdr:row>
      <xdr:rowOff>114299</xdr:rowOff>
    </xdr:from>
    <xdr:to>
      <xdr:col>13</xdr:col>
      <xdr:colOff>552450</xdr:colOff>
      <xdr:row>63</xdr:row>
      <xdr:rowOff>122817</xdr:rowOff>
    </xdr:to>
    <xdr:pic>
      <xdr:nvPicPr>
        <xdr:cNvPr id="3" name="Picture 2">
          <a:extLst>
            <a:ext uri="{FF2B5EF4-FFF2-40B4-BE49-F238E27FC236}">
              <a16:creationId xmlns:a16="http://schemas.microsoft.com/office/drawing/2014/main" id="{47F2096B-9AC4-4011-B874-B5317A463AC9}"/>
            </a:ext>
          </a:extLst>
        </xdr:cNvPr>
        <xdr:cNvPicPr>
          <a:picLocks noChangeAspect="1"/>
        </xdr:cNvPicPr>
      </xdr:nvPicPr>
      <xdr:blipFill rotWithShape="1">
        <a:blip xmlns:r="http://schemas.openxmlformats.org/officeDocument/2006/relationships" r:embed="rId2"/>
        <a:srcRect l="37838" t="28522" r="38825" b="34288"/>
        <a:stretch/>
      </xdr:blipFill>
      <xdr:spPr>
        <a:xfrm>
          <a:off x="304800" y="4495799"/>
          <a:ext cx="8172450" cy="7628518"/>
        </a:xfrm>
        <a:prstGeom prst="rect">
          <a:avLst/>
        </a:prstGeom>
      </xdr:spPr>
    </xdr:pic>
    <xdr:clientData/>
  </xdr:twoCellAnchor>
  <xdr:twoCellAnchor editAs="oneCell">
    <xdr:from>
      <xdr:col>0</xdr:col>
      <xdr:colOff>104775</xdr:colOff>
      <xdr:row>65</xdr:row>
      <xdr:rowOff>171450</xdr:rowOff>
    </xdr:from>
    <xdr:to>
      <xdr:col>14</xdr:col>
      <xdr:colOff>266700</xdr:colOff>
      <xdr:row>83</xdr:row>
      <xdr:rowOff>76200</xdr:rowOff>
    </xdr:to>
    <xdr:pic>
      <xdr:nvPicPr>
        <xdr:cNvPr id="4" name="Picture 3">
          <a:extLst>
            <a:ext uri="{FF2B5EF4-FFF2-40B4-BE49-F238E27FC236}">
              <a16:creationId xmlns:a16="http://schemas.microsoft.com/office/drawing/2014/main" id="{FD26A96E-A18E-49CF-84F9-E4816A3C8915}"/>
            </a:ext>
          </a:extLst>
        </xdr:cNvPr>
        <xdr:cNvPicPr>
          <a:picLocks noChangeAspect="1"/>
        </xdr:cNvPicPr>
      </xdr:nvPicPr>
      <xdr:blipFill rotWithShape="1">
        <a:blip xmlns:r="http://schemas.openxmlformats.org/officeDocument/2006/relationships" r:embed="rId3"/>
        <a:srcRect l="27003" t="31559" r="25449" b="37325"/>
        <a:stretch/>
      </xdr:blipFill>
      <xdr:spPr>
        <a:xfrm>
          <a:off x="104775" y="12553950"/>
          <a:ext cx="8696325" cy="3333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677D9057-DCAE-4B8A-8816-106A94E9373D}"/>
            </a:ext>
          </a:extLst>
        </xdr:cNvPr>
        <xdr:cNvPicPr>
          <a:picLocks noChangeAspect="1"/>
        </xdr:cNvPicPr>
      </xdr:nvPicPr>
      <xdr:blipFill rotWithShape="1">
        <a:blip xmlns:r="http://schemas.openxmlformats.org/officeDocument/2006/relationships" r:embed="rId1"/>
        <a:srcRect l="35629" t="29263" r="36034" b="9989"/>
        <a:stretch/>
      </xdr:blipFill>
      <xdr:spPr>
        <a:xfrm>
          <a:off x="9395460" y="1181100"/>
          <a:ext cx="5181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3269D864-0401-415A-B577-CB856C58CEB7}"/>
            </a:ext>
          </a:extLst>
        </xdr:cNvPr>
        <xdr:cNvPicPr>
          <a:picLocks noChangeAspect="1"/>
        </xdr:cNvPicPr>
      </xdr:nvPicPr>
      <xdr:blipFill rotWithShape="1">
        <a:blip xmlns:r="http://schemas.openxmlformats.org/officeDocument/2006/relationships" r:embed="rId2"/>
        <a:srcRect l="35504" t="29041" r="34742" b="22804"/>
        <a:stretch/>
      </xdr:blipFill>
      <xdr:spPr>
        <a:xfrm>
          <a:off x="15880080" y="998220"/>
          <a:ext cx="6662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F11866C5-4E59-42AF-A6F2-5280D71AC46C}"/>
            </a:ext>
          </a:extLst>
        </xdr:cNvPr>
        <xdr:cNvPicPr>
          <a:picLocks noChangeAspect="1"/>
        </xdr:cNvPicPr>
      </xdr:nvPicPr>
      <xdr:blipFill rotWithShape="1">
        <a:blip xmlns:r="http://schemas.openxmlformats.org/officeDocument/2006/relationships" r:embed="rId3"/>
        <a:srcRect l="35546" t="35560" r="35825" b="8728"/>
        <a:stretch/>
      </xdr:blipFill>
      <xdr:spPr>
        <a:xfrm>
          <a:off x="22372320" y="487680"/>
          <a:ext cx="5974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CD055367-F2EE-4771-8CC8-562529939771}"/>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8526780" cy="3756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ol 13"/>
      <sheetName val="MCF Defaults"/>
      <sheetName val="(Revised) Tool 03"/>
      <sheetName val="Tool 05.1"/>
      <sheetName val="Tool 05.2 Power Plants"/>
      <sheetName val="Tool 05.3 Default Values"/>
      <sheetName val="Tool 04-SWDS-Yearly"/>
      <sheetName val="SWDS Emissions Summary Tab "/>
      <sheetName val="Dropdown Items"/>
    </sheetNames>
    <sheetDataSet>
      <sheetData sheetId="0"/>
      <sheetData sheetId="1"/>
      <sheetData sheetId="2">
        <row r="3">
          <cell r="G3">
            <v>73.333333333333329</v>
          </cell>
        </row>
      </sheetData>
      <sheetData sheetId="3">
        <row r="6">
          <cell r="G6">
            <v>0.73499999999999999</v>
          </cell>
        </row>
      </sheetData>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Max Pinnola" id="{9FBD9E62-2791-48AF-8C69-1E74E6AD4ED1}" userId="6071b2e426a8e48f" providerId="Windows Live"/>
  <person displayName="Luis Hernandez" id="{73FB7A0F-48D5-4375-9FBD-B0A5688B1E06}" userId="ebeb5ab4f4590142" providerId="Windows Live"/>
  <person displayName="Jailine Molina" id="{45EB88AC-ABE0-4EA0-B139-550389EDF23D}" userId="f3e4387646bbb898" providerId="Windows Live"/>
  <person displayName="Jailine Molina" id="{31B64D60-87E8-41B4-AA93-80717787C83F}" userId="S::jailine.molina@envisionblockchain.com::dcbde9ba-19ec-4293-81b0-e7f5b6f86adb" providerId="AD"/>
  <person displayName="Luiz Hernandez" id="{4E3A256E-2AC3-4A62-90A9-D21A02CD1301}"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3" dT="2023-09-20T16:45:59.97" personId="{73FB7A0F-48D5-4375-9FBD-B0A5688B1E06}" id="{F4D3821B-9009-4864-87C3-E6838A87AB3A}">
    <text>Equation #1</text>
  </threadedComment>
  <threadedComment ref="G38" dT="2023-09-20T16:49:33.14" personId="{73FB7A0F-48D5-4375-9FBD-B0A5688B1E06}" id="{DD30B18E-CFA6-4D2A-9428-067601062612}">
    <text>Equation #2</text>
  </threadedComment>
  <threadedComment ref="G42" dT="2023-09-20T16:49:51.91" personId="{73FB7A0F-48D5-4375-9FBD-B0A5688B1E06}" id="{41AF5208-B6BF-4F23-9781-2CD7C1B9DABD}">
    <text>Equation #3</text>
  </threadedComment>
  <threadedComment ref="G46" dT="2023-09-20T16:50:14.71" personId="{73FB7A0F-48D5-4375-9FBD-B0A5688B1E06}" id="{98A8328E-6F50-4E82-BCEC-2EE3B240A85B}">
    <text>Equation #4</text>
  </threadedComment>
  <threadedComment ref="G50" dT="2023-09-14T15:02:15.36" personId="{73FB7A0F-48D5-4375-9FBD-B0A5688B1E06}" id="{4123AC21-C053-4992-8B6D-8BA4358AC160}">
    <text>Equation #5</text>
  </threadedComment>
  <threadedComment ref="G59" dT="2023-09-20T17:31:38.71" personId="{73FB7A0F-48D5-4375-9FBD-B0A5688B1E06}" id="{3F9D9C64-39D8-4CB4-82B4-DB7E88BDF96D}">
    <text>Equation #6</text>
  </threadedComment>
  <threadedComment ref="G66" dT="2023-09-20T17:31:38.71" personId="{73FB7A0F-48D5-4375-9FBD-B0A5688B1E06}" id="{CECA16B6-B275-484E-A4F9-D2C13C71E140}">
    <text>Equation #9 and Equation #10</text>
  </threadedComment>
  <threadedComment ref="G69" dT="2023-09-21T15:14:30.78" personId="{73FB7A0F-48D5-4375-9FBD-B0A5688B1E06}" id="{B7C3ED78-51C5-494E-B2CE-3B7949F54795}">
    <text>Equation #11</text>
  </threadedComment>
  <threadedComment ref="G75" dT="2023-10-09T01:20:00.88" personId="{4E3A256E-2AC3-4A62-90A9-D21A02CD1301}" id="{FC63722F-83A5-4403-A2A9-7B2094A9B2F8}">
    <text>Equation # 12, 13, 14, 15, 16, 17</text>
  </threadedComment>
  <threadedComment ref="G82" dT="2023-10-09T01:41:50.58" personId="{4E3A256E-2AC3-4A62-90A9-D21A02CD1301}" id="{DFD1BBE0-1257-4657-BA48-AB579EF2C6D9}">
    <text>Equation #18</text>
  </threadedComment>
  <threadedComment ref="G86" dT="2023-10-09T02:05:42.68" personId="{4E3A256E-2AC3-4A62-90A9-D21A02CD1301}" id="{5D0F91A7-1B31-4935-81B3-2869073AA1CD}">
    <text>Equation #19</text>
  </threadedComment>
  <threadedComment ref="G89" dT="2023-10-04T17:15:33.17" personId="{73FB7A0F-48D5-4375-9FBD-B0A5688B1E06}" id="{CD896342-F14A-499D-AF0A-9E647AE64513}">
    <text>Equation #20</text>
  </threadedComment>
  <threadedComment ref="G96" dT="2023-10-04T19:11:47.71" personId="{73FB7A0F-48D5-4375-9FBD-B0A5688B1E06}" id="{28F7B1E5-F34E-4029-8D1A-63E85C6E8A8C}">
    <text>Equation #21</text>
  </threadedComment>
  <threadedComment ref="G103" dT="2023-10-04T19:37:18.54" personId="{73FB7A0F-48D5-4375-9FBD-B0A5688B1E06}" id="{61BCBDF7-843E-40D0-A520-4FBE6977E8D7}">
    <text>Equation #22</text>
  </threadedComment>
  <threadedComment ref="G107" dT="2023-10-04T20:43:52.81" personId="{73FB7A0F-48D5-4375-9FBD-B0A5688B1E06}" id="{966758D4-8C2A-43C3-A9B1-9CD19CD1A62E}">
    <text>Equation #23</text>
  </threadedComment>
  <threadedComment ref="G115" dT="2023-10-04T21:11:31.33" personId="{73FB7A0F-48D5-4375-9FBD-B0A5688B1E06}" id="{E3AB4977-3D6E-45DE-B7C1-85A222F742AF}">
    <text>Equation #24</text>
  </threadedComment>
  <threadedComment ref="H117" dT="2023-10-09T04:05:49.91" personId="{4E3A256E-2AC3-4A62-90A9-D21A02CD1301}" id="{74BE8672-F7D0-497E-92D1-84347F940BE9}">
    <text>No "PEff,y" parameter in Tool 03, took overall sum of PE fossil fuel combustion</text>
  </threadedComment>
  <threadedComment ref="G123" dT="2023-10-09T04:06:36.55" personId="{4E3A256E-2AC3-4A62-90A9-D21A02CD1301}" id="{015F5381-3C57-4508-BFF3-3591416AE027}">
    <text>Equation #25</text>
  </threadedComment>
  <threadedComment ref="H129" dT="2023-10-09T04:07:22.94" personId="{4E3A256E-2AC3-4A62-90A9-D21A02CD1301}" id="{0E49BB94-B7F0-4ABB-B3AA-F091AC18ACD2}">
    <text>ACM0014 has not been digitized yet, using a placeholder value of 50 for now</text>
  </threadedComment>
</ThreadedComments>
</file>

<file path=xl/threadedComments/threadedComment10.xml><?xml version="1.0" encoding="utf-8"?>
<ThreadedComments xmlns="http://schemas.microsoft.com/office/spreadsheetml/2018/threadedcomments" xmlns:x="http://schemas.openxmlformats.org/spreadsheetml/2006/main">
  <threadedComment ref="C44" dT="2023-08-07T18:31:59.03" personId="{31B64D60-87E8-41B4-AA93-80717787C83F}" id="{995B6643-4322-409B-95EE-28811AE23D78}">
    <text>Eq 5</text>
  </threadedComment>
  <threadedComment ref="C45" dT="2023-08-07T18:37:45.62" personId="{31B64D60-87E8-41B4-AA93-80717787C83F}" id="{C0875A3F-AF7C-464B-B078-2C6D917F6DCA}">
    <text>Eq 6</text>
  </threadedComment>
  <threadedComment ref="C48" dT="2023-08-07T18:37:33.62" personId="{31B64D60-87E8-41B4-AA93-80717787C83F}" id="{0AA9B9E3-002C-4C40-9503-9DC49BC6AA42}">
    <text>Eq 7</text>
  </threadedComment>
  <threadedComment ref="C49" dT="2023-08-07T18:58:57.06" personId="{31B64D60-87E8-41B4-AA93-80717787C83F}" id="{B9FC274E-2E66-4A5F-8CF4-C7350BA64E94}">
    <text>Comes from tool 08</text>
  </threadedComment>
  <threadedComment ref="C50" dT="2023-08-07T19:02:06.06" personId="{31B64D60-87E8-41B4-AA93-80717787C83F}" id="{B7567CCC-1F1A-4B47-AE71-C6BD88C9C9EF}">
    <text>Eq 5 in tool 08</text>
  </threadedComment>
  <threadedComment ref="C51" dT="2023-08-07T18:58:57.06" personId="{31B64D60-87E8-41B4-AA93-80717787C83F}" id="{B7018E5C-B6CE-4D05-A7D1-63A21ACCC771}">
    <text>Comes from tool 08</text>
  </threadedComment>
  <threadedComment ref="C54" dT="2023-08-07T20:32:58.24" personId="{31B64D60-87E8-41B4-AA93-80717787C83F}" id="{F8DF6099-D6C7-4C03-B057-3CBE35A31618}">
    <text>Eq 3</text>
  </threadedComment>
  <threadedComment ref="C56" dT="2023-08-07T19:07:00.47" personId="{31B64D60-87E8-41B4-AA93-80717787C83F}" id="{140C8D42-E889-4A9C-8BC0-02A2F59A9E6E}">
    <text>Eq 4</text>
  </threadedComment>
  <threadedComment ref="C57" dT="2023-08-07T19:07:25.43" personId="{31B64D60-87E8-41B4-AA93-80717787C83F}" id="{C01C0F88-B93A-4103-96C4-700DB6AB59E6}">
    <text>Eq 8</text>
  </threadedComment>
  <threadedComment ref="C58" dT="2023-08-07T19:08:12.17" personId="{31B64D60-87E8-41B4-AA93-80717787C83F}" id="{1E1735A3-8D11-467D-B6CF-F8728DBA9FE1}">
    <text>Eq 9</text>
  </threadedComment>
  <threadedComment ref="C59" dT="2023-08-07T19:08:57.03" personId="{31B64D60-87E8-41B4-AA93-80717787C83F}" id="{8073EFF9-3D94-464F-843D-3B4B49A5961D}">
    <text>Eq 10</text>
  </threadedComment>
  <threadedComment ref="C60" dT="2023-08-07T19:09:14.09" personId="{31B64D60-87E8-41B4-AA93-80717787C83F}" id="{F14109D4-C00E-4A54-BA09-50548D4252E3}">
    <text>Eq 11</text>
  </threadedComment>
  <threadedComment ref="C61" dT="2023-08-07T19:09:51.89" personId="{31B64D60-87E8-41B4-AA93-80717787C83F}" id="{CCDB4D9C-CE7C-490A-8A77-938E18D1B630}">
    <text>Eq 12</text>
  </threadedComment>
  <threadedComment ref="C62" dT="2023-08-07T19:10:10.48" personId="{31B64D60-87E8-41B4-AA93-80717787C83F}" id="{08A5A3E5-19EC-4680-9B87-13CEC7700DAC}">
    <text>Eq 13</text>
  </threadedComment>
  <threadedComment ref="C64" dT="2023-08-07T19:19:04.14" personId="{31B64D60-87E8-41B4-AA93-80717787C83F}" id="{0160A85B-D487-4D04-AC72-E72F519EE3B5}">
    <text>Eq 14</text>
  </threadedComment>
  <threadedComment ref="C65" dT="2023-08-07T19:19:12.89" personId="{31B64D60-87E8-41B4-AA93-80717787C83F}" id="{93AC5F12-F279-4A51-8E10-FE8AE3F7000F}">
    <text>Eq 14</text>
  </threadedComment>
  <threadedComment ref="C66" dT="2023-08-07T19:19:19.16" personId="{31B64D60-87E8-41B4-AA93-80717787C83F}" id="{A7B61493-8597-43C5-A259-0C1F3B1F7BEB}">
    <text>Eq 14</text>
  </threadedComment>
  <threadedComment ref="C67" dT="2023-08-07T19:19:27.70" personId="{31B64D60-87E8-41B4-AA93-80717787C83F}" id="{4291311E-508B-4B0F-A83D-C2D9234F893D}">
    <text>Eq 14</text>
  </threadedComment>
  <threadedComment ref="C69" dT="2023-08-07T21:12:45.72" personId="{31B64D60-87E8-41B4-AA93-80717787C83F}" id="{3E956DC6-D902-43BD-B39A-D1F447B7DEE4}">
    <text>Eq 15</text>
  </threadedComment>
</ThreadedComments>
</file>

<file path=xl/threadedComments/threadedComment11.xml><?xml version="1.0" encoding="utf-8"?>
<ThreadedComments xmlns="http://schemas.microsoft.com/office/spreadsheetml/2018/threadedcomments" xmlns:x="http://schemas.openxmlformats.org/spreadsheetml/2006/main">
  <threadedComment ref="F4" dT="2023-09-11T16:43:47.38" personId="{31B64D60-87E8-41B4-AA93-80717787C83F}" id="{33787097-6F43-4E93-8710-5CEC8A6F1456}">
    <text>Eq 3</text>
  </threadedComment>
  <threadedComment ref="F6" dT="2023-09-11T16:43:47.38" personId="{31B64D60-87E8-41B4-AA93-80717787C83F}" id="{6EC6AC0A-2DB5-4657-972E-A39EBCBB3762}">
    <text>Eq 3</text>
  </threadedComment>
  <threadedComment ref="F11" dT="2023-09-11T16:49:57.34" personId="{31B64D60-87E8-41B4-AA93-80717787C83F}" id="{64A964B1-0E6A-463F-B5B2-F97C62C28A86}">
    <text>Eq 4</text>
  </threadedComment>
  <threadedComment ref="F22" dT="2023-09-11T20:22:43.98" personId="{31B64D60-87E8-41B4-AA93-80717787C83F}" id="{7B7E569C-8F88-4936-BE1D-50124BDE9DAE}">
    <text>Eq 5</text>
  </threadedComment>
  <threadedComment ref="F30" dT="2023-09-11T20:44:10.79" personId="{31B64D60-87E8-41B4-AA93-80717787C83F}" id="{E3B0C753-67F0-4EA4-B660-8013556840ED}">
    <text>Eq 9</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3T18:24:57.68" personId="{31B64D60-87E8-41B4-AA93-80717787C83F}" id="{ED7DF3FA-EB29-435F-A812-831B0B166C4B}">
    <text>Eq 10</text>
  </threadedComment>
  <threadedComment ref="F28" dT="2023-09-11T16:49:57.34" personId="{31B64D60-87E8-41B4-AA93-80717787C83F}" id="{FA9E7B6D-9582-4BE7-B82D-88341FC23815}">
    <text>Eq 4</text>
  </threadedComment>
  <threadedComment ref="F39" dT="2023-09-11T20:22:43.98" personId="{31B64D60-87E8-41B4-AA93-80717787C83F}" id="{6371F802-97D2-4CF7-807F-4463A41B8E1D}">
    <text>Eq 5</text>
  </threadedComment>
  <threadedComment ref="F51" dT="2023-09-11T16:49:57.34" personId="{31B64D60-87E8-41B4-AA93-80717787C83F}" id="{B994686E-3977-45DA-933E-C68D68E26372}">
    <text>Eq 4</text>
  </threadedComment>
  <threadedComment ref="F62" dT="2023-09-11T20:22:43.98" personId="{31B64D60-87E8-41B4-AA93-80717787C83F}" id="{1C8AED0C-5994-4C99-80B4-D8DF116A7AFC}">
    <text>Eq 5</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9-15T20:21:14.99" personId="{31B64D60-87E8-41B4-AA93-80717787C83F}" id="{E49FF3B5-E03C-453E-AA1E-70554915FB20}">
    <text>Equations for this calculation approach are not included because of the hourly requirement (functionality for 1000+ fields of data needs to be available)</text>
  </threadedComment>
  <threadedComment ref="F3" dT="2023-09-15T18:50:06.08" personId="{31B64D60-87E8-41B4-AA93-80717787C83F}" id="{BC9E7870-16CE-43C8-84AA-5F7D253313F1}">
    <text>Eq 12</text>
  </threadedComment>
</ThreadedComments>
</file>

<file path=xl/threadedComments/threadedComment14.xml><?xml version="1.0" encoding="utf-8"?>
<ThreadedComments xmlns="http://schemas.microsoft.com/office/spreadsheetml/2018/threadedcomments" xmlns:x="http://schemas.openxmlformats.org/spreadsheetml/2006/main">
  <threadedComment ref="F4" dT="2023-09-11T16:43:47.38" personId="{31B64D60-87E8-41B4-AA93-80717787C83F}" id="{9C400AE4-740E-46F3-9548-9F1C30250812}">
    <text>Eq 3</text>
  </threadedComment>
  <threadedComment ref="F6" dT="2023-09-11T16:43:47.38" personId="{31B64D60-87E8-41B4-AA93-80717787C83F}" id="{0F1F322E-7C2F-4E21-A206-41780678D6E3}">
    <text>Eq 3</text>
  </threadedComment>
  <threadedComment ref="F11" dT="2023-09-11T16:49:57.34" personId="{31B64D60-87E8-41B4-AA93-80717787C83F}" id="{956480D4-B32C-4612-8F13-35B4E7698FAC}">
    <text>Eq 4</text>
  </threadedComment>
  <threadedComment ref="F22" dT="2023-09-11T20:22:43.98" personId="{31B64D60-87E8-41B4-AA93-80717787C83F}" id="{BE80289F-E870-4B50-AC35-54FFD0AAD612}">
    <text>Eq 5</text>
  </threadedComment>
  <threadedComment ref="F30" dT="2023-09-11T20:44:10.79" personId="{31B64D60-87E8-41B4-AA93-80717787C83F}" id="{788C1B82-A660-41A4-A3AB-70230DE664BE}">
    <text>Eq 9</text>
  </threadedComment>
</ThreadedComments>
</file>

<file path=xl/threadedComments/threadedComment15.xml><?xml version="1.0" encoding="utf-8"?>
<ThreadedComments xmlns="http://schemas.microsoft.com/office/spreadsheetml/2018/threadedcomments" xmlns:x="http://schemas.openxmlformats.org/spreadsheetml/2006/main">
  <threadedComment ref="F8" dT="2023-09-18T21:05:04.93" personId="{31B64D60-87E8-41B4-AA93-80717787C83F}" id="{7F201FFC-3A68-452B-9A42-B1C0FC0BA6FB}">
    <text>Eq 16</text>
  </threadedComment>
  <threadedComment ref="F10" dT="2023-09-18T21:05:04.93" personId="{31B64D60-87E8-41B4-AA93-80717787C83F}" id="{25F5F850-338F-47F8-A873-2445549F44E7}">
    <text>Eq 16</text>
  </threadedComment>
  <threadedComment ref="F15" dT="2023-09-18T21:05:04.93" personId="{31B64D60-87E8-41B4-AA93-80717787C83F}" id="{7607056D-6D6D-494D-AEA9-4A52DE5F91F8}">
    <text>Eq 16</text>
  </threadedComment>
  <threadedComment ref="F24" dT="2023-09-18T21:05:04.93" personId="{31B64D60-87E8-41B4-AA93-80717787C83F}" id="{4CFBA016-BBDB-4423-8522-269293EA2CBB}">
    <text>Eq 16</text>
  </threadedComment>
</ThreadedComments>
</file>

<file path=xl/threadedComments/threadedComment16.xml><?xml version="1.0" encoding="utf-8"?>
<ThreadedComments xmlns="http://schemas.microsoft.com/office/spreadsheetml/2018/threadedcomments" xmlns:x="http://schemas.openxmlformats.org/spreadsheetml/2006/main">
  <threadedComment ref="A3" dT="2023-09-20T20:07:43.23" personId="{9FBD9E62-2791-48AF-8C69-1E74E6AD4ED1}" id="{515D298D-0665-4F6A-A64A-2BD464E0A71C}">
    <text xml:space="preserve">Add a line for each transportation activity (f). </text>
  </threadedComment>
</ThreadedComments>
</file>

<file path=xl/threadedComments/threadedComment17.xml><?xml version="1.0" encoding="utf-8"?>
<ThreadedComments xmlns="http://schemas.microsoft.com/office/spreadsheetml/2018/threadedcomments" xmlns:x="http://schemas.openxmlformats.org/spreadsheetml/2006/main">
  <threadedComment ref="F9" dT="2023-10-02T17:56:34.11" personId="{31B64D60-87E8-41B4-AA93-80717787C83F}" id="{604A1163-42E5-43C9-BCD8-40A7B8ADAF29}">
    <text>Eq 2</text>
  </threadedComment>
  <threadedComment ref="F16" dT="2023-10-02T18:19:24.82" personId="{31B64D60-87E8-41B4-AA93-80717787C83F}" id="{A08B968A-779A-4139-80C5-1374E94B0C63}">
    <text>Tool 05</text>
  </threadedComment>
  <threadedComment ref="F20" dT="2023-10-02T18:19:14.96" personId="{31B64D60-87E8-41B4-AA93-80717787C83F}" id="{F24CC91D-2518-4C46-8B11-B238AB590FFD}">
    <text>Tool 03</text>
  </threadedComment>
  <threadedComment ref="F22" dT="2023-10-02T18:22:40.35" personId="{31B64D60-87E8-41B4-AA93-80717787C83F}" id="{1E90C5DB-A9D4-47ED-A91E-736D405B9873}">
    <text>Eq 4</text>
  </threadedComment>
  <threadedComment ref="F27" dT="2023-10-02T20:18:08.28" personId="{31B64D60-87E8-41B4-AA93-80717787C83F}" id="{C3DE08B6-69E1-4494-B95B-F8D337BA137B}">
    <text>Eq 5</text>
  </threadedComment>
  <threadedComment ref="F28" dT="2023-10-02T19:25:26.05" personId="{31B64D60-87E8-41B4-AA93-80717787C83F}" id="{F5309858-8A72-4DA7-AC1C-876A1B26BAE9}">
    <text>Eq 6 for option 1 and default for option 2</text>
  </threadedComment>
  <threadedComment ref="F43" dT="2023-10-02T20:26:17.53" personId="{31B64D60-87E8-41B4-AA93-80717787C83F}" id="{1E7262B5-AEC0-44B4-B2DF-6D4F11C32119}">
    <text>Eq 7</text>
  </threadedComment>
  <threadedComment ref="F44" dT="2023-10-02T19:35:41.62" personId="{31B64D60-87E8-41B4-AA93-80717787C83F}" id="{03A85D4C-7575-4654-A69A-72212C6E67C2}">
    <text>Eq 8 for option 1 and default for option 2</text>
  </threadedComment>
  <threadedComment ref="F49" dT="2023-10-02T20:09:00.29" personId="{31B64D60-87E8-41B4-AA93-80717787C83F}" id="{7B1396CB-9FF2-45CD-A183-4D3BB7D14F9B}">
    <text xml:space="preserve">Eq 9 with if/then for run-off wastewater that is collected and re-circulated </text>
  </threadedComment>
  <threadedComment ref="G65" dT="2023-10-09T03:51:23.70" personId="{4E3A256E-2AC3-4A62-90A9-D21A02CD1301}" id="{4E6CA96E-E94E-4DA1-A150-290F635FA0D8}">
    <text>Edited to link with Tool 04 in this document</text>
  </threadedComment>
</ThreadedComments>
</file>

<file path=xl/threadedComments/threadedComment18.xml><?xml version="1.0" encoding="utf-8"?>
<ThreadedComments xmlns="http://schemas.microsoft.com/office/spreadsheetml/2018/threadedcomments" xmlns:x="http://schemas.openxmlformats.org/spreadsheetml/2006/main">
  <threadedComment ref="E13" dT="2023-08-03T18:04:10.78" personId="{31B64D60-87E8-41B4-AA93-80717787C83F}" id="{59F89FC0-888A-4313-A524-1A6C8E36A996}">
    <text>Eq 1</text>
  </threadedComment>
  <threadedComment ref="E14" dT="2023-09-05T15:07:52.37" personId="{45EB88AC-ABE0-4EA0-B139-550389EDF23D}" id="{3AA67E44-B7E1-42B0-A256-D5E0A275E0D1}">
    <text>Eq 3</text>
  </threadedComment>
  <threadedComment ref="E15" dT="2023-09-05T15:07:28.89" personId="{45EB88AC-ABE0-4EA0-B139-550389EDF23D}" id="{ECEB3ECA-4FA7-4F14-898F-AA173E08D0F5}">
    <text>Tool 05</text>
  </threadedComment>
  <threadedComment ref="F15" dT="2023-08-16T19:23:01.18" personId="{31B64D60-87E8-41B4-AA93-80717787C83F}" id="{B129D300-703A-40AD-8907-C1BF1014E9B2}">
    <text>Comes from tool 03</text>
  </threadedComment>
  <threadedComment ref="E16" dT="2023-09-05T15:07:12.12" personId="{45EB88AC-ABE0-4EA0-B139-550389EDF23D}" id="{D8D1F46A-3CEC-48A7-A7C0-2B1FD87ED4D0}">
    <text>Eq 4</text>
  </threadedComment>
  <threadedComment ref="E19" dT="2023-08-03T18:14:45.92" personId="{31B64D60-87E8-41B4-AA93-80717787C83F}" id="{4A0F4476-0DAA-4727-A353-85F1659DD4E2}">
    <text>Eq 4</text>
  </threadedComment>
  <threadedComment ref="E19" dT="2023-08-03T18:42:23.82" personId="{31B64D60-87E8-41B4-AA93-80717787C83F}" id="{6F39316B-C8D8-4228-8921-B74A7AB9375B}" parentId="{4A0F4476-0DAA-4727-A353-85F1659DD4E2}">
    <text xml:space="preserve">Tool 8 Tool to determine the mass flow of a greenhouse gas in a gaseous stream </text>
  </threadedComment>
  <threadedComment ref="E24" dT="2023-08-03T18:14:38.43" personId="{31B64D60-87E8-41B4-AA93-80717787C83F}" id="{FB1AFA1F-33DB-447F-BCA9-9B117019CB20}">
    <text>Eq 3</text>
  </threadedComment>
  <threadedComment ref="E28" dT="2023-08-03T18:19:12.73" personId="{31B64D60-87E8-41B4-AA93-80717787C83F}" id="{3FABBB38-0C8C-4249-909E-1A4E65CA53B8}">
    <text>Eq 9</text>
  </threadedComment>
  <threadedComment ref="E29" dT="2023-08-03T18:26:53.25" personId="{31B64D60-87E8-41B4-AA93-80717787C83F}" id="{4F4AFDC1-8AA7-4AA1-AFED-563914F7FB2E}">
    <text>Eq 15</text>
  </threadedComment>
  <threadedComment ref="E31" dT="2023-08-03T18:22:54.67" personId="{31B64D60-87E8-41B4-AA93-80717787C83F}" id="{5655A130-B4EB-4AAB-8064-ACF50AA4778A}">
    <text>Eq 10</text>
  </threadedComment>
  <threadedComment ref="F34" dT="2023-08-03T18:35:58.01" personId="{31B64D60-87E8-41B4-AA93-80717787C83F}" id="{CF9F43E2-A03A-4ED4-915C-694C9F877CF3}">
    <text>Methane</text>
  </threadedComment>
  <threadedComment ref="E37" dT="2023-08-03T18:26:34.28" personId="{31B64D60-87E8-41B4-AA93-80717787C83F}" id="{28A580E6-C12F-43A0-B82B-CCF725208D15}">
    <text>Eq 16</text>
  </threadedComment>
  <threadedComment ref="E38" dT="2023-08-03T18:29:23.16" personId="{31B64D60-87E8-41B4-AA93-80717787C83F}" id="{AC281006-5A84-49B4-BC1F-8E033B8C7A45}">
    <text>Eq 17</text>
  </threadedComment>
  <threadedComment ref="E42" dT="2023-08-03T18:52:20.08" personId="{31B64D60-87E8-41B4-AA93-80717787C83F}" id="{F4A59565-1607-401C-98AE-78599EBC52EE}">
    <text>Eq 2</text>
  </threadedComment>
  <threadedComment ref="C46" dT="2023-08-04T20:02:42.42" personId="{31B64D60-87E8-41B4-AA93-80717787C83F}" id="{EDD51F39-CF6F-449E-AA58-12FD7200CA93}">
    <text>This data comes from tool 05</text>
  </threadedComment>
  <threadedComment ref="E47" dT="2023-08-10T14:56:00.30" personId="{31B64D60-87E8-41B4-AA93-80717787C83F}" id="{3768B6D3-CA87-4C59-A5B4-98886E974799}">
    <text>Eq 1</text>
  </threadedComment>
  <threadedComment ref="E47" dT="2023-08-16T20:12:59.41" personId="{31B64D60-87E8-41B4-AA93-80717787C83F}" id="{605FF0A9-F20A-467F-8CCA-602F9BAED6D7}" parentId="{3768B6D3-CA87-4C59-A5B4-98886E974799}">
    <text>Tool 05</text>
  </threadedComment>
  <threadedComment ref="E49" dT="2023-08-03T19:33:15.39" personId="{31B64D60-87E8-41B4-AA93-80717787C83F}" id="{7E539ECD-CE14-4669-8F03-396A63A3B7FB}">
    <text>Eq 3</text>
  </threadedComment>
  <threadedComment ref="C54" dT="2023-08-04T20:03:23.24" personId="{31B64D60-87E8-41B4-AA93-80717787C83F}" id="{35FEF703-7B4C-4FFF-A95E-4C6B4C1E0267}">
    <text>This data comes from tool 05</text>
  </threadedComment>
  <threadedComment ref="E55" dT="2023-08-10T14:56:00.30" personId="{31B64D60-87E8-41B4-AA93-80717787C83F}" id="{AE60A8F5-4A48-434F-B904-D004D0CFDD44}">
    <text>Eq 1</text>
  </threadedComment>
  <threadedComment ref="E55" dT="2023-08-16T20:15:28.34" personId="{31B64D60-87E8-41B4-AA93-80717787C83F}" id="{9058FD07-D881-41B2-8769-4E68D3759EA1}" parentId="{AE60A8F5-4A48-434F-B904-D004D0CFDD44}">
    <text>Tool 03</text>
  </threadedComment>
  <threadedComment ref="E57" dT="2023-08-03T19:41:13.38" personId="{31B64D60-87E8-41B4-AA93-80717787C83F}" id="{13C2D432-347E-43C2-9064-8514B59E51DF}">
    <text>Eq 4</text>
  </threadedComment>
  <threadedComment ref="C62" dT="2023-08-04T20:13:11.89" personId="{31B64D60-87E8-41B4-AA93-80717787C83F}" id="{F29F6732-9D69-4B03-BC9C-6839691F0033}">
    <text>Data comes from Tool 06</text>
  </threadedComment>
  <threadedComment ref="E63" dT="2023-08-16T20:17:50.63" personId="{31B64D60-87E8-41B4-AA93-80717787C83F}" id="{E42913F7-B1EE-43F5-AA72-76F574738D61}">
    <text>Tool 06</text>
  </threadedComment>
  <threadedComment ref="E63" dT="2023-08-16T20:18:06.74" personId="{31B64D60-87E8-41B4-AA93-80717787C83F}" id="{58DCB23F-00D6-45A8-97EE-0909DB4455F9}" parentId="{E42913F7-B1EE-43F5-AA72-76F574738D61}">
    <text>Eq 15</text>
  </threadedComment>
  <threadedComment ref="E65" dT="2023-08-04T19:24:29.94" personId="{31B64D60-87E8-41B4-AA93-80717787C83F}" id="{774EE864-0E4E-426F-A85F-16D7DB2754B1}">
    <text>Eq 5</text>
  </threadedComment>
  <threadedComment ref="E69" dT="2023-08-04T19:42:52.91" personId="{31B64D60-87E8-41B4-AA93-80717787C83F}" id="{96474FF9-29BD-4A10-B2E2-401DE1603512}">
    <text>Eq 6</text>
  </threadedComment>
  <threadedComment ref="E77" dT="2023-08-04T19:47:05.88" personId="{31B64D60-87E8-41B4-AA93-80717787C83F}" id="{6612A5FF-90C3-4809-95A3-F27338EF2E25}">
    <text>Eq 7</text>
  </threadedComment>
  <threadedComment ref="E83" dT="2023-08-04T19:52:24.79" personId="{31B64D60-87E8-41B4-AA93-80717787C83F}" id="{5117AB29-E03C-416C-8D22-02EBC753EA2E}">
    <text>Eq 8</text>
  </threadedComment>
  <threadedComment ref="E89" dT="2023-08-04T19:52:24.79" personId="{31B64D60-87E8-41B4-AA93-80717787C83F}" id="{C3820D11-ABF6-4DC3-B367-AF91FFC526A9}">
    <text>Eq 8</text>
  </threadedComment>
</ThreadedComments>
</file>

<file path=xl/threadedComments/threadedComment19.xml><?xml version="1.0" encoding="utf-8"?>
<ThreadedComments xmlns="http://schemas.microsoft.com/office/spreadsheetml/2018/threadedcomments" xmlns:x="http://schemas.openxmlformats.org/spreadsheetml/2006/main">
  <threadedComment ref="B38" dT="2023-09-22T17:52:54.23" personId="{9FBD9E62-2791-48AF-8C69-1E74E6AD4ED1}" id="{F8979E94-EA6A-41A1-8256-E3CA7BEE37B5}">
    <text>Equation 8</text>
  </threadedComment>
  <threadedComment ref="B43" dT="2023-09-22T17:20:03.85" personId="{9FBD9E62-2791-48AF-8C69-1E74E6AD4ED1}" id="{155E484F-5371-4938-A056-7209F9F4B043}">
    <text>Equation 7</text>
  </threadedComment>
  <threadedComment ref="B48" dT="2023-09-22T16:54:06.93" personId="{9FBD9E62-2791-48AF-8C69-1E74E6AD4ED1}" id="{568C5D05-2DA2-4329-AC72-3B8EDD459B1E}">
    <text>Equation 6</text>
  </threadedComment>
  <threadedComment ref="B54" dT="2023-09-22T16:20:01.99" personId="{9FBD9E62-2791-48AF-8C69-1E74E6AD4ED1}" id="{B71DF661-957E-4897-8058-361F3BB2A972}">
    <text>Equation 5</text>
  </threadedComment>
  <threadedComment ref="B56" dT="2023-09-22T16:09:08.74" personId="{9FBD9E62-2791-48AF-8C69-1E74E6AD4ED1}" id="{2BDCAFE3-B5BF-4BF9-84F1-55C542E4D22C}">
    <text>Equation 4</text>
  </threadedComment>
  <threadedComment ref="B66" dT="2023-09-22T16:13:56.33" personId="{9FBD9E62-2791-48AF-8C69-1E74E6AD4ED1}" id="{C7504D00-735A-4100-92B8-47B7D7159E93}">
    <text>Equation 3</text>
  </threadedComment>
  <threadedComment ref="B70" dT="2023-09-22T16:08:33.70" personId="{9FBD9E62-2791-48AF-8C69-1E74E6AD4ED1}" id="{991A4A93-1872-46F5-AEE5-D2AAEF51AD5D}">
    <text>Equation 2</text>
  </threadedComment>
  <threadedComment ref="B71" dT="2023-09-21T18:49:20.46" personId="{9FBD9E62-2791-48AF-8C69-1E74E6AD4ED1}" id="{83283245-B482-48BC-BBBD-DB2BE52FC4FE}">
    <text>Equation 1</text>
  </threadedComment>
  <threadedComment ref="B79" dT="2023-09-26T23:01:53.39" personId="{9FBD9E62-2791-48AF-8C69-1E74E6AD4ED1}" id="{9047636D-9BB0-41E8-95D9-242F2A0A0AEC}">
    <text>Equation 13</text>
  </threadedComment>
  <threadedComment ref="B85" dT="2023-09-22T19:29:14.23" personId="{9FBD9E62-2791-48AF-8C69-1E74E6AD4ED1}" id="{28E34740-8A77-49D0-A563-A17F0E79ADA2}">
    <text>Equation 11</text>
  </threadedComment>
  <threadedComment ref="B91" dT="2023-09-27T21:05:11.72" personId="{9FBD9E62-2791-48AF-8C69-1E74E6AD4ED1}" id="{7F4F303C-1231-4695-8B5D-3437D89ED729}">
    <text>Equation 9</text>
  </threadedComment>
  <threadedComment ref="B95" dT="2023-09-26T23:02:13.22" personId="{9FBD9E62-2791-48AF-8C69-1E74E6AD4ED1}" id="{51000DBA-3ACA-4E23-9CD6-EDC8A5F38EF4}">
    <text>Equation 14</text>
  </threadedComment>
  <threadedComment ref="B101" dT="2023-09-26T23:00:46.78" personId="{9FBD9E62-2791-48AF-8C69-1E74E6AD4ED1}" id="{F83B5B71-B340-47D4-948E-6F777B28E457}">
    <text>Equation 12</text>
  </threadedComment>
  <threadedComment ref="B107" dT="2023-09-27T21:05:29.30" personId="{9FBD9E62-2791-48AF-8C69-1E74E6AD4ED1}" id="{13ADD582-5F74-420E-B8CB-46C1A30D939E}">
    <text>Equation 10</text>
  </threadedComment>
  <threadedComment ref="B116" dT="2023-09-26T23:05:30.00" personId="{9FBD9E62-2791-48AF-8C69-1E74E6AD4ED1}" id="{B4301A97-7931-4E49-893B-A5AD2497004D}">
    <text>Equation 15</text>
  </threadedComment>
  <threadedComment ref="C121" dT="2023-10-09T04:00:46.39" personId="{4E3A256E-2AC3-4A62-90A9-D21A02CD1301}" id="{E4B52E71-0AAB-4182-9900-FDE18A73D177}">
    <text>"Tool 12"
Linked value to get calculation to work</text>
  </threadedComment>
  <threadedComment ref="C122" dT="2023-10-09T03:57:37.76" personId="{4E3A256E-2AC3-4A62-90A9-D21A02CD1301}" id="{C85412AF-9547-48B0-BBBA-AE9609532029}">
    <text xml:space="preserve">"Parameter LEec,y from Tool 05"
</text>
  </threadedComment>
  <threadedComment ref="C123" dT="2023-10-09T03:57:59.65" personId="{4E3A256E-2AC3-4A62-90A9-D21A02CD1301}" id="{DE49F9BF-A588-46A0-A91C-318DF3AFE067}">
    <text xml:space="preserve">"Parameter LEfc,𝑗,𝑦  from Tool 03"
No value listed with that parameter, used PEfc,j,y
</text>
  </threadedComment>
  <threadedComment ref="C131" dT="2023-10-09T03:38:39.84" personId="{4E3A256E-2AC3-4A62-90A9-D21A02CD1301}" id="{1875EC83-CFB9-4586-BE98-E241B614ACD3}">
    <text>"Parameter LEec,y from Tool 05"</text>
  </threadedComment>
  <threadedComment ref="C132" dT="2023-10-09T03:41:14.71" personId="{4E3A256E-2AC3-4A62-90A9-D21A02CD1301}" id="{82191B05-AC73-4046-AD3C-075C26716FC6}">
    <text>"Parameter LEfc,𝑗,𝑦  from Tool 03"
No value listed with that parameter, used PEfc,j,y</text>
  </threadedComment>
  <threadedComment ref="C133" dT="2023-10-09T03:46:53.78" personId="{4E3A256E-2AC3-4A62-90A9-D21A02CD1301}" id="{DB616657-0B0A-4E7E-AD65-C5520531686F}">
    <text>"Parameter  LEch4,swds,𝑦  from Tool 04"
Had to insert values for certain parameters to get a value</text>
  </threadedComment>
  <threadedComment ref="C134" dT="2023-10-09T03:49:53.49" personId="{4E3A256E-2AC3-4A62-90A9-D21A02CD1301}" id="{D8685842-8582-41C7-BD52-4632FE698B96}">
    <text>"Parameter LEcomp,y  from Tool 13"</text>
  </threadedComment>
  <threadedComment ref="C135" dT="2023-10-09T03:52:18.75" personId="{4E3A256E-2AC3-4A62-90A9-D21A02CD1301}" id="{7B10C52A-413F-4C88-89AE-0752EC4C04D0}">
    <text>"Parameter LEad,𝑦   from Tool 14"
Value should be pulled from 
='Tool 14'!F63
Values need to be inserted/fixed, used a placeholder of 10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F7" dT="2023-09-21T15:14:30.78" personId="{73FB7A0F-48D5-4375-9FBD-B0A5688B1E06}" id="{F9F63D94-1BF8-4634-AFF1-AC891C3A2AB0}">
    <text>Equation #11</text>
  </threadedComment>
  <threadedComment ref="F27" dT="2023-09-21T15:14:30.78" personId="{73FB7A0F-48D5-4375-9FBD-B0A5688B1E06}" id="{FFFADAC4-DB7F-420F-BF80-6AD55CA729D0}">
    <text>Equation #11</text>
  </threadedComment>
</ThreadedComments>
</file>

<file path=xl/threadedComments/threadedComment20.xml><?xml version="1.0" encoding="utf-8"?>
<ThreadedComments xmlns="http://schemas.microsoft.com/office/spreadsheetml/2018/threadedcomments" xmlns:x="http://schemas.openxmlformats.org/spreadsheetml/2006/main">
  <threadedComment ref="A1" dT="2023-09-28T20:33:45.05" personId="{9FBD9E62-2791-48AF-8C69-1E74E6AD4ED1}" id="{50B7CF13-480A-49F4-B47B-0BAB9321AD46}">
    <text xml:space="preserve">Add one of each of the parameters and an annual total for each year added. </text>
  </threadedComment>
  <threadedComment ref="A8" dT="2023-09-28T20:38:30.46" personId="{9FBD9E62-2791-48AF-8C69-1E74E6AD4ED1}" id="{AA6ADE9C-F1E8-4B9B-B503-23189DE6E705}">
    <text xml:space="preserve">Add one of each of the parameters and an annual total for each year added. </text>
  </threadedComment>
  <threadedComment ref="A13" dT="2023-09-28T20:34:08.78" personId="{9FBD9E62-2791-48AF-8C69-1E74E6AD4ED1}" id="{391C48FE-EC7C-48B9-B56D-8A3805227226}">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3.xml><?xml version="1.0" encoding="utf-8"?>
<ThreadedComments xmlns="http://schemas.microsoft.com/office/spreadsheetml/2018/threadedcomments" xmlns:x="http://schemas.openxmlformats.org/spreadsheetml/2006/main">
  <threadedComment ref="H23" dT="2023-09-06T00:34:53.72" personId="{4E3A256E-2AC3-4A62-90A9-D21A02CD1301}" id="{A81EA600-ED3C-4094-9809-004BD192FC9D}">
    <text>Possibly need to include Tool 24: Methodological tool: Common practice</text>
  </threadedComment>
  <threadedComment ref="H25" dT="2023-09-06T00:34:53.72" personId="{4E3A256E-2AC3-4A62-90A9-D21A02CD1301}" id="{9E536D13-40F9-4A38-9CDA-A5B8481F7FEE}">
    <text>Possibly need to include Tool 24: Methodological tool: Common practice</text>
  </threadedComment>
  <threadedComment ref="H81" dT="2023-09-06T00:34:53.72" personId="{4E3A256E-2AC3-4A62-90A9-D21A02CD1301}" id="{31A4EC2C-8989-4672-947A-0912F3946756}">
    <text>Possibly need to include Tool 24: Methodological tool: Common practice</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31B64D60-87E8-41B4-AA93-80717787C83F}" id="{E85F3147-6A0E-481C-BAFC-6F849ED53951}">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B34" dT="2023-09-14T15:57:32.66" personId="{9FBD9E62-2791-48AF-8C69-1E74E6AD4ED1}" id="{8D6AE484-1B21-49E5-8AC1-28F52DD26472}">
    <text>Equation 3</text>
  </threadedComment>
  <threadedComment ref="B35" dT="2023-09-14T15:57:50.52" personId="{9FBD9E62-2791-48AF-8C69-1E74E6AD4ED1}" id="{95F44474-EAA8-467A-A099-5E55F48EB318}">
    <text>Equation 4</text>
  </threadedComment>
  <threadedComment ref="B44" dT="2023-09-14T16:00:06.57" personId="{9FBD9E62-2791-48AF-8C69-1E74E6AD4ED1}" id="{A9790D6F-C44F-49DF-8E7E-07238849EFFA}">
    <text>Equation 7</text>
  </threadedComment>
  <threadedComment ref="B45" dT="2023-09-14T15:58:31.69" personId="{9FBD9E62-2791-48AF-8C69-1E74E6AD4ED1}" id="{BEB64004-AC74-4CCA-A2DD-F1284E684A6D}">
    <text>Equation 5</text>
  </threadedComment>
  <threadedComment ref="B54" dT="2023-09-14T16:00:45.83" personId="{9FBD9E62-2791-48AF-8C69-1E74E6AD4ED1}" id="{73812714-865F-4C04-B5FA-1C97FD86E0CC}">
    <text>Equation 9</text>
  </threadedComment>
  <threadedComment ref="B59" dT="2023-09-14T16:01:11.41" personId="{9FBD9E62-2791-48AF-8C69-1E74E6AD4ED1}" id="{48D0B9FC-7EAA-414C-9695-7958BEC8F376}">
    <text>Equation 11</text>
  </threadedComment>
  <threadedComment ref="B66" dT="2023-09-14T16:02:00.74" personId="{9FBD9E62-2791-48AF-8C69-1E74E6AD4ED1}" id="{0994E2F8-3384-46D6-A986-3703C8D346F8}">
    <text>Equation 12</text>
  </threadedComment>
  <threadedComment ref="B86" dT="2023-09-08T16:51:38.02" personId="{9FBD9E62-2791-48AF-8C69-1E74E6AD4ED1}" id="{DB196BE1-7FA6-45F8-89BA-9F82AEF5B887}">
    <text>Equation 1</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09-14T16:39:36.76" personId="{9FBD9E62-2791-48AF-8C69-1E74E6AD4ED1}" id="{547B1BA6-97AD-4D4A-AC85-AA8201C6FE30}">
    <text>Add a line for each SWDS CH4 calculation instance added</text>
  </threadedComment>
</ThreadedComments>
</file>

<file path=xl/threadedComments/threadedComment7.xml><?xml version="1.0" encoding="utf-8"?>
<ThreadedComments xmlns="http://schemas.microsoft.com/office/spreadsheetml/2018/threadedcomments" xmlns:x="http://schemas.openxmlformats.org/spreadsheetml/2006/main">
  <threadedComment ref="F6" dT="2023-08-10T14:56:00.30" personId="{31B64D60-87E8-41B4-AA93-80717787C83F}" id="{B484FDF9-76DE-4DE1-BDD9-3BB42280BAE5}">
    <text>Eq 1</text>
  </threadedComment>
  <threadedComment ref="F11" dT="2023-08-10T14:56:07.23" personId="{31B64D60-87E8-41B4-AA93-80717787C83F}" id="{009B0426-CA3F-41D2-ABB6-2B5881B40838}">
    <text>Eq 2</text>
  </threadedComment>
  <threadedComment ref="F13" dT="2023-08-14T21:55:53.61" personId="{31B64D60-87E8-41B4-AA93-80717787C83F}" id="{B21DAD20-01A7-420E-A0B1-FF050BA85A92}">
    <text>At least monthly recording of data</text>
  </threadedComment>
  <threadedComment ref="F16" dT="2023-08-10T14:56:16.16" personId="{31B64D60-87E8-41B4-AA93-80717787C83F}" id="{80B818D8-09FF-43DF-8845-4CF78D3B4DD2}">
    <text>Eq 3</text>
  </threadedComment>
  <threadedComment ref="F22" dT="2023-08-22T01:12:00.32" personId="{31B64D60-87E8-41B4-AA93-80717787C83F}" id="{6D2CF11C-E238-4C12-8E77-915B8905C910}">
    <text>Eq 7</text>
  </threadedComment>
  <threadedComment ref="F23" dT="2023-08-22T01:12:36.84" personId="{31B64D60-87E8-41B4-AA93-80717787C83F}" id="{543BEA8B-C99D-4A82-B1C9-EE49B14BE481}">
    <text>Eq 8</text>
  </threadedComment>
  <threadedComment ref="F37" dT="2023-08-10T15:56:01.08" personId="{31B64D60-87E8-41B4-AA93-80717787C83F}" id="{D27C7D4E-B0D4-491C-A5DA-217B84B1AE64}">
    <text>Eq 4</text>
  </threadedComment>
</ThreadedComments>
</file>

<file path=xl/threadedComments/threadedComment8.xml><?xml version="1.0" encoding="utf-8"?>
<ThreadedComments xmlns="http://schemas.microsoft.com/office/spreadsheetml/2018/threadedcomments" xmlns:x="http://schemas.openxmlformats.org/spreadsheetml/2006/main">
  <threadedComment ref="F3" dT="2023-08-10T15:56:01.08" personId="{31B64D60-87E8-41B4-AA93-80717787C83F}" id="{9BD76A93-BC39-4504-86E4-B7A36CD05613}">
    <text>Eq 4</text>
  </threadedComment>
  <threadedComment ref="F4" dT="2023-08-10T21:11:09.42" personId="{31B64D60-87E8-41B4-AA93-80717787C83F}" id="{2C2DC10C-3BFF-416E-86F5-A8A4111D09EA}">
    <text>Eq 5</text>
  </threadedComment>
  <threadedComment ref="F7" dT="2023-08-10T15:56:01.08" personId="{31B64D60-87E8-41B4-AA93-80717787C83F}" id="{9105055C-5028-4E40-94A8-D51093D027C4}">
    <text>Eq 4</text>
  </threadedComment>
  <threadedComment ref="F8" dT="2023-08-10T21:11:09.42" personId="{31B64D60-87E8-41B4-AA93-80717787C83F}" id="{27793204-8E4F-4679-B495-77763CFC7725}">
    <text>Eq 5</text>
  </threadedComment>
  <threadedComment ref="F10" dT="2023-08-10T21:00:37.41" personId="{31B64D60-87E8-41B4-AA93-80717787C83F}" id="{27704783-6756-4E1D-BC80-AE9071A3FDC4}">
    <text>Assumptions are made for this that the unit for FCn,i,t is in metric tons</text>
  </threadedComment>
  <threadedComment ref="G10" dT="2023-08-10T19:37:59.63" personId="{31B64D60-87E8-41B4-AA93-80717787C83F}" id="{567933F1-FF2F-4AF5-B7C8-6B8604BCE018}">
    <text>Dependent on fuel type selection</text>
  </threadedComment>
  <threadedComment ref="G11" dT="2023-08-10T19:38:12.02" personId="{31B64D60-87E8-41B4-AA93-80717787C83F}" id="{C6BBD42D-A1E0-43F4-8491-EB5C0CA52C65}">
    <text>Dependent on fuel type selection</text>
  </threadedComment>
  <threadedComment ref="F12" dT="2023-08-10T20:53:47.04" personId="{31B64D60-87E8-41B4-AA93-80717787C83F}" id="{374BA596-18E8-4C6D-8D20-9C8020AC814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1B64D60-87E8-41B4-AA93-80717787C83F}" id="{87E969CA-4713-4920-B591-F78A224F8E32}">
    <text>Eq 4</text>
  </threadedComment>
  <threadedComment ref="F20" dT="2023-08-10T21:11:09.42" personId="{31B64D60-87E8-41B4-AA93-80717787C83F}" id="{C4BEF18C-B10F-468F-A1C1-D207D6ED2EAC}">
    <text>Eq 5</text>
  </threadedComment>
  <threadedComment ref="F22" dT="2023-08-10T21:00:37.41" personId="{31B64D60-87E8-41B4-AA93-80717787C83F}" id="{39EFD990-17AE-4DE1-8CAE-853BB366AB54}">
    <text>Assumptions are made for this that the unit for FCn,i,t is in metric tons</text>
  </threadedComment>
  <threadedComment ref="G22" dT="2023-08-10T19:37:59.63" personId="{31B64D60-87E8-41B4-AA93-80717787C83F}" id="{B7FA5A4E-B333-47B6-99C6-0121788D2789}">
    <text>Dependent on fuel type selection</text>
  </threadedComment>
  <threadedComment ref="G23" dT="2023-08-10T19:38:12.02" personId="{31B64D60-87E8-41B4-AA93-80717787C83F}" id="{EE5E68F2-BC77-4F69-B5F4-CB647F0AF316}">
    <text>Dependent on fuel type selection</text>
  </threadedComment>
  <threadedComment ref="F24" dT="2023-08-10T20:53:47.04" personId="{31B64D60-87E8-41B4-AA93-80717787C83F}" id="{7CA94144-6C0E-4098-B755-CD1D1F39CD3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1B64D60-87E8-41B4-AA93-80717787C83F}" id="{21C5B3CB-0B98-4156-A07A-41565D00E81C}">
    <text>Eq 4</text>
  </threadedComment>
  <threadedComment ref="F32" dT="2023-08-10T21:11:09.42" personId="{31B64D60-87E8-41B4-AA93-80717787C83F}" id="{2A8AC3C1-4D99-49AB-BC3F-CE246088682F}">
    <text>Eq 5</text>
  </threadedComment>
  <threadedComment ref="F34" dT="2023-08-10T21:00:37.41" personId="{31B64D60-87E8-41B4-AA93-80717787C83F}" id="{61EAC35A-C952-4F6A-88D5-2B4A98A42E19}">
    <text>Assumptions are made for this that the unit for FCn,i,t is in metric tons</text>
  </threadedComment>
  <threadedComment ref="G34" dT="2023-08-10T19:37:59.63" personId="{31B64D60-87E8-41B4-AA93-80717787C83F}" id="{08C71520-9994-4335-AB70-76F2878ECACC}">
    <text>Dependent on fuel type selection</text>
  </threadedComment>
  <threadedComment ref="G35" dT="2023-08-10T19:38:12.02" personId="{31B64D60-87E8-41B4-AA93-80717787C83F}" id="{05FA58C7-DE5B-46CC-A11C-14467E3A4BA6}">
    <text>Dependent on fuel type selection</text>
  </threadedComment>
  <threadedComment ref="F36" dT="2023-08-10T20:53:47.04" personId="{31B64D60-87E8-41B4-AA93-80717787C83F}" id="{00A12F0F-33F6-4508-929E-ECFCB5451E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9.xml><?xml version="1.0" encoding="utf-8"?>
<ThreadedComments xmlns="http://schemas.microsoft.com/office/spreadsheetml/2018/threadedcomments" xmlns:x="http://schemas.openxmlformats.org/spreadsheetml/2006/main">
  <threadedComment ref="D3" dT="2023-08-10T16:26:52.04" personId="{31B64D60-87E8-41B4-AA93-80717787C83F}" id="{75198FC6-5629-4080-B24D-ED7738D58274}">
    <text>Upper Default Value at the 95% confidence interval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4" Type="http://schemas.microsoft.com/office/2017/10/relationships/threadedComment" Target="../threadedComments/threadedComment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sheetPr codeName="Sheet1"/>
  <dimension ref="A1:I137"/>
  <sheetViews>
    <sheetView zoomScale="80" zoomScaleNormal="80" workbookViewId="0">
      <pane ySplit="1" topLeftCell="B44" activePane="bottomLeft" state="frozen"/>
      <selection pane="bottomLeft" activeCell="H17" sqref="H17"/>
    </sheetView>
  </sheetViews>
  <sheetFormatPr defaultRowHeight="15"/>
  <cols>
    <col min="1" max="1" width="13.140625" customWidth="1"/>
    <col min="2" max="2" width="13.5703125" customWidth="1"/>
    <col min="3" max="3" width="12.140625" style="13" customWidth="1"/>
    <col min="4" max="4" width="10.140625" customWidth="1"/>
    <col min="5" max="5" width="43.85546875" bestFit="1" customWidth="1"/>
    <col min="6" max="6" width="14.28515625" customWidth="1"/>
    <col min="7" max="7" width="42.28515625" customWidth="1"/>
    <col min="8" max="8" width="41.85546875" style="137" customWidth="1"/>
    <col min="9" max="9" width="83.140625" style="7" customWidth="1"/>
  </cols>
  <sheetData>
    <row r="1" spans="1:9" ht="37.5">
      <c r="A1" s="6" t="s">
        <v>0</v>
      </c>
      <c r="B1" s="6" t="s">
        <v>1</v>
      </c>
      <c r="C1" s="11" t="s">
        <v>2</v>
      </c>
      <c r="D1" s="6" t="s">
        <v>3</v>
      </c>
      <c r="E1" s="6" t="s">
        <v>4</v>
      </c>
      <c r="F1" s="6" t="s">
        <v>5</v>
      </c>
      <c r="G1" s="1" t="s">
        <v>6</v>
      </c>
      <c r="H1" s="5" t="s">
        <v>7</v>
      </c>
      <c r="I1" s="5" t="s">
        <v>8</v>
      </c>
    </row>
    <row r="2" spans="1:9" ht="49.5" customHeight="1">
      <c r="A2" s="298" t="s">
        <v>9</v>
      </c>
      <c r="B2" s="298"/>
      <c r="C2" s="298"/>
      <c r="D2" s="298"/>
      <c r="E2" s="298"/>
      <c r="F2" s="298"/>
      <c r="G2" s="298"/>
      <c r="H2" s="298"/>
      <c r="I2" s="298"/>
    </row>
    <row r="3" spans="1:9" ht="137.25">
      <c r="A3" s="2" t="s">
        <v>10</v>
      </c>
      <c r="B3" s="2"/>
      <c r="C3" s="2" t="s">
        <v>11</v>
      </c>
      <c r="D3" s="2" t="s">
        <v>12</v>
      </c>
      <c r="E3" s="12"/>
      <c r="F3" s="12" t="s">
        <v>13</v>
      </c>
      <c r="G3" s="2" t="s">
        <v>14</v>
      </c>
      <c r="H3" s="7" t="s">
        <v>15</v>
      </c>
      <c r="I3" s="2"/>
    </row>
    <row r="4" spans="1:9" ht="30.75">
      <c r="A4" s="2" t="s">
        <v>10</v>
      </c>
      <c r="B4" s="2"/>
      <c r="C4" s="2" t="s">
        <v>11</v>
      </c>
      <c r="D4" s="2" t="s">
        <v>12</v>
      </c>
      <c r="E4" s="12" t="s">
        <v>16</v>
      </c>
      <c r="F4" s="12" t="s">
        <v>13</v>
      </c>
      <c r="G4" s="2" t="s">
        <v>17</v>
      </c>
      <c r="H4" s="8" t="s">
        <v>18</v>
      </c>
      <c r="I4" s="2"/>
    </row>
    <row r="5" spans="1:9" ht="30.75">
      <c r="A5" s="2" t="s">
        <v>10</v>
      </c>
      <c r="B5" s="2"/>
      <c r="C5" s="2" t="s">
        <v>10</v>
      </c>
      <c r="D5" s="2" t="s">
        <v>12</v>
      </c>
      <c r="E5" s="12" t="s">
        <v>19</v>
      </c>
      <c r="F5" s="12" t="s">
        <v>13</v>
      </c>
      <c r="G5" s="2" t="s">
        <v>20</v>
      </c>
      <c r="H5" s="8" t="s">
        <v>21</v>
      </c>
      <c r="I5" s="2"/>
    </row>
    <row r="6" spans="1:9" ht="106.5">
      <c r="A6" s="2" t="s">
        <v>10</v>
      </c>
      <c r="B6" s="2"/>
      <c r="C6" s="2" t="s">
        <v>10</v>
      </c>
      <c r="D6" s="2" t="s">
        <v>12</v>
      </c>
      <c r="E6" s="12"/>
      <c r="F6" s="12" t="s">
        <v>13</v>
      </c>
      <c r="G6" s="2" t="s">
        <v>22</v>
      </c>
      <c r="H6" s="8" t="s">
        <v>23</v>
      </c>
      <c r="I6" s="2"/>
    </row>
    <row r="7" spans="1:9">
      <c r="A7" s="2" t="s">
        <v>10</v>
      </c>
      <c r="B7" s="2"/>
      <c r="C7" s="2"/>
      <c r="D7" s="2" t="s">
        <v>12</v>
      </c>
      <c r="E7" s="12" t="s">
        <v>24</v>
      </c>
      <c r="F7" s="12" t="s">
        <v>13</v>
      </c>
      <c r="G7" s="2" t="s">
        <v>25</v>
      </c>
      <c r="H7" s="8" t="s">
        <v>26</v>
      </c>
      <c r="I7" s="2"/>
    </row>
    <row r="8" spans="1:9">
      <c r="A8" s="2" t="s">
        <v>10</v>
      </c>
      <c r="B8" s="2"/>
      <c r="C8" s="2"/>
      <c r="D8" s="2" t="s">
        <v>12</v>
      </c>
      <c r="E8" s="12" t="s">
        <v>27</v>
      </c>
      <c r="F8" s="12" t="s">
        <v>13</v>
      </c>
      <c r="G8" s="2" t="s">
        <v>28</v>
      </c>
      <c r="H8" s="8" t="s">
        <v>29</v>
      </c>
      <c r="I8" s="2"/>
    </row>
    <row r="9" spans="1:9">
      <c r="A9" s="2" t="s">
        <v>10</v>
      </c>
      <c r="B9" s="2"/>
      <c r="C9" s="2"/>
      <c r="D9" s="2" t="s">
        <v>12</v>
      </c>
      <c r="E9" s="12" t="s">
        <v>30</v>
      </c>
      <c r="F9" s="12" t="s">
        <v>13</v>
      </c>
      <c r="G9" s="2" t="s">
        <v>31</v>
      </c>
      <c r="H9" s="8" t="s">
        <v>32</v>
      </c>
      <c r="I9" s="2"/>
    </row>
    <row r="10" spans="1:9" ht="60.75">
      <c r="A10" s="2" t="s">
        <v>10</v>
      </c>
      <c r="B10" s="2"/>
      <c r="C10" s="2" t="s">
        <v>10</v>
      </c>
      <c r="D10" s="2" t="s">
        <v>12</v>
      </c>
      <c r="E10" s="12" t="s">
        <v>33</v>
      </c>
      <c r="F10" s="12" t="s">
        <v>13</v>
      </c>
      <c r="G10" s="279" t="s">
        <v>34</v>
      </c>
      <c r="H10" s="8" t="s">
        <v>35</v>
      </c>
      <c r="I10" s="2"/>
    </row>
    <row r="11" spans="1:9" ht="30.75">
      <c r="A11" s="2" t="s">
        <v>10</v>
      </c>
      <c r="B11" s="2"/>
      <c r="C11" s="2" t="s">
        <v>11</v>
      </c>
      <c r="D11" s="2" t="s">
        <v>12</v>
      </c>
      <c r="E11" s="12"/>
      <c r="F11" s="12" t="s">
        <v>13</v>
      </c>
      <c r="G11" s="2" t="s">
        <v>36</v>
      </c>
      <c r="H11" s="7" t="s">
        <v>37</v>
      </c>
      <c r="I11" s="2"/>
    </row>
    <row r="12" spans="1:9">
      <c r="A12" s="2" t="s">
        <v>10</v>
      </c>
      <c r="B12" s="2"/>
      <c r="C12" s="2" t="s">
        <v>11</v>
      </c>
      <c r="D12" s="2" t="s">
        <v>12</v>
      </c>
      <c r="E12" s="12" t="s">
        <v>38</v>
      </c>
      <c r="F12" s="12" t="s">
        <v>13</v>
      </c>
      <c r="G12" s="2" t="s">
        <v>39</v>
      </c>
      <c r="H12" s="8" t="s">
        <v>40</v>
      </c>
      <c r="I12" s="2"/>
    </row>
    <row r="13" spans="1:9" s="19" customFormat="1" ht="15.75">
      <c r="A13" s="2" t="s">
        <v>10</v>
      </c>
      <c r="B13" s="2"/>
      <c r="C13" s="2" t="s">
        <v>11</v>
      </c>
      <c r="D13" s="2" t="s">
        <v>41</v>
      </c>
      <c r="E13" s="12"/>
      <c r="F13" s="12" t="s">
        <v>13</v>
      </c>
      <c r="G13" s="2" t="s">
        <v>42</v>
      </c>
      <c r="H13" s="8" t="s">
        <v>43</v>
      </c>
      <c r="I13" s="2"/>
    </row>
    <row r="14" spans="1:9" s="19" customFormat="1" ht="15.75">
      <c r="A14" s="2" t="s">
        <v>10</v>
      </c>
      <c r="B14" s="2"/>
      <c r="C14" s="2" t="s">
        <v>11</v>
      </c>
      <c r="D14" s="2" t="s">
        <v>12</v>
      </c>
      <c r="E14" s="12"/>
      <c r="F14" s="12" t="s">
        <v>13</v>
      </c>
      <c r="G14" s="2" t="s">
        <v>44</v>
      </c>
      <c r="H14" s="8" t="s">
        <v>45</v>
      </c>
      <c r="I14" s="2"/>
    </row>
    <row r="15" spans="1:9" s="19" customFormat="1" ht="15.75">
      <c r="A15" s="2" t="s">
        <v>10</v>
      </c>
      <c r="B15" s="2"/>
      <c r="C15" s="2" t="s">
        <v>11</v>
      </c>
      <c r="D15" s="2" t="s">
        <v>46</v>
      </c>
      <c r="E15" s="12" t="s">
        <v>47</v>
      </c>
      <c r="F15" s="12" t="s">
        <v>13</v>
      </c>
      <c r="G15" s="2" t="s">
        <v>48</v>
      </c>
      <c r="H15" s="8" t="s">
        <v>49</v>
      </c>
      <c r="I15" s="2"/>
    </row>
    <row r="16" spans="1:9">
      <c r="A16" s="2" t="s">
        <v>10</v>
      </c>
      <c r="B16" s="2"/>
      <c r="C16" s="2" t="s">
        <v>11</v>
      </c>
      <c r="D16" s="2" t="s">
        <v>50</v>
      </c>
      <c r="E16" s="12"/>
      <c r="F16" s="12" t="s">
        <v>13</v>
      </c>
      <c r="G16" s="2" t="s">
        <v>51</v>
      </c>
      <c r="H16" s="8" t="s">
        <v>52</v>
      </c>
      <c r="I16" s="2"/>
    </row>
    <row r="17" spans="1:9" s="19" customFormat="1" ht="15.75">
      <c r="A17" s="2" t="s">
        <v>10</v>
      </c>
      <c r="B17" s="2"/>
      <c r="C17" s="2" t="s">
        <v>11</v>
      </c>
      <c r="D17" s="2" t="s">
        <v>53</v>
      </c>
      <c r="E17" s="12"/>
      <c r="F17" s="12" t="s">
        <v>13</v>
      </c>
      <c r="G17" s="2" t="s">
        <v>54</v>
      </c>
      <c r="H17" s="285" t="s">
        <v>55</v>
      </c>
      <c r="I17" s="2"/>
    </row>
    <row r="18" spans="1:9" s="19" customFormat="1" ht="15.75">
      <c r="A18" s="2" t="s">
        <v>10</v>
      </c>
      <c r="B18" s="2"/>
      <c r="C18" s="2" t="s">
        <v>10</v>
      </c>
      <c r="D18" s="2" t="s">
        <v>12</v>
      </c>
      <c r="E18" s="12" t="s">
        <v>56</v>
      </c>
      <c r="F18" s="12" t="s">
        <v>13</v>
      </c>
      <c r="G18" s="2" t="s">
        <v>57</v>
      </c>
      <c r="H18" s="8" t="s">
        <v>40</v>
      </c>
      <c r="I18" s="2"/>
    </row>
    <row r="19" spans="1:9" s="19" customFormat="1" ht="15.75">
      <c r="A19" s="2" t="s">
        <v>10</v>
      </c>
      <c r="B19" s="2"/>
      <c r="C19" s="2" t="s">
        <v>11</v>
      </c>
      <c r="D19" s="2" t="s">
        <v>12</v>
      </c>
      <c r="E19" s="12"/>
      <c r="F19" s="12" t="s">
        <v>13</v>
      </c>
      <c r="G19" s="2" t="s">
        <v>58</v>
      </c>
      <c r="H19" s="8" t="s">
        <v>11</v>
      </c>
      <c r="I19" s="2"/>
    </row>
    <row r="20" spans="1:9">
      <c r="A20" s="2" t="s">
        <v>10</v>
      </c>
      <c r="B20" s="2"/>
      <c r="C20" s="2" t="s">
        <v>11</v>
      </c>
      <c r="D20" s="2" t="s">
        <v>12</v>
      </c>
      <c r="E20" s="12"/>
      <c r="F20" s="12" t="s">
        <v>13</v>
      </c>
      <c r="G20" s="2" t="s">
        <v>59</v>
      </c>
      <c r="H20" s="8" t="s">
        <v>11</v>
      </c>
      <c r="I20" s="2"/>
    </row>
    <row r="21" spans="1:9" s="19" customFormat="1" ht="15.75">
      <c r="A21" s="2" t="s">
        <v>10</v>
      </c>
      <c r="B21" s="2"/>
      <c r="C21" s="2" t="s">
        <v>10</v>
      </c>
      <c r="D21" s="2" t="s">
        <v>60</v>
      </c>
      <c r="E21" s="12" t="s">
        <v>61</v>
      </c>
      <c r="F21" s="12" t="s">
        <v>13</v>
      </c>
      <c r="G21" s="2" t="s">
        <v>62</v>
      </c>
      <c r="H21" s="8" t="s">
        <v>63</v>
      </c>
      <c r="I21" s="2"/>
    </row>
    <row r="22" spans="1:9" s="19" customFormat="1" ht="15.75">
      <c r="A22" s="2" t="s">
        <v>10</v>
      </c>
      <c r="B22" s="2"/>
      <c r="C22" s="2" t="s">
        <v>11</v>
      </c>
      <c r="D22" s="2" t="s">
        <v>64</v>
      </c>
      <c r="E22" s="12" t="s">
        <v>65</v>
      </c>
      <c r="F22" s="12" t="s">
        <v>13</v>
      </c>
      <c r="G22" s="2" t="s">
        <v>66</v>
      </c>
      <c r="H22" s="280">
        <v>43101</v>
      </c>
      <c r="I22" s="2"/>
    </row>
    <row r="23" spans="1:9" s="19" customFormat="1" ht="15.75">
      <c r="A23" s="2" t="s">
        <v>10</v>
      </c>
      <c r="B23" s="2"/>
      <c r="C23" s="3" t="s">
        <v>10</v>
      </c>
      <c r="D23" s="2" t="s">
        <v>67</v>
      </c>
      <c r="E23" s="12" t="s">
        <v>68</v>
      </c>
      <c r="F23" s="12" t="s">
        <v>13</v>
      </c>
      <c r="G23" s="3" t="s">
        <v>69</v>
      </c>
      <c r="H23" s="8" t="s">
        <v>70</v>
      </c>
      <c r="I23" s="2"/>
    </row>
    <row r="24" spans="1:9">
      <c r="A24" s="2" t="s">
        <v>10</v>
      </c>
      <c r="B24" s="2"/>
      <c r="C24" s="3" t="s">
        <v>10</v>
      </c>
      <c r="D24" s="2" t="s">
        <v>67</v>
      </c>
      <c r="E24" s="12" t="s">
        <v>71</v>
      </c>
      <c r="F24" s="12" t="s">
        <v>13</v>
      </c>
      <c r="G24" s="3" t="s">
        <v>72</v>
      </c>
      <c r="H24" s="8" t="s">
        <v>70</v>
      </c>
      <c r="I24" s="2"/>
    </row>
    <row r="25" spans="1:9" s="19" customFormat="1" ht="30.75">
      <c r="A25" s="2" t="s">
        <v>10</v>
      </c>
      <c r="B25" s="2"/>
      <c r="C25" s="3" t="s">
        <v>11</v>
      </c>
      <c r="D25" s="2" t="s">
        <v>12</v>
      </c>
      <c r="E25" s="12"/>
      <c r="F25" s="12" t="s">
        <v>13</v>
      </c>
      <c r="G25" s="3" t="s">
        <v>73</v>
      </c>
      <c r="H25" s="8" t="s">
        <v>74</v>
      </c>
      <c r="I25" s="2"/>
    </row>
    <row r="26" spans="1:9" s="19" customFormat="1" ht="30.75">
      <c r="A26" s="2" t="s">
        <v>10</v>
      </c>
      <c r="B26" s="2"/>
      <c r="C26" s="3" t="s">
        <v>11</v>
      </c>
      <c r="D26" s="2" t="s">
        <v>12</v>
      </c>
      <c r="E26" s="12"/>
      <c r="F26" s="12" t="s">
        <v>13</v>
      </c>
      <c r="G26" s="7" t="s">
        <v>75</v>
      </c>
      <c r="H26" s="7" t="s">
        <v>76</v>
      </c>
      <c r="I26" s="2"/>
    </row>
    <row r="27" spans="1:9" s="19" customFormat="1" ht="15.75">
      <c r="A27" s="2" t="s">
        <v>10</v>
      </c>
      <c r="B27" s="2"/>
      <c r="C27" s="3" t="s">
        <v>11</v>
      </c>
      <c r="D27" s="2" t="s">
        <v>12</v>
      </c>
      <c r="E27" s="12" t="s">
        <v>77</v>
      </c>
      <c r="F27" s="12" t="s">
        <v>13</v>
      </c>
      <c r="G27" t="s">
        <v>78</v>
      </c>
      <c r="H27" s="8" t="s">
        <v>79</v>
      </c>
      <c r="I27" s="2"/>
    </row>
    <row r="28" spans="1:9" s="19" customFormat="1" ht="66" customHeight="1" thickBot="1">
      <c r="A28" s="2" t="s">
        <v>10</v>
      </c>
      <c r="B28" s="2"/>
      <c r="C28" s="3" t="s">
        <v>11</v>
      </c>
      <c r="D28" s="2" t="s">
        <v>12</v>
      </c>
      <c r="E28" s="12"/>
      <c r="F28" s="12" t="s">
        <v>13</v>
      </c>
      <c r="G28" t="s">
        <v>80</v>
      </c>
      <c r="H28" s="8" t="s">
        <v>81</v>
      </c>
      <c r="I28" s="2"/>
    </row>
    <row r="29" spans="1:9" s="19" customFormat="1" ht="42.75" customHeight="1">
      <c r="A29" s="295" t="s">
        <v>82</v>
      </c>
      <c r="B29" s="296"/>
      <c r="C29" s="296"/>
      <c r="D29" s="296"/>
      <c r="E29" s="296"/>
      <c r="F29" s="296"/>
      <c r="G29" s="296"/>
      <c r="H29" s="296"/>
      <c r="I29" s="297"/>
    </row>
    <row r="30" spans="1:9" s="19" customFormat="1" ht="42.75" customHeight="1">
      <c r="A30" s="172" t="s">
        <v>10</v>
      </c>
      <c r="B30" s="173"/>
      <c r="C30" s="174" t="s">
        <v>83</v>
      </c>
      <c r="D30" s="173" t="s">
        <v>84</v>
      </c>
      <c r="E30" s="173"/>
      <c r="F30" s="175" t="s">
        <v>6</v>
      </c>
      <c r="G30" s="173" t="s">
        <v>85</v>
      </c>
      <c r="H30" s="176" t="s">
        <v>10</v>
      </c>
      <c r="I30" s="171" t="s">
        <v>86</v>
      </c>
    </row>
    <row r="31" spans="1:9" ht="226.5" thickBot="1">
      <c r="A31" s="172" t="s">
        <v>10</v>
      </c>
      <c r="B31" s="173"/>
      <c r="C31" s="174" t="s">
        <v>83</v>
      </c>
      <c r="D31" s="173" t="s">
        <v>84</v>
      </c>
      <c r="E31" s="173"/>
      <c r="F31" s="175" t="s">
        <v>87</v>
      </c>
      <c r="G31" s="283" t="s">
        <v>88</v>
      </c>
      <c r="H31" s="176" t="s">
        <v>89</v>
      </c>
      <c r="I31" s="171"/>
    </row>
    <row r="32" spans="1:9" ht="21">
      <c r="A32" s="295" t="s">
        <v>90</v>
      </c>
      <c r="B32" s="296"/>
      <c r="C32" s="296"/>
      <c r="D32" s="296"/>
      <c r="E32" s="296"/>
      <c r="F32" s="296"/>
      <c r="G32" s="296"/>
      <c r="H32" s="296"/>
      <c r="I32" s="297"/>
    </row>
    <row r="33" spans="1:9" s="19" customFormat="1" ht="26.25">
      <c r="A33" s="107" t="s">
        <v>10</v>
      </c>
      <c r="B33" s="31"/>
      <c r="C33" s="49" t="s">
        <v>83</v>
      </c>
      <c r="D33" s="165" t="s">
        <v>91</v>
      </c>
      <c r="E33" s="281" t="s">
        <v>92</v>
      </c>
      <c r="F33" s="14" t="s">
        <v>93</v>
      </c>
      <c r="G33" s="15" t="s">
        <v>94</v>
      </c>
      <c r="H33" s="102">
        <f>H34-H35-H36</f>
        <v>49200.849829356695</v>
      </c>
      <c r="I33" s="166"/>
    </row>
    <row r="34" spans="1:9" s="19" customFormat="1" ht="37.5" customHeight="1">
      <c r="A34" s="107" t="s">
        <v>10</v>
      </c>
      <c r="B34" s="31"/>
      <c r="C34" s="49" t="s">
        <v>83</v>
      </c>
      <c r="D34" s="165" t="s">
        <v>91</v>
      </c>
      <c r="E34" s="281" t="s">
        <v>95</v>
      </c>
      <c r="F34" s="14" t="s">
        <v>96</v>
      </c>
      <c r="G34" s="18" t="s">
        <v>97</v>
      </c>
      <c r="H34" s="102">
        <f>H38</f>
        <v>49521.936870643302</v>
      </c>
      <c r="I34" s="166"/>
    </row>
    <row r="35" spans="1:9" s="19" customFormat="1" ht="26.25">
      <c r="A35" s="107" t="s">
        <v>10</v>
      </c>
      <c r="B35" s="31"/>
      <c r="C35" s="49" t="s">
        <v>83</v>
      </c>
      <c r="D35" s="165" t="s">
        <v>91</v>
      </c>
      <c r="E35" s="281" t="s">
        <v>98</v>
      </c>
      <c r="F35" s="14" t="s">
        <v>99</v>
      </c>
      <c r="G35" s="18" t="s">
        <v>100</v>
      </c>
      <c r="H35" s="102">
        <f>H115</f>
        <v>143.33333333333331</v>
      </c>
      <c r="I35" s="166"/>
    </row>
    <row r="36" spans="1:9" s="19" customFormat="1" ht="26.25">
      <c r="A36" s="119" t="s">
        <v>10</v>
      </c>
      <c r="B36" s="120"/>
      <c r="C36" s="121" t="s">
        <v>83</v>
      </c>
      <c r="D36" s="167" t="s">
        <v>91</v>
      </c>
      <c r="E36" s="281"/>
      <c r="F36" s="168" t="s">
        <v>101</v>
      </c>
      <c r="G36" s="169" t="s">
        <v>102</v>
      </c>
      <c r="H36" s="286">
        <f>H131</f>
        <v>177.75370795327089</v>
      </c>
      <c r="I36" s="170" t="s">
        <v>103</v>
      </c>
    </row>
    <row r="37" spans="1:9" s="19" customFormat="1" ht="39.75" customHeight="1">
      <c r="A37" s="295" t="s">
        <v>104</v>
      </c>
      <c r="B37" s="296"/>
      <c r="C37" s="296"/>
      <c r="D37" s="296"/>
      <c r="E37" s="296"/>
      <c r="F37" s="296"/>
      <c r="G37" s="296"/>
      <c r="H37" s="296"/>
      <c r="I37" s="297"/>
    </row>
    <row r="38" spans="1:9" s="19" customFormat="1" ht="98.25" customHeight="1">
      <c r="A38" s="138" t="s">
        <v>10</v>
      </c>
      <c r="B38" s="50"/>
      <c r="C38" s="51" t="s">
        <v>83</v>
      </c>
      <c r="D38" s="30" t="s">
        <v>91</v>
      </c>
      <c r="E38" s="30"/>
      <c r="F38" s="23" t="s">
        <v>105</v>
      </c>
      <c r="G38" s="24" t="s">
        <v>106</v>
      </c>
      <c r="H38" s="147">
        <f>H39+H40</f>
        <v>49521.936870643302</v>
      </c>
      <c r="I38" s="108"/>
    </row>
    <row r="39" spans="1:9" s="19" customFormat="1" ht="32.25">
      <c r="A39" s="138" t="s">
        <v>10</v>
      </c>
      <c r="B39" s="50"/>
      <c r="C39" s="51" t="s">
        <v>83</v>
      </c>
      <c r="D39" s="30" t="s">
        <v>91</v>
      </c>
      <c r="E39" s="30"/>
      <c r="F39" s="23" t="s">
        <v>107</v>
      </c>
      <c r="G39" s="24" t="s">
        <v>108</v>
      </c>
      <c r="H39" s="147">
        <f>H42</f>
        <v>49511.8</v>
      </c>
      <c r="I39" s="108"/>
    </row>
    <row r="40" spans="1:9" s="19" customFormat="1" ht="48.75">
      <c r="A40" s="142" t="s">
        <v>10</v>
      </c>
      <c r="B40" s="143"/>
      <c r="C40" s="144" t="s">
        <v>83</v>
      </c>
      <c r="D40" s="145" t="s">
        <v>91</v>
      </c>
      <c r="E40" s="145"/>
      <c r="F40" s="123" t="s">
        <v>109</v>
      </c>
      <c r="G40" s="124" t="s">
        <v>110</v>
      </c>
      <c r="H40" s="149">
        <f>H103</f>
        <v>10.136870643302116</v>
      </c>
      <c r="I40" s="126" t="s">
        <v>111</v>
      </c>
    </row>
    <row r="41" spans="1:9" s="19" customFormat="1" ht="21">
      <c r="A41" s="295" t="s">
        <v>112</v>
      </c>
      <c r="B41" s="296"/>
      <c r="C41" s="296"/>
      <c r="D41" s="296"/>
      <c r="E41" s="296"/>
      <c r="F41" s="296"/>
      <c r="G41" s="296"/>
      <c r="H41" s="296"/>
      <c r="I41" s="297"/>
    </row>
    <row r="42" spans="1:9" s="19" customFormat="1" ht="32.25">
      <c r="A42" s="164" t="s">
        <v>10</v>
      </c>
      <c r="B42" s="51"/>
      <c r="C42" s="51" t="s">
        <v>83</v>
      </c>
      <c r="D42" s="30" t="s">
        <v>91</v>
      </c>
      <c r="E42" s="30"/>
      <c r="F42" s="23" t="s">
        <v>107</v>
      </c>
      <c r="G42" s="24" t="s">
        <v>108</v>
      </c>
      <c r="H42" s="147">
        <f>H43*H44</f>
        <v>49511.8</v>
      </c>
      <c r="I42" s="108"/>
    </row>
    <row r="43" spans="1:9" s="19" customFormat="1" ht="64.5">
      <c r="A43" s="107" t="s">
        <v>10</v>
      </c>
      <c r="B43" s="31"/>
      <c r="C43" s="49" t="s">
        <v>83</v>
      </c>
      <c r="D43" s="48" t="s">
        <v>91</v>
      </c>
      <c r="E43" s="48"/>
      <c r="F43" s="23" t="s">
        <v>113</v>
      </c>
      <c r="G43" s="22" t="s">
        <v>114</v>
      </c>
      <c r="H43" s="147">
        <f>H46</f>
        <v>72280</v>
      </c>
      <c r="I43" s="148"/>
    </row>
    <row r="44" spans="1:9" s="19" customFormat="1" ht="39" customHeight="1" thickBot="1">
      <c r="A44" s="119" t="s">
        <v>10</v>
      </c>
      <c r="B44" s="120"/>
      <c r="C44" s="121" t="s">
        <v>83</v>
      </c>
      <c r="D44" s="122" t="s">
        <v>91</v>
      </c>
      <c r="E44" s="122"/>
      <c r="F44" s="123" t="s">
        <v>115</v>
      </c>
      <c r="G44" s="124" t="s">
        <v>116</v>
      </c>
      <c r="H44" s="149">
        <f>H50</f>
        <v>0.68500000000000005</v>
      </c>
      <c r="I44" s="126"/>
    </row>
    <row r="45" spans="1:9" s="19" customFormat="1" ht="21">
      <c r="A45" s="295" t="s">
        <v>117</v>
      </c>
      <c r="B45" s="296"/>
      <c r="C45" s="296"/>
      <c r="D45" s="296"/>
      <c r="E45" s="296"/>
      <c r="F45" s="296"/>
      <c r="G45" s="296"/>
      <c r="H45" s="296"/>
      <c r="I45" s="297"/>
    </row>
    <row r="46" spans="1:9" s="19" customFormat="1" ht="50.25" customHeight="1">
      <c r="A46" s="107" t="s">
        <v>10</v>
      </c>
      <c r="B46" s="31"/>
      <c r="C46" s="49" t="s">
        <v>83</v>
      </c>
      <c r="D46" s="48" t="s">
        <v>91</v>
      </c>
      <c r="E46" s="48"/>
      <c r="F46" s="23" t="s">
        <v>113</v>
      </c>
      <c r="G46" s="22" t="s">
        <v>114</v>
      </c>
      <c r="H46" s="147">
        <f>H47-H48</f>
        <v>72280</v>
      </c>
      <c r="I46" s="148"/>
    </row>
    <row r="47" spans="1:9" s="19" customFormat="1" ht="64.5">
      <c r="A47" s="109" t="s">
        <v>10</v>
      </c>
      <c r="B47" s="52"/>
      <c r="C47" s="52" t="s">
        <v>118</v>
      </c>
      <c r="D47" s="52" t="s">
        <v>119</v>
      </c>
      <c r="E47" s="52"/>
      <c r="F47" s="29" t="s">
        <v>120</v>
      </c>
      <c r="G47" s="27" t="s">
        <v>121</v>
      </c>
      <c r="H47" s="265">
        <v>72780</v>
      </c>
      <c r="I47" s="110"/>
    </row>
    <row r="48" spans="1:9" s="19" customFormat="1" ht="48.75">
      <c r="A48" s="112" t="s">
        <v>10</v>
      </c>
      <c r="B48" s="113"/>
      <c r="C48" s="113" t="s">
        <v>118</v>
      </c>
      <c r="D48" s="113" t="s">
        <v>119</v>
      </c>
      <c r="E48" s="113"/>
      <c r="F48" s="114" t="s">
        <v>122</v>
      </c>
      <c r="G48" s="115" t="s">
        <v>123</v>
      </c>
      <c r="H48" s="287">
        <v>500</v>
      </c>
      <c r="I48" s="118"/>
    </row>
    <row r="49" spans="1:9" s="19" customFormat="1" ht="21">
      <c r="A49" s="295" t="s">
        <v>124</v>
      </c>
      <c r="B49" s="296"/>
      <c r="C49" s="296"/>
      <c r="D49" s="296"/>
      <c r="E49" s="296"/>
      <c r="F49" s="296"/>
      <c r="G49" s="296"/>
      <c r="H49" s="296"/>
      <c r="I49" s="297"/>
    </row>
    <row r="50" spans="1:9" s="19" customFormat="1" ht="60.75" customHeight="1">
      <c r="A50" s="107" t="s">
        <v>10</v>
      </c>
      <c r="B50" s="31"/>
      <c r="C50" s="49" t="s">
        <v>83</v>
      </c>
      <c r="D50" s="48" t="s">
        <v>91</v>
      </c>
      <c r="E50" s="48"/>
      <c r="F50" s="23" t="s">
        <v>115</v>
      </c>
      <c r="G50" s="24" t="s">
        <v>116</v>
      </c>
      <c r="H50" s="147">
        <f>((H52*H56)+(H53*H55)+(H54*(MIN(H56,H55))))/(H51+H52+H53+H54)</f>
        <v>0.68500000000000005</v>
      </c>
      <c r="I50" s="108"/>
    </row>
    <row r="51" spans="1:9" s="19" customFormat="1" ht="50.25" customHeight="1">
      <c r="A51" s="107" t="s">
        <v>10</v>
      </c>
      <c r="B51" s="31"/>
      <c r="C51" s="49" t="s">
        <v>83</v>
      </c>
      <c r="D51" s="48" t="s">
        <v>91</v>
      </c>
      <c r="E51" s="48"/>
      <c r="F51" s="23" t="s">
        <v>125</v>
      </c>
      <c r="G51" s="24" t="s">
        <v>126</v>
      </c>
      <c r="H51" s="147">
        <f>H59</f>
        <v>0</v>
      </c>
      <c r="I51" s="108"/>
    </row>
    <row r="52" spans="1:9" s="19" customFormat="1" ht="58.5" customHeight="1">
      <c r="A52" s="107" t="s">
        <v>10</v>
      </c>
      <c r="B52" s="31"/>
      <c r="C52" s="49" t="s">
        <v>83</v>
      </c>
      <c r="D52" s="48" t="s">
        <v>91</v>
      </c>
      <c r="E52" s="48"/>
      <c r="F52" s="23" t="s">
        <v>127</v>
      </c>
      <c r="G52" s="24" t="s">
        <v>128</v>
      </c>
      <c r="H52" s="147">
        <f>H66</f>
        <v>0</v>
      </c>
      <c r="I52" s="108"/>
    </row>
    <row r="53" spans="1:9" ht="64.5">
      <c r="A53" s="107" t="s">
        <v>10</v>
      </c>
      <c r="B53" s="31"/>
      <c r="C53" s="49" t="s">
        <v>83</v>
      </c>
      <c r="D53" s="48" t="s">
        <v>91</v>
      </c>
      <c r="E53" s="48"/>
      <c r="F53" s="23" t="s">
        <v>129</v>
      </c>
      <c r="G53" s="24" t="s">
        <v>130</v>
      </c>
      <c r="H53" s="147">
        <f>H93</f>
        <v>0</v>
      </c>
      <c r="I53" s="108"/>
    </row>
    <row r="54" spans="1:9" ht="42" customHeight="1">
      <c r="A54" s="107" t="s">
        <v>10</v>
      </c>
      <c r="B54" s="31"/>
      <c r="C54" s="49" t="s">
        <v>83</v>
      </c>
      <c r="D54" s="48" t="s">
        <v>91</v>
      </c>
      <c r="E54" s="48"/>
      <c r="F54" s="23" t="s">
        <v>131</v>
      </c>
      <c r="G54" s="24" t="s">
        <v>132</v>
      </c>
      <c r="H54" s="147">
        <f>H89</f>
        <v>72280</v>
      </c>
      <c r="I54" s="108"/>
    </row>
    <row r="55" spans="1:9" s="19" customFormat="1" ht="48.75">
      <c r="A55" s="107" t="s">
        <v>10</v>
      </c>
      <c r="B55" s="31"/>
      <c r="C55" s="49" t="s">
        <v>83</v>
      </c>
      <c r="D55" s="48" t="s">
        <v>91</v>
      </c>
      <c r="E55" s="48"/>
      <c r="F55" s="23" t="s">
        <v>133</v>
      </c>
      <c r="G55" s="24" t="s">
        <v>134</v>
      </c>
      <c r="H55" s="147">
        <f>H100</f>
        <v>0.68500000000000005</v>
      </c>
      <c r="I55" s="108"/>
    </row>
    <row r="56" spans="1:9" s="19" customFormat="1" ht="64.5">
      <c r="A56" s="107" t="s">
        <v>10</v>
      </c>
      <c r="B56" s="31"/>
      <c r="C56" s="49" t="s">
        <v>83</v>
      </c>
      <c r="D56" s="48" t="s">
        <v>91</v>
      </c>
      <c r="E56" s="48"/>
      <c r="F56" s="23" t="s">
        <v>135</v>
      </c>
      <c r="G56" s="24" t="s">
        <v>136</v>
      </c>
      <c r="H56" s="147">
        <f>H96</f>
        <v>45</v>
      </c>
      <c r="I56" s="108"/>
    </row>
    <row r="57" spans="1:9" s="19" customFormat="1" ht="58.5" customHeight="1">
      <c r="A57" s="295" t="s">
        <v>137</v>
      </c>
      <c r="B57" s="296"/>
      <c r="C57" s="296"/>
      <c r="D57" s="296"/>
      <c r="E57" s="296"/>
      <c r="F57" s="296"/>
      <c r="G57" s="296"/>
      <c r="H57" s="296"/>
      <c r="I57" s="297"/>
    </row>
    <row r="58" spans="1:9" ht="96.75">
      <c r="A58" s="151" t="s">
        <v>10</v>
      </c>
      <c r="B58" s="36"/>
      <c r="C58" s="152" t="s">
        <v>83</v>
      </c>
      <c r="D58" s="36" t="s">
        <v>84</v>
      </c>
      <c r="E58" s="36"/>
      <c r="F58" s="37" t="s">
        <v>6</v>
      </c>
      <c r="G58" s="36" t="s">
        <v>138</v>
      </c>
      <c r="H58" s="38" t="s">
        <v>83</v>
      </c>
      <c r="I58" s="153" t="s">
        <v>139</v>
      </c>
    </row>
    <row r="59" spans="1:9" s="19" customFormat="1" ht="64.5">
      <c r="A59" s="107" t="s">
        <v>10</v>
      </c>
      <c r="B59" s="31"/>
      <c r="C59" s="49" t="s">
        <v>83</v>
      </c>
      <c r="D59" s="48" t="s">
        <v>91</v>
      </c>
      <c r="E59" s="48"/>
      <c r="F59" s="23" t="s">
        <v>125</v>
      </c>
      <c r="G59" s="24" t="s">
        <v>126</v>
      </c>
      <c r="H59" s="147">
        <f>IF(H58="Yes",0,((1/3.6)*(SUM(H60*H62*H61))))</f>
        <v>0</v>
      </c>
      <c r="I59" s="148"/>
    </row>
    <row r="60" spans="1:9" s="19" customFormat="1" ht="64.5">
      <c r="A60" s="107" t="s">
        <v>10</v>
      </c>
      <c r="B60" s="31"/>
      <c r="C60" s="49" t="s">
        <v>83</v>
      </c>
      <c r="D60" s="48" t="s">
        <v>91</v>
      </c>
      <c r="E60" s="48"/>
      <c r="F60" s="23" t="s">
        <v>140</v>
      </c>
      <c r="G60" s="24" t="s">
        <v>141</v>
      </c>
      <c r="H60" s="147">
        <f>'Click to Add Values'!G4</f>
        <v>0.4</v>
      </c>
      <c r="I60" s="148" t="s">
        <v>142</v>
      </c>
    </row>
    <row r="61" spans="1:9" s="19" customFormat="1" ht="32.25">
      <c r="A61" s="107" t="s">
        <v>10</v>
      </c>
      <c r="B61" s="31"/>
      <c r="C61" s="49" t="s">
        <v>83</v>
      </c>
      <c r="D61" s="48" t="s">
        <v>91</v>
      </c>
      <c r="E61" s="48"/>
      <c r="F61" s="23" t="s">
        <v>143</v>
      </c>
      <c r="G61" s="24" t="s">
        <v>144</v>
      </c>
      <c r="H61" s="147">
        <f>'Click to Add Values'!G5</f>
        <v>0</v>
      </c>
      <c r="I61" s="108" t="s">
        <v>145</v>
      </c>
    </row>
    <row r="62" spans="1:9" ht="51" customHeight="1" thickBot="1">
      <c r="A62" s="107" t="s">
        <v>10</v>
      </c>
      <c r="B62" s="31"/>
      <c r="C62" s="49" t="s">
        <v>83</v>
      </c>
      <c r="D62" s="48" t="s">
        <v>91</v>
      </c>
      <c r="E62" s="48"/>
      <c r="F62" s="23" t="s">
        <v>146</v>
      </c>
      <c r="G62" s="24" t="s">
        <v>147</v>
      </c>
      <c r="H62" s="147">
        <f>'Click to Add Values'!G3</f>
        <v>0</v>
      </c>
      <c r="I62" s="108" t="s">
        <v>145</v>
      </c>
    </row>
    <row r="63" spans="1:9" ht="51" customHeight="1">
      <c r="A63" s="299" t="s">
        <v>148</v>
      </c>
      <c r="B63" s="300"/>
      <c r="C63" s="300"/>
      <c r="D63" s="300"/>
      <c r="E63" s="300"/>
      <c r="F63" s="300"/>
      <c r="G63" s="300"/>
      <c r="H63" s="300"/>
      <c r="I63" s="301"/>
    </row>
    <row r="64" spans="1:9" s="19" customFormat="1" ht="146.25">
      <c r="A64" s="151" t="s">
        <v>10</v>
      </c>
      <c r="B64" s="36"/>
      <c r="C64" s="152" t="s">
        <v>83</v>
      </c>
      <c r="D64" s="36" t="s">
        <v>84</v>
      </c>
      <c r="E64" s="36"/>
      <c r="F64" s="76" t="s">
        <v>6</v>
      </c>
      <c r="G64" s="284" t="s">
        <v>149</v>
      </c>
      <c r="H64" s="38" t="s">
        <v>150</v>
      </c>
      <c r="I64" s="153" t="s">
        <v>151</v>
      </c>
    </row>
    <row r="65" spans="1:9" ht="42" customHeight="1">
      <c r="A65" s="151" t="str">
        <f>IF(H64="Case 3","Yes","No")</f>
        <v>No</v>
      </c>
      <c r="B65" s="36"/>
      <c r="C65" s="152" t="s">
        <v>83</v>
      </c>
      <c r="D65" s="36" t="s">
        <v>84</v>
      </c>
      <c r="E65" s="36"/>
      <c r="F65" s="76" t="s">
        <v>152</v>
      </c>
      <c r="G65" s="36" t="s">
        <v>153</v>
      </c>
      <c r="H65" s="38" t="s">
        <v>10</v>
      </c>
      <c r="I65" s="153" t="s">
        <v>154</v>
      </c>
    </row>
    <row r="66" spans="1:9" ht="48.75">
      <c r="A66" s="107" t="s">
        <v>10</v>
      </c>
      <c r="B66" s="31"/>
      <c r="C66" s="49" t="s">
        <v>83</v>
      </c>
      <c r="D66" s="48" t="s">
        <v>91</v>
      </c>
      <c r="E66" s="48"/>
      <c r="F66" s="23" t="s">
        <v>127</v>
      </c>
      <c r="G66" s="24" t="s">
        <v>128</v>
      </c>
      <c r="H66" s="147">
        <f>IF(H64="Case 1",0,(IF(H64="Case 2",(H67-H68),(IF(H64="Case 3",(MIN(H69,H70,H71)),(IF(H64="Case 4",0)))))))</f>
        <v>0</v>
      </c>
      <c r="I66" s="148" t="s">
        <v>155</v>
      </c>
    </row>
    <row r="67" spans="1:9" s="19" customFormat="1" ht="64.5">
      <c r="A67" s="107" t="str">
        <f>IF(H64="Case 3","Yes","No")</f>
        <v>No</v>
      </c>
      <c r="B67" s="31"/>
      <c r="C67" s="49" t="s">
        <v>83</v>
      </c>
      <c r="D67" s="48" t="s">
        <v>91</v>
      </c>
      <c r="E67" s="48"/>
      <c r="F67" s="23" t="s">
        <v>113</v>
      </c>
      <c r="G67" s="22" t="s">
        <v>114</v>
      </c>
      <c r="H67" s="147">
        <f>H46</f>
        <v>72280</v>
      </c>
      <c r="I67" s="148" t="s">
        <v>156</v>
      </c>
    </row>
    <row r="68" spans="1:9" s="19" customFormat="1" ht="32.25" customHeight="1">
      <c r="A68" s="107" t="str">
        <f>IF(H64="Case 3","Yes","No")</f>
        <v>No</v>
      </c>
      <c r="B68" s="31"/>
      <c r="C68" s="49" t="s">
        <v>83</v>
      </c>
      <c r="D68" s="48" t="s">
        <v>91</v>
      </c>
      <c r="E68" s="48"/>
      <c r="F68" s="23" t="s">
        <v>125</v>
      </c>
      <c r="G68" s="24" t="s">
        <v>126</v>
      </c>
      <c r="H68" s="147">
        <f>H59</f>
        <v>0</v>
      </c>
      <c r="I68" s="148" t="s">
        <v>157</v>
      </c>
    </row>
    <row r="69" spans="1:9" s="19" customFormat="1" ht="64.5">
      <c r="A69" s="164" t="str">
        <f>IF(H64="Case 3","Yes","No")</f>
        <v>No</v>
      </c>
      <c r="B69" s="51"/>
      <c r="C69" s="51" t="s">
        <v>83</v>
      </c>
      <c r="D69" s="51" t="s">
        <v>91</v>
      </c>
      <c r="E69" s="51"/>
      <c r="F69" s="23" t="s">
        <v>158</v>
      </c>
      <c r="G69" s="24" t="s">
        <v>159</v>
      </c>
      <c r="H69" s="147">
        <f>'Click to Add Values'!G7</f>
        <v>0</v>
      </c>
      <c r="I69" s="108" t="s">
        <v>160</v>
      </c>
    </row>
    <row r="70" spans="1:9" ht="58.5" customHeight="1">
      <c r="A70" s="164" t="str">
        <f>IF(H64="Case 3","Yes","No")</f>
        <v>No</v>
      </c>
      <c r="B70" s="51"/>
      <c r="C70" s="51" t="s">
        <v>83</v>
      </c>
      <c r="D70" s="51" t="s">
        <v>91</v>
      </c>
      <c r="E70" s="51"/>
      <c r="F70" s="23" t="s">
        <v>161</v>
      </c>
      <c r="G70" s="24" t="s">
        <v>162</v>
      </c>
      <c r="H70" s="147">
        <f>'Click to Add Values'!G8</f>
        <v>0</v>
      </c>
      <c r="I70" s="108" t="s">
        <v>160</v>
      </c>
    </row>
    <row r="71" spans="1:9" s="19" customFormat="1" ht="64.5">
      <c r="A71" s="164" t="str">
        <f>IF(H64="Case 3","Yes","No")</f>
        <v>No</v>
      </c>
      <c r="B71" s="51"/>
      <c r="C71" s="51" t="s">
        <v>83</v>
      </c>
      <c r="D71" s="51" t="s">
        <v>91</v>
      </c>
      <c r="E71" s="51"/>
      <c r="F71" s="23" t="s">
        <v>163</v>
      </c>
      <c r="G71" s="24" t="s">
        <v>164</v>
      </c>
      <c r="H71" s="147">
        <f>'Click to Add Values'!G9</f>
        <v>0</v>
      </c>
      <c r="I71" s="108" t="s">
        <v>160</v>
      </c>
    </row>
    <row r="72" spans="1:9" s="19" customFormat="1" ht="39.75" customHeight="1">
      <c r="A72" s="299" t="s">
        <v>165</v>
      </c>
      <c r="B72" s="300"/>
      <c r="C72" s="300"/>
      <c r="D72" s="300"/>
      <c r="E72" s="300"/>
      <c r="F72" s="300"/>
      <c r="G72" s="300"/>
      <c r="H72" s="300"/>
      <c r="I72" s="301"/>
    </row>
    <row r="73" spans="1:9" s="19" customFormat="1" ht="210.75">
      <c r="A73" s="151" t="s">
        <v>10</v>
      </c>
      <c r="B73" s="36"/>
      <c r="C73" s="152" t="s">
        <v>83</v>
      </c>
      <c r="D73" s="36" t="s">
        <v>84</v>
      </c>
      <c r="E73" s="36"/>
      <c r="F73" s="76" t="s">
        <v>6</v>
      </c>
      <c r="G73" s="284" t="s">
        <v>166</v>
      </c>
      <c r="H73" s="38" t="s">
        <v>150</v>
      </c>
      <c r="I73" s="163" t="s">
        <v>167</v>
      </c>
    </row>
    <row r="74" spans="1:9" s="19" customFormat="1" ht="146.25">
      <c r="A74" s="151" t="s">
        <v>10</v>
      </c>
      <c r="B74" s="36"/>
      <c r="C74" s="152" t="s">
        <v>83</v>
      </c>
      <c r="D74" s="36" t="s">
        <v>84</v>
      </c>
      <c r="E74" s="36"/>
      <c r="F74" s="76" t="s">
        <v>168</v>
      </c>
      <c r="G74" s="284" t="s">
        <v>169</v>
      </c>
      <c r="H74" s="38" t="s">
        <v>170</v>
      </c>
      <c r="I74" s="153"/>
    </row>
    <row r="75" spans="1:9" ht="51" customHeight="1">
      <c r="A75" s="107" t="s">
        <v>10</v>
      </c>
      <c r="B75" s="31"/>
      <c r="C75" s="49" t="s">
        <v>83</v>
      </c>
      <c r="D75" s="48" t="s">
        <v>91</v>
      </c>
      <c r="E75" s="48"/>
      <c r="F75" s="23" t="s">
        <v>129</v>
      </c>
      <c r="G75" s="24" t="s">
        <v>171</v>
      </c>
      <c r="H75" s="147">
        <f>IF(H73="Case 1",0,(IF(H73="Case 2",(H76),(IF(H73="Case 3",(H76-H77),(IF(H73="Case 4",(IF(H76&gt;H78,(H76-H78),(IF(H76&lt;=H78,0)))),(IF(H73="Case 5",(IF(H74="Scenario A",(IF(H76&gt;H79,H76-H79,(IF(H76&lt;=H79,0)))),(IF(H74="Scenario B",(IF(H76&gt;(H77+H78),(H76-H77-H78),(IF(H76&lt;=(H77+H78),0)))),(IF(H74="Scenario C",(IF(H76&gt;(H80+H79),(H76-H80-H79),(IF(H76&lt;=(H80+H79),0)))))))))))))))))))</f>
        <v>0</v>
      </c>
      <c r="I75" s="148" t="s">
        <v>155</v>
      </c>
    </row>
    <row r="76" spans="1:9" ht="51" customHeight="1">
      <c r="A76" s="107" t="s">
        <v>10</v>
      </c>
      <c r="B76" s="31"/>
      <c r="C76" s="49" t="s">
        <v>83</v>
      </c>
      <c r="D76" s="48" t="s">
        <v>91</v>
      </c>
      <c r="E76" s="48"/>
      <c r="F76" s="23" t="s">
        <v>113</v>
      </c>
      <c r="G76" s="22" t="s">
        <v>114</v>
      </c>
      <c r="H76" s="147">
        <f>H46</f>
        <v>72280</v>
      </c>
      <c r="I76" s="148" t="s">
        <v>156</v>
      </c>
    </row>
    <row r="77" spans="1:9" s="19" customFormat="1" ht="36" customHeight="1">
      <c r="A77" s="107" t="s">
        <v>10</v>
      </c>
      <c r="B77" s="31"/>
      <c r="C77" s="49" t="s">
        <v>83</v>
      </c>
      <c r="D77" s="48" t="s">
        <v>91</v>
      </c>
      <c r="E77" s="48"/>
      <c r="F77" s="23" t="s">
        <v>125</v>
      </c>
      <c r="G77" s="24" t="s">
        <v>126</v>
      </c>
      <c r="H77" s="147">
        <f>H59</f>
        <v>0</v>
      </c>
      <c r="I77" s="148" t="s">
        <v>157</v>
      </c>
    </row>
    <row r="78" spans="1:9" s="19" customFormat="1" ht="39" customHeight="1">
      <c r="A78" s="107" t="s">
        <v>10</v>
      </c>
      <c r="B78" s="31"/>
      <c r="C78" s="49" t="s">
        <v>83</v>
      </c>
      <c r="D78" s="48" t="s">
        <v>91</v>
      </c>
      <c r="E78" s="48"/>
      <c r="F78" s="23" t="s">
        <v>172</v>
      </c>
      <c r="G78" s="24" t="s">
        <v>173</v>
      </c>
      <c r="H78" s="147">
        <f>H82</f>
        <v>100000</v>
      </c>
      <c r="I78" s="108" t="s">
        <v>174</v>
      </c>
    </row>
    <row r="79" spans="1:9" s="19" customFormat="1" ht="64.5">
      <c r="A79" s="107" t="s">
        <v>10</v>
      </c>
      <c r="B79" s="31"/>
      <c r="C79" s="49" t="s">
        <v>83</v>
      </c>
      <c r="D79" s="48" t="s">
        <v>91</v>
      </c>
      <c r="E79" s="48"/>
      <c r="F79" s="23" t="s">
        <v>175</v>
      </c>
      <c r="G79" s="24" t="s">
        <v>176</v>
      </c>
      <c r="H79" s="147">
        <f>H86</f>
        <v>473.03999999999996</v>
      </c>
      <c r="I79" s="108" t="s">
        <v>177</v>
      </c>
    </row>
    <row r="80" spans="1:9" s="19" customFormat="1" ht="64.5">
      <c r="A80" s="112" t="s">
        <v>10</v>
      </c>
      <c r="B80" s="113"/>
      <c r="C80" s="113" t="s">
        <v>118</v>
      </c>
      <c r="D80" s="113" t="s">
        <v>119</v>
      </c>
      <c r="E80" s="113"/>
      <c r="F80" s="114" t="s">
        <v>178</v>
      </c>
      <c r="G80" s="116" t="s">
        <v>179</v>
      </c>
      <c r="H80" s="287">
        <v>500</v>
      </c>
      <c r="I80" s="118" t="s">
        <v>180</v>
      </c>
    </row>
    <row r="81" spans="1:9" ht="21">
      <c r="A81" s="302" t="s">
        <v>181</v>
      </c>
      <c r="B81" s="303"/>
      <c r="C81" s="303"/>
      <c r="D81" s="303"/>
      <c r="E81" s="303"/>
      <c r="F81" s="303"/>
      <c r="G81" s="303"/>
      <c r="H81" s="303"/>
      <c r="I81" s="304"/>
    </row>
    <row r="82" spans="1:9" s="19" customFormat="1" ht="41.25" customHeight="1">
      <c r="A82" s="107" t="s">
        <v>10</v>
      </c>
      <c r="B82" s="31"/>
      <c r="C82" s="49" t="s">
        <v>83</v>
      </c>
      <c r="D82" s="48" t="s">
        <v>91</v>
      </c>
      <c r="E82" s="48"/>
      <c r="F82" s="23" t="s">
        <v>172</v>
      </c>
      <c r="G82" s="24" t="s">
        <v>173</v>
      </c>
      <c r="H82" s="147">
        <f>H83*H84</f>
        <v>100000</v>
      </c>
      <c r="I82" s="108" t="s">
        <v>174</v>
      </c>
    </row>
    <row r="83" spans="1:9" ht="44.25" customHeight="1">
      <c r="A83" s="107" t="s">
        <v>10</v>
      </c>
      <c r="B83" s="31"/>
      <c r="C83" s="49" t="s">
        <v>83</v>
      </c>
      <c r="D83" s="48" t="s">
        <v>91</v>
      </c>
      <c r="E83" s="48"/>
      <c r="F83" s="23" t="s">
        <v>182</v>
      </c>
      <c r="G83" s="24" t="s">
        <v>183</v>
      </c>
      <c r="H83" s="147">
        <f>'Click to Add Values'!G11</f>
        <v>5000</v>
      </c>
      <c r="I83" s="108" t="s">
        <v>145</v>
      </c>
    </row>
    <row r="84" spans="1:9" s="19" customFormat="1" ht="47.25" customHeight="1" thickBot="1">
      <c r="A84" s="107" t="s">
        <v>10</v>
      </c>
      <c r="B84" s="31"/>
      <c r="C84" s="49" t="s">
        <v>83</v>
      </c>
      <c r="D84" s="48" t="s">
        <v>91</v>
      </c>
      <c r="E84" s="48"/>
      <c r="F84" s="123" t="s">
        <v>184</v>
      </c>
      <c r="G84" s="181" t="s">
        <v>185</v>
      </c>
      <c r="H84" s="147">
        <f>'Click to Add Values'!G12</f>
        <v>20</v>
      </c>
      <c r="I84" s="108" t="s">
        <v>145</v>
      </c>
    </row>
    <row r="85" spans="1:9" s="19" customFormat="1" ht="54.75" customHeight="1">
      <c r="A85" s="295" t="s">
        <v>186</v>
      </c>
      <c r="B85" s="296"/>
      <c r="C85" s="296"/>
      <c r="D85" s="296"/>
      <c r="E85" s="296"/>
      <c r="F85" s="296"/>
      <c r="G85" s="296"/>
      <c r="H85" s="296"/>
      <c r="I85" s="297"/>
    </row>
    <row r="86" spans="1:9" s="19" customFormat="1" ht="21" customHeight="1">
      <c r="A86" s="107" t="s">
        <v>10</v>
      </c>
      <c r="B86" s="31"/>
      <c r="C86" s="49" t="s">
        <v>83</v>
      </c>
      <c r="D86" s="48" t="s">
        <v>91</v>
      </c>
      <c r="E86" s="48"/>
      <c r="F86" s="23" t="s">
        <v>175</v>
      </c>
      <c r="G86" s="24" t="s">
        <v>187</v>
      </c>
      <c r="H86" s="147">
        <f>(H87*0.9*8.76)</f>
        <v>473.03999999999996</v>
      </c>
      <c r="I86" s="108"/>
    </row>
    <row r="87" spans="1:9" ht="64.5">
      <c r="A87" s="107" t="s">
        <v>10</v>
      </c>
      <c r="B87" s="31"/>
      <c r="C87" s="49" t="s">
        <v>83</v>
      </c>
      <c r="D87" s="48" t="s">
        <v>91</v>
      </c>
      <c r="E87" s="48"/>
      <c r="F87" s="23" t="s">
        <v>188</v>
      </c>
      <c r="G87" s="24" t="s">
        <v>189</v>
      </c>
      <c r="H87" s="147">
        <f>'Click to Add Values'!G14</f>
        <v>60</v>
      </c>
      <c r="I87" s="108" t="s">
        <v>145</v>
      </c>
    </row>
    <row r="88" spans="1:9" ht="44.25" customHeight="1">
      <c r="A88" s="295" t="s">
        <v>190</v>
      </c>
      <c r="B88" s="296"/>
      <c r="C88" s="296"/>
      <c r="D88" s="296"/>
      <c r="E88" s="296"/>
      <c r="F88" s="296"/>
      <c r="G88" s="296"/>
      <c r="H88" s="296"/>
      <c r="I88" s="297"/>
    </row>
    <row r="89" spans="1:9" ht="81">
      <c r="A89" s="107" t="s">
        <v>10</v>
      </c>
      <c r="B89" s="31"/>
      <c r="C89" s="49" t="s">
        <v>83</v>
      </c>
      <c r="D89" s="48" t="s">
        <v>91</v>
      </c>
      <c r="E89" s="48"/>
      <c r="F89" s="23" t="s">
        <v>131</v>
      </c>
      <c r="G89" s="24" t="s">
        <v>132</v>
      </c>
      <c r="H89" s="147">
        <f>H90-H91-H92-H93</f>
        <v>72280</v>
      </c>
      <c r="I89" s="108"/>
    </row>
    <row r="90" spans="1:9" ht="48.75">
      <c r="A90" s="107" t="s">
        <v>10</v>
      </c>
      <c r="B90" s="31"/>
      <c r="C90" s="49" t="s">
        <v>83</v>
      </c>
      <c r="D90" s="48" t="s">
        <v>91</v>
      </c>
      <c r="E90" s="48"/>
      <c r="F90" s="23" t="s">
        <v>113</v>
      </c>
      <c r="G90" s="22" t="s">
        <v>191</v>
      </c>
      <c r="H90" s="147">
        <f>H46</f>
        <v>72280</v>
      </c>
      <c r="I90" s="148" t="s">
        <v>156</v>
      </c>
    </row>
    <row r="91" spans="1:9" s="19" customFormat="1" ht="27.75" customHeight="1">
      <c r="A91" s="107" t="s">
        <v>10</v>
      </c>
      <c r="B91" s="31"/>
      <c r="C91" s="49" t="s">
        <v>83</v>
      </c>
      <c r="D91" s="48" t="s">
        <v>91</v>
      </c>
      <c r="E91" s="48"/>
      <c r="F91" s="23" t="s">
        <v>125</v>
      </c>
      <c r="G91" s="24" t="s">
        <v>126</v>
      </c>
      <c r="H91" s="147">
        <f>H59</f>
        <v>0</v>
      </c>
      <c r="I91" s="148" t="s">
        <v>157</v>
      </c>
    </row>
    <row r="92" spans="1:9" ht="44.25" customHeight="1">
      <c r="A92" s="107" t="s">
        <v>10</v>
      </c>
      <c r="B92" s="31"/>
      <c r="C92" s="49" t="s">
        <v>83</v>
      </c>
      <c r="D92" s="48" t="s">
        <v>91</v>
      </c>
      <c r="E92" s="48"/>
      <c r="F92" s="23" t="s">
        <v>127</v>
      </c>
      <c r="G92" s="24" t="s">
        <v>128</v>
      </c>
      <c r="H92" s="147">
        <f>H66</f>
        <v>0</v>
      </c>
      <c r="I92" s="148" t="s">
        <v>192</v>
      </c>
    </row>
    <row r="93" spans="1:9" ht="64.5">
      <c r="A93" s="119" t="s">
        <v>10</v>
      </c>
      <c r="B93" s="120"/>
      <c r="C93" s="121" t="s">
        <v>83</v>
      </c>
      <c r="D93" s="122" t="s">
        <v>91</v>
      </c>
      <c r="E93" s="122"/>
      <c r="F93" s="123" t="s">
        <v>129</v>
      </c>
      <c r="G93" s="124" t="s">
        <v>171</v>
      </c>
      <c r="H93" s="149">
        <f>H75</f>
        <v>0</v>
      </c>
      <c r="I93" s="148" t="s">
        <v>193</v>
      </c>
    </row>
    <row r="94" spans="1:9" s="19" customFormat="1" ht="21" customHeight="1">
      <c r="A94" s="295" t="s">
        <v>194</v>
      </c>
      <c r="B94" s="296"/>
      <c r="C94" s="296"/>
      <c r="D94" s="296"/>
      <c r="E94" s="296"/>
      <c r="F94" s="296"/>
      <c r="G94" s="296"/>
      <c r="H94" s="296"/>
      <c r="I94" s="297"/>
    </row>
    <row r="95" spans="1:9" s="19" customFormat="1" ht="120.75" customHeight="1">
      <c r="A95" s="151" t="s">
        <v>10</v>
      </c>
      <c r="B95" s="36"/>
      <c r="C95" s="152" t="s">
        <v>83</v>
      </c>
      <c r="D95" s="36" t="s">
        <v>84</v>
      </c>
      <c r="E95" s="36"/>
      <c r="F95" s="37" t="s">
        <v>6</v>
      </c>
      <c r="G95" s="36" t="s">
        <v>195</v>
      </c>
      <c r="H95" s="38" t="s">
        <v>196</v>
      </c>
      <c r="I95" s="153" t="s">
        <v>197</v>
      </c>
    </row>
    <row r="96" spans="1:9" s="19" customFormat="1" ht="64.5">
      <c r="A96" s="107" t="s">
        <v>10</v>
      </c>
      <c r="B96" s="31"/>
      <c r="C96" s="49" t="s">
        <v>83</v>
      </c>
      <c r="D96" s="48" t="s">
        <v>91</v>
      </c>
      <c r="E96" s="48"/>
      <c r="F96" s="23" t="s">
        <v>135</v>
      </c>
      <c r="G96" s="24" t="s">
        <v>136</v>
      </c>
      <c r="H96" s="147">
        <f>IF(H95="Option A",'Tool 05.1'!G37,(IF(H95="Option B",(3.6*((H97)/(H98))))))</f>
        <v>45</v>
      </c>
      <c r="I96" s="108"/>
    </row>
    <row r="97" spans="1:9" ht="44.25" customHeight="1">
      <c r="A97" s="154" t="str">
        <f>IF(H95="Option B","Yes","No")</f>
        <v>Yes</v>
      </c>
      <c r="B97" s="53"/>
      <c r="C97" s="54" t="s">
        <v>118</v>
      </c>
      <c r="D97" s="53" t="s">
        <v>119</v>
      </c>
      <c r="E97" s="53"/>
      <c r="F97" s="29" t="s">
        <v>198</v>
      </c>
      <c r="G97" s="27" t="s">
        <v>199</v>
      </c>
      <c r="H97" s="288">
        <v>10</v>
      </c>
      <c r="I97" s="155" t="s">
        <v>200</v>
      </c>
    </row>
    <row r="98" spans="1:9" s="19" customFormat="1" ht="41.25" customHeight="1" thickBot="1">
      <c r="A98" s="156" t="str">
        <f>IF(H95="Option B","Yes","No")</f>
        <v>Yes</v>
      </c>
      <c r="B98" s="157"/>
      <c r="C98" s="158" t="s">
        <v>118</v>
      </c>
      <c r="D98" s="157" t="s">
        <v>119</v>
      </c>
      <c r="E98" s="157"/>
      <c r="F98" s="114" t="s">
        <v>201</v>
      </c>
      <c r="G98" s="115" t="s">
        <v>202</v>
      </c>
      <c r="H98" s="289">
        <v>0.8</v>
      </c>
      <c r="I98" s="155" t="s">
        <v>200</v>
      </c>
    </row>
    <row r="99" spans="1:9" s="19" customFormat="1" ht="41.25" customHeight="1">
      <c r="A99" s="295" t="s">
        <v>203</v>
      </c>
      <c r="B99" s="296"/>
      <c r="C99" s="296"/>
      <c r="D99" s="296"/>
      <c r="E99" s="296"/>
      <c r="F99" s="296"/>
      <c r="G99" s="296"/>
      <c r="H99" s="296"/>
      <c r="I99" s="297"/>
    </row>
    <row r="100" spans="1:9" s="19" customFormat="1" ht="48.75">
      <c r="A100" s="119" t="s">
        <v>10</v>
      </c>
      <c r="B100" s="120"/>
      <c r="C100" s="121" t="s">
        <v>83</v>
      </c>
      <c r="D100" s="122" t="s">
        <v>91</v>
      </c>
      <c r="E100" s="122"/>
      <c r="F100" s="123" t="s">
        <v>133</v>
      </c>
      <c r="G100" s="124" t="s">
        <v>134</v>
      </c>
      <c r="H100" s="290">
        <f>'Tool 07 Combined Margin'!G8</f>
        <v>0.68500000000000005</v>
      </c>
      <c r="I100" s="126" t="s">
        <v>204</v>
      </c>
    </row>
    <row r="101" spans="1:9" ht="44.25" customHeight="1">
      <c r="A101" s="295" t="s">
        <v>205</v>
      </c>
      <c r="B101" s="296"/>
      <c r="C101" s="296"/>
      <c r="D101" s="296"/>
      <c r="E101" s="296"/>
      <c r="F101" s="296"/>
      <c r="G101" s="296"/>
      <c r="H101" s="296"/>
      <c r="I101" s="297"/>
    </row>
    <row r="102" spans="1:9" ht="49.5" customHeight="1">
      <c r="A102" s="151" t="s">
        <v>10</v>
      </c>
      <c r="B102" s="36"/>
      <c r="C102" s="152" t="s">
        <v>83</v>
      </c>
      <c r="D102" s="36" t="s">
        <v>84</v>
      </c>
      <c r="E102" s="36"/>
      <c r="F102" s="37" t="s">
        <v>6</v>
      </c>
      <c r="G102" s="36" t="s">
        <v>206</v>
      </c>
      <c r="H102" s="38" t="s">
        <v>10</v>
      </c>
      <c r="I102" s="153" t="s">
        <v>207</v>
      </c>
    </row>
    <row r="103" spans="1:9" ht="48.75">
      <c r="A103" s="138" t="str">
        <f>IF(H102="Yes","Yes","No")</f>
        <v>Yes</v>
      </c>
      <c r="B103" s="50"/>
      <c r="C103" s="51" t="s">
        <v>83</v>
      </c>
      <c r="D103" s="30" t="s">
        <v>91</v>
      </c>
      <c r="E103" s="30"/>
      <c r="F103" s="23" t="s">
        <v>109</v>
      </c>
      <c r="G103" s="24" t="s">
        <v>110</v>
      </c>
      <c r="H103" s="291">
        <f>H104+H105</f>
        <v>10.136870643302116</v>
      </c>
      <c r="I103" s="139"/>
    </row>
    <row r="104" spans="1:9" ht="48.75">
      <c r="A104" s="138" t="str">
        <f>IF(H102="Yes","Yes","No")</f>
        <v>Yes</v>
      </c>
      <c r="B104" s="50"/>
      <c r="C104" s="51" t="s">
        <v>83</v>
      </c>
      <c r="D104" s="30" t="s">
        <v>91</v>
      </c>
      <c r="E104" s="30"/>
      <c r="F104" s="23" t="s">
        <v>208</v>
      </c>
      <c r="G104" s="24" t="s">
        <v>209</v>
      </c>
      <c r="H104" s="147">
        <f>H107</f>
        <v>0</v>
      </c>
      <c r="I104" s="139"/>
    </row>
    <row r="105" spans="1:9" ht="32.25" thickBot="1">
      <c r="A105" s="142" t="str">
        <f>IF(H102="Yes","Yes","No")</f>
        <v>Yes</v>
      </c>
      <c r="B105" s="143"/>
      <c r="C105" s="144" t="s">
        <v>83</v>
      </c>
      <c r="D105" s="145" t="s">
        <v>91</v>
      </c>
      <c r="E105" s="145"/>
      <c r="F105" s="123" t="s">
        <v>210</v>
      </c>
      <c r="G105" s="124" t="s">
        <v>211</v>
      </c>
      <c r="H105" s="149">
        <f>H113</f>
        <v>10.136870643302116</v>
      </c>
      <c r="I105" s="146"/>
    </row>
    <row r="106" spans="1:9" ht="21">
      <c r="A106" s="295" t="s">
        <v>212</v>
      </c>
      <c r="B106" s="296"/>
      <c r="C106" s="296"/>
      <c r="D106" s="296"/>
      <c r="E106" s="296"/>
      <c r="F106" s="296"/>
      <c r="G106" s="296"/>
      <c r="H106" s="296"/>
      <c r="I106" s="297"/>
    </row>
    <row r="107" spans="1:9" ht="48.75">
      <c r="A107" s="138" t="str">
        <f>IF(H102="Yes","Yes","No")</f>
        <v>Yes</v>
      </c>
      <c r="B107" s="50"/>
      <c r="C107" s="51" t="s">
        <v>83</v>
      </c>
      <c r="D107" s="30" t="s">
        <v>91</v>
      </c>
      <c r="E107" s="30"/>
      <c r="F107" s="23" t="s">
        <v>208</v>
      </c>
      <c r="G107" s="24" t="s">
        <v>209</v>
      </c>
      <c r="H107" s="147">
        <f>(H108)*(H110*H109*H111)</f>
        <v>0</v>
      </c>
      <c r="I107" s="139"/>
    </row>
    <row r="108" spans="1:9" ht="32.25">
      <c r="A108" s="138" t="str">
        <f>IF(H102="Yes","Yes","No")</f>
        <v>Yes</v>
      </c>
      <c r="B108" s="50"/>
      <c r="C108" s="51" t="s">
        <v>83</v>
      </c>
      <c r="D108" s="30" t="s">
        <v>91</v>
      </c>
      <c r="E108" s="30"/>
      <c r="F108" s="23" t="s">
        <v>213</v>
      </c>
      <c r="G108" s="24" t="s">
        <v>214</v>
      </c>
      <c r="H108" s="147">
        <v>28</v>
      </c>
      <c r="I108" s="108" t="s">
        <v>215</v>
      </c>
    </row>
    <row r="109" spans="1:9" ht="32.25">
      <c r="A109" s="164" t="s">
        <v>10</v>
      </c>
      <c r="B109" s="50"/>
      <c r="C109" s="51" t="s">
        <v>83</v>
      </c>
      <c r="D109" s="30" t="s">
        <v>91</v>
      </c>
      <c r="E109" s="30"/>
      <c r="F109" s="23" t="s">
        <v>143</v>
      </c>
      <c r="G109" s="24" t="s">
        <v>216</v>
      </c>
      <c r="H109" s="147">
        <f>'Click to Add Values'!G5</f>
        <v>0</v>
      </c>
      <c r="I109" s="108" t="s">
        <v>145</v>
      </c>
    </row>
    <row r="110" spans="1:9" ht="81">
      <c r="A110" s="164" t="str">
        <f>IF(H102="Yes","Yes","No")</f>
        <v>Yes</v>
      </c>
      <c r="B110" s="50"/>
      <c r="C110" s="51" t="s">
        <v>83</v>
      </c>
      <c r="D110" s="30" t="s">
        <v>91</v>
      </c>
      <c r="E110" s="30"/>
      <c r="F110" s="23" t="s">
        <v>217</v>
      </c>
      <c r="G110" s="24" t="s">
        <v>218</v>
      </c>
      <c r="H110" s="147">
        <f>'Click to Add Values'!G16</f>
        <v>570</v>
      </c>
      <c r="I110" s="108" t="s">
        <v>145</v>
      </c>
    </row>
    <row r="111" spans="1:9" ht="50.25" customHeight="1" thickBot="1">
      <c r="A111" s="164" t="str">
        <f>IF(H102="Yes","Yes","No")</f>
        <v>Yes</v>
      </c>
      <c r="B111" s="50"/>
      <c r="C111" s="51" t="s">
        <v>83</v>
      </c>
      <c r="D111" s="30" t="s">
        <v>91</v>
      </c>
      <c r="E111" s="30"/>
      <c r="F111" s="23" t="s">
        <v>219</v>
      </c>
      <c r="G111" s="24" t="s">
        <v>220</v>
      </c>
      <c r="H111" s="147">
        <v>1.9710000000000001E-3</v>
      </c>
      <c r="I111" s="108" t="s">
        <v>221</v>
      </c>
    </row>
    <row r="112" spans="1:9" ht="21">
      <c r="A112" s="295" t="s">
        <v>222</v>
      </c>
      <c r="B112" s="296"/>
      <c r="C112" s="296"/>
      <c r="D112" s="296"/>
      <c r="E112" s="296"/>
      <c r="F112" s="296"/>
      <c r="G112" s="296"/>
      <c r="H112" s="296"/>
      <c r="I112" s="297"/>
    </row>
    <row r="113" spans="1:9" ht="32.25" thickBot="1">
      <c r="A113" s="142" t="str">
        <f>IF(H102="Yes","Yes","No")</f>
        <v>Yes</v>
      </c>
      <c r="B113" s="143"/>
      <c r="C113" s="144" t="s">
        <v>83</v>
      </c>
      <c r="D113" s="145" t="s">
        <v>91</v>
      </c>
      <c r="E113" s="145"/>
      <c r="F113" s="123" t="s">
        <v>210</v>
      </c>
      <c r="G113" s="124" t="s">
        <v>211</v>
      </c>
      <c r="H113" s="149">
        <f>'Tool 04 - SWDS-Yearly'!C86</f>
        <v>10.136870643302116</v>
      </c>
      <c r="I113" s="148" t="s">
        <v>223</v>
      </c>
    </row>
    <row r="114" spans="1:9" ht="21">
      <c r="A114" s="295" t="s">
        <v>224</v>
      </c>
      <c r="B114" s="296"/>
      <c r="C114" s="296"/>
      <c r="D114" s="296"/>
      <c r="E114" s="296"/>
      <c r="F114" s="296"/>
      <c r="G114" s="296"/>
      <c r="H114" s="296"/>
      <c r="I114" s="297"/>
    </row>
    <row r="115" spans="1:9" ht="23.25">
      <c r="A115" s="159" t="s">
        <v>10</v>
      </c>
      <c r="B115" s="48"/>
      <c r="C115" s="49" t="s">
        <v>83</v>
      </c>
      <c r="D115" s="48" t="s">
        <v>91</v>
      </c>
      <c r="E115" s="48"/>
      <c r="F115" s="23" t="s">
        <v>225</v>
      </c>
      <c r="G115" s="21" t="s">
        <v>226</v>
      </c>
      <c r="H115" s="147">
        <f>H116+H117+H118+H119</f>
        <v>143.33333333333331</v>
      </c>
      <c r="I115" s="148"/>
    </row>
    <row r="116" spans="1:9" ht="48.75">
      <c r="A116" s="159" t="s">
        <v>10</v>
      </c>
      <c r="B116" s="48"/>
      <c r="C116" s="49" t="s">
        <v>83</v>
      </c>
      <c r="D116" s="48" t="s">
        <v>91</v>
      </c>
      <c r="E116" s="48"/>
      <c r="F116" s="23" t="s">
        <v>227</v>
      </c>
      <c r="G116" s="21" t="s">
        <v>228</v>
      </c>
      <c r="H116" s="147">
        <v>20</v>
      </c>
      <c r="I116" s="148" t="s">
        <v>229</v>
      </c>
    </row>
    <row r="117" spans="1:9" ht="64.5">
      <c r="A117" s="159" t="s">
        <v>10</v>
      </c>
      <c r="B117" s="48"/>
      <c r="C117" s="49" t="s">
        <v>83</v>
      </c>
      <c r="D117" s="48" t="s">
        <v>91</v>
      </c>
      <c r="E117" s="48"/>
      <c r="F117" s="23" t="s">
        <v>230</v>
      </c>
      <c r="G117" s="21" t="s">
        <v>231</v>
      </c>
      <c r="H117" s="147">
        <f>'Tool 03'!G3</f>
        <v>73.333333333333329</v>
      </c>
      <c r="I117" s="148" t="s">
        <v>232</v>
      </c>
    </row>
    <row r="118" spans="1:9" ht="32.25">
      <c r="A118" s="159" t="str">
        <f>IF(H102="Yes","Yes","No")</f>
        <v>Yes</v>
      </c>
      <c r="B118" s="48"/>
      <c r="C118" s="49" t="s">
        <v>83</v>
      </c>
      <c r="D118" s="48" t="s">
        <v>91</v>
      </c>
      <c r="E118" s="48"/>
      <c r="F118" s="23" t="s">
        <v>233</v>
      </c>
      <c r="G118" s="21" t="s">
        <v>234</v>
      </c>
      <c r="H118" s="147">
        <f>H123</f>
        <v>0</v>
      </c>
      <c r="I118" s="148" t="s">
        <v>235</v>
      </c>
    </row>
    <row r="119" spans="1:9" ht="32.25">
      <c r="A119" s="160" t="s">
        <v>10</v>
      </c>
      <c r="B119" s="122"/>
      <c r="C119" s="121" t="s">
        <v>83</v>
      </c>
      <c r="D119" s="122" t="s">
        <v>91</v>
      </c>
      <c r="E119" s="122"/>
      <c r="F119" s="123" t="s">
        <v>236</v>
      </c>
      <c r="G119" s="161" t="s">
        <v>237</v>
      </c>
      <c r="H119" s="149">
        <f>H129</f>
        <v>50</v>
      </c>
      <c r="I119" s="150" t="s">
        <v>238</v>
      </c>
    </row>
    <row r="120" spans="1:9" ht="21">
      <c r="A120" s="295" t="s">
        <v>239</v>
      </c>
      <c r="B120" s="296"/>
      <c r="C120" s="296"/>
      <c r="D120" s="296"/>
      <c r="E120" s="296"/>
      <c r="F120" s="296"/>
      <c r="G120" s="296"/>
      <c r="H120" s="296"/>
      <c r="I120" s="297"/>
    </row>
    <row r="121" spans="1:9" ht="87.75" customHeight="1">
      <c r="A121" s="151" t="str">
        <f>IF(H102="Yes","Yes","No")</f>
        <v>Yes</v>
      </c>
      <c r="B121" s="36"/>
      <c r="C121" s="152" t="s">
        <v>83</v>
      </c>
      <c r="D121" s="36" t="s">
        <v>84</v>
      </c>
      <c r="E121" s="36"/>
      <c r="F121" s="37" t="s">
        <v>6</v>
      </c>
      <c r="G121" s="284" t="s">
        <v>240</v>
      </c>
      <c r="H121" s="38" t="s">
        <v>241</v>
      </c>
      <c r="I121" s="153" t="s">
        <v>242</v>
      </c>
    </row>
    <row r="122" spans="1:9" ht="57" customHeight="1">
      <c r="A122" s="151" t="str">
        <f>IF(H102="Yes","Yes","No")</f>
        <v>Yes</v>
      </c>
      <c r="B122" s="36"/>
      <c r="C122" s="152" t="s">
        <v>83</v>
      </c>
      <c r="D122" s="36" t="s">
        <v>84</v>
      </c>
      <c r="E122" s="36"/>
      <c r="F122" s="76" t="s">
        <v>243</v>
      </c>
      <c r="G122" s="36" t="s">
        <v>244</v>
      </c>
      <c r="H122" s="38" t="s">
        <v>245</v>
      </c>
      <c r="I122" s="153"/>
    </row>
    <row r="123" spans="1:9" ht="32.25">
      <c r="A123" s="159" t="str">
        <f>IF(H102="Yes","Yes","No")</f>
        <v>Yes</v>
      </c>
      <c r="B123" s="48"/>
      <c r="C123" s="49" t="s">
        <v>83</v>
      </c>
      <c r="D123" s="48" t="s">
        <v>91</v>
      </c>
      <c r="E123" s="48"/>
      <c r="F123" s="23" t="s">
        <v>233</v>
      </c>
      <c r="G123" s="21" t="s">
        <v>234</v>
      </c>
      <c r="H123" s="147">
        <f>H125*H124*H126*H127</f>
        <v>0</v>
      </c>
      <c r="I123" s="148"/>
    </row>
    <row r="124" spans="1:9" ht="48.75">
      <c r="A124" s="159" t="str">
        <f>IF(H102="Yes","Yes","No")</f>
        <v>Yes</v>
      </c>
      <c r="B124" s="48"/>
      <c r="C124" s="49" t="s">
        <v>83</v>
      </c>
      <c r="D124" s="48" t="s">
        <v>91</v>
      </c>
      <c r="E124" s="48"/>
      <c r="F124" s="23" t="s">
        <v>246</v>
      </c>
      <c r="G124" s="24" t="s">
        <v>247</v>
      </c>
      <c r="H124" s="147">
        <f>IF(H121="Default Values",VLOOKUP(H122,G134:H137,2,FALSE),"(User Inputs Value)")</f>
        <v>3</v>
      </c>
      <c r="I124" s="108" t="s">
        <v>248</v>
      </c>
    </row>
    <row r="125" spans="1:9" ht="32.25">
      <c r="A125" s="164" t="str">
        <f>IF(H102="Yes","Yes","No")</f>
        <v>Yes</v>
      </c>
      <c r="B125" s="51"/>
      <c r="C125" s="49" t="s">
        <v>83</v>
      </c>
      <c r="D125" s="48" t="s">
        <v>91</v>
      </c>
      <c r="E125" s="48"/>
      <c r="F125" s="23" t="s">
        <v>213</v>
      </c>
      <c r="G125" s="24" t="s">
        <v>214</v>
      </c>
      <c r="H125" s="147">
        <f>H108</f>
        <v>28</v>
      </c>
      <c r="I125" s="108" t="s">
        <v>249</v>
      </c>
    </row>
    <row r="126" spans="1:9" ht="64.5">
      <c r="A126" s="164" t="str">
        <f>IF(H102="Yes","Yes","No")</f>
        <v>Yes</v>
      </c>
      <c r="B126" s="51"/>
      <c r="C126" s="49" t="s">
        <v>83</v>
      </c>
      <c r="D126" s="48" t="s">
        <v>91</v>
      </c>
      <c r="E126" s="48"/>
      <c r="F126" s="23" t="s">
        <v>250</v>
      </c>
      <c r="G126" s="24" t="s">
        <v>251</v>
      </c>
      <c r="H126" s="147">
        <f>'Click to Add Values'!G17</f>
        <v>8</v>
      </c>
      <c r="I126" s="108" t="s">
        <v>145</v>
      </c>
    </row>
    <row r="127" spans="1:9" ht="32.25" thickBot="1">
      <c r="A127" s="164" t="str">
        <f>IF(H102="Yes","Yes","No")</f>
        <v>Yes</v>
      </c>
      <c r="B127" s="50"/>
      <c r="C127" s="51" t="s">
        <v>83</v>
      </c>
      <c r="D127" s="30" t="s">
        <v>91</v>
      </c>
      <c r="E127" s="30"/>
      <c r="F127" s="23" t="s">
        <v>143</v>
      </c>
      <c r="G127" s="24" t="s">
        <v>216</v>
      </c>
      <c r="H127" s="147">
        <f>'Click to Add Values'!G5</f>
        <v>0</v>
      </c>
      <c r="I127" s="108" t="s">
        <v>145</v>
      </c>
    </row>
    <row r="128" spans="1:9" ht="21">
      <c r="A128" s="295" t="s">
        <v>252</v>
      </c>
      <c r="B128" s="296"/>
      <c r="C128" s="296"/>
      <c r="D128" s="296"/>
      <c r="E128" s="296"/>
      <c r="F128" s="296"/>
      <c r="G128" s="296"/>
      <c r="H128" s="296"/>
      <c r="I128" s="297"/>
    </row>
    <row r="129" spans="1:9" ht="32.25" thickBot="1">
      <c r="A129" s="160" t="s">
        <v>10</v>
      </c>
      <c r="B129" s="122"/>
      <c r="C129" s="121" t="s">
        <v>83</v>
      </c>
      <c r="D129" s="122" t="s">
        <v>91</v>
      </c>
      <c r="E129" s="122"/>
      <c r="F129" s="123" t="s">
        <v>236</v>
      </c>
      <c r="G129" s="161" t="s">
        <v>237</v>
      </c>
      <c r="H129" s="149">
        <v>50</v>
      </c>
      <c r="I129" s="150" t="s">
        <v>253</v>
      </c>
    </row>
    <row r="130" spans="1:9" ht="21">
      <c r="A130" s="295" t="s">
        <v>254</v>
      </c>
      <c r="B130" s="296"/>
      <c r="C130" s="296"/>
      <c r="D130" s="296"/>
      <c r="E130" s="296"/>
      <c r="F130" s="296"/>
      <c r="G130" s="296"/>
      <c r="H130" s="296"/>
      <c r="I130" s="297"/>
    </row>
    <row r="131" spans="1:9" ht="23.25">
      <c r="A131" s="119" t="s">
        <v>10</v>
      </c>
      <c r="B131" s="120"/>
      <c r="C131" s="121" t="s">
        <v>83</v>
      </c>
      <c r="D131" s="122" t="s">
        <v>91</v>
      </c>
      <c r="E131" s="122"/>
      <c r="F131" s="123" t="s">
        <v>255</v>
      </c>
      <c r="G131" s="162" t="s">
        <v>256</v>
      </c>
      <c r="H131" s="149">
        <f>'Tool 16'!C136</f>
        <v>177.75370795327089</v>
      </c>
      <c r="I131" s="150" t="s">
        <v>229</v>
      </c>
    </row>
    <row r="132" spans="1:9" ht="21">
      <c r="A132" s="295" t="s">
        <v>257</v>
      </c>
      <c r="B132" s="296"/>
      <c r="C132" s="296"/>
      <c r="D132" s="296"/>
      <c r="E132" s="296"/>
      <c r="F132" s="296"/>
      <c r="G132" s="296"/>
      <c r="H132" s="296"/>
      <c r="I132" s="297"/>
    </row>
    <row r="133" spans="1:9">
      <c r="G133" s="91"/>
      <c r="H133" s="292" t="s">
        <v>258</v>
      </c>
    </row>
    <row r="134" spans="1:9">
      <c r="G134" s="94" t="s">
        <v>259</v>
      </c>
      <c r="H134" s="293">
        <v>30</v>
      </c>
    </row>
    <row r="135" spans="1:9">
      <c r="G135" s="94" t="s">
        <v>260</v>
      </c>
      <c r="H135" s="293">
        <v>3</v>
      </c>
    </row>
    <row r="136" spans="1:9">
      <c r="G136" s="94" t="s">
        <v>261</v>
      </c>
      <c r="H136" s="293">
        <v>30</v>
      </c>
    </row>
    <row r="137" spans="1:9">
      <c r="G137" s="98" t="s">
        <v>245</v>
      </c>
      <c r="H137" s="294">
        <v>3</v>
      </c>
    </row>
  </sheetData>
  <mergeCells count="23">
    <mergeCell ref="A120:I120"/>
    <mergeCell ref="A57:I57"/>
    <mergeCell ref="A81:I81"/>
    <mergeCell ref="A112:I112"/>
    <mergeCell ref="A114:I114"/>
    <mergeCell ref="A101:I101"/>
    <mergeCell ref="A106:I106"/>
    <mergeCell ref="A132:I132"/>
    <mergeCell ref="A128:I128"/>
    <mergeCell ref="A2:I2"/>
    <mergeCell ref="A63:I63"/>
    <mergeCell ref="A41:I41"/>
    <mergeCell ref="A72:I72"/>
    <mergeCell ref="A99:I99"/>
    <mergeCell ref="A85:I85"/>
    <mergeCell ref="A88:I88"/>
    <mergeCell ref="A94:I94"/>
    <mergeCell ref="A29:I29"/>
    <mergeCell ref="A32:I32"/>
    <mergeCell ref="A37:I37"/>
    <mergeCell ref="A130:I130"/>
    <mergeCell ref="A45:I45"/>
    <mergeCell ref="A49:I49"/>
  </mergeCells>
  <phoneticPr fontId="7" type="noConversion"/>
  <dataValidations count="10">
    <dataValidation type="list" allowBlank="1" showInputMessage="1" showErrorMessage="1" sqref="H58" xr:uid="{7AE6EA12-2719-4DF9-96EB-15F6AB22F298}">
      <formula1>"yes,no"</formula1>
    </dataValidation>
    <dataValidation type="list" allowBlank="1" showInputMessage="1" showErrorMessage="1" sqref="H64" xr:uid="{459FF5D5-21D7-4FDD-8721-9B07400E9CE3}">
      <formula1>"Case 1,Case 2, Case 3, Case 4"</formula1>
    </dataValidation>
    <dataValidation type="list" allowBlank="1" showInputMessage="1" showErrorMessage="1" sqref="H65 H102" xr:uid="{9403C452-5862-421C-A5F1-E56E0E07064A}">
      <formula1>"Yes, No"</formula1>
    </dataValidation>
    <dataValidation type="list" allowBlank="1" showInputMessage="1" showErrorMessage="1" sqref="H73" xr:uid="{E69288E8-B50F-4B3A-8FEF-96CCC59BE62E}">
      <formula1>"Case 1,Case 2,Case 3,Case 4,Case 5"</formula1>
    </dataValidation>
    <dataValidation type="list" allowBlank="1" showInputMessage="1" showErrorMessage="1" sqref="H74" xr:uid="{971C812D-7E6F-46E4-B452-ACBC3870ED28}">
      <formula1>"Scenario A,Scenario B,Scenario C,"</formula1>
    </dataValidation>
    <dataValidation type="list" allowBlank="1" showInputMessage="1" showErrorMessage="1" sqref="H95" xr:uid="{B944A9BA-226D-4ADE-893B-4C4106F0F4C7}">
      <formula1>"Option A,Option B"</formula1>
    </dataValidation>
    <dataValidation type="list" allowBlank="1" showInputMessage="1" showErrorMessage="1" sqref="H30" xr:uid="{5DF7C5EE-2041-4342-BBA6-22DC363A0162}">
      <formula1>"Yes,No"</formula1>
    </dataValidation>
    <dataValidation type="list" allowBlank="1" showInputMessage="1" showErrorMessage="1" sqref="H31" xr:uid="{A4D82B18-3054-44DE-B3ED-3E56FCD0D7B0}">
      <formula1>"B1,B2,B3,B4,B5"</formula1>
    </dataValidation>
    <dataValidation type="list" allowBlank="1" showInputMessage="1" showErrorMessage="1" sqref="H121" xr:uid="{72588F47-839B-43F3-8524-A6AED6F53F5E}">
      <formula1>"Measurements, Default Values"</formula1>
    </dataValidation>
    <dataValidation type="list" allowBlank="1" showInputMessage="1" showErrorMessage="1" sqref="H122" xr:uid="{B2C81AF6-D814-4051-80FD-9301D69AF61E}">
      <formula1>$G$134:$G$137</formula1>
    </dataValidation>
  </dataValidations>
  <hyperlinks>
    <hyperlink ref="H17" r:id="rId1" xr:uid="{DE90012A-41DA-4EC4-BEDE-BCC9B43245FD}"/>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608A98B-15EE-4F5F-993E-26C0929786B5}">
          <x14:formula1>
            <xm:f>'IWA Properties'!$B$2:$B$481</xm:f>
          </x14:formula1>
          <xm:sqref>H21</xm:sqref>
        </x14:dataValidation>
        <x14:dataValidation type="list" allowBlank="1" showInputMessage="1" showErrorMessage="1" xr:uid="{C684E128-7A79-43D1-9277-640E2F6EEE80}">
          <x14:formula1>
            <xm:f>'IWA Properties'!$A$2:$A$277</xm:f>
          </x14:formula1>
          <xm:sqref>E3:E28 E33:E36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EEA4-EA30-4D16-9292-C6F575BEEA70}">
  <sheetPr codeName="Sheet9"/>
  <dimension ref="A1:H40"/>
  <sheetViews>
    <sheetView topLeftCell="E10" workbookViewId="0">
      <selection activeCell="E10" sqref="E10"/>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6" t="s">
        <v>0</v>
      </c>
      <c r="B1" s="6" t="s">
        <v>1</v>
      </c>
      <c r="C1" s="5" t="s">
        <v>2</v>
      </c>
      <c r="D1" s="6" t="s">
        <v>3</v>
      </c>
      <c r="E1" s="6" t="s">
        <v>5</v>
      </c>
      <c r="F1" s="5" t="s">
        <v>6</v>
      </c>
      <c r="G1" s="6" t="s">
        <v>7</v>
      </c>
      <c r="H1" s="6" t="s">
        <v>8</v>
      </c>
    </row>
    <row r="2" spans="1:8" ht="18.75">
      <c r="A2" s="306" t="s">
        <v>1377</v>
      </c>
      <c r="B2" s="306"/>
      <c r="C2" s="306"/>
      <c r="D2" s="306"/>
      <c r="E2" s="306"/>
      <c r="F2" s="306"/>
      <c r="G2" s="306"/>
      <c r="H2" s="306"/>
    </row>
    <row r="3" spans="1:8" ht="30.75">
      <c r="A3" s="17" t="s">
        <v>11</v>
      </c>
      <c r="B3" s="17"/>
      <c r="C3" s="17" t="s">
        <v>11</v>
      </c>
      <c r="D3" s="17" t="s">
        <v>1175</v>
      </c>
      <c r="E3" s="101" t="s">
        <v>1344</v>
      </c>
      <c r="F3" s="18" t="s">
        <v>1378</v>
      </c>
      <c r="G3" s="16">
        <f>G7+G19+G31</f>
        <v>1.7670440000000003</v>
      </c>
      <c r="H3" s="55" t="s">
        <v>1379</v>
      </c>
    </row>
    <row r="4" spans="1:8" ht="30.75">
      <c r="A4" s="17" t="s">
        <v>11</v>
      </c>
      <c r="B4" s="17"/>
      <c r="C4" s="17" t="s">
        <v>11</v>
      </c>
      <c r="D4" s="17" t="s">
        <v>1175</v>
      </c>
      <c r="E4" s="101" t="s">
        <v>1344</v>
      </c>
      <c r="F4" s="18" t="s">
        <v>1380</v>
      </c>
      <c r="G4" s="16">
        <f>G8+G20+G32</f>
        <v>1.7253240000000001</v>
      </c>
      <c r="H4" s="15" t="s">
        <v>1381</v>
      </c>
    </row>
    <row r="5" spans="1:8" ht="18.75">
      <c r="A5" s="306" t="s">
        <v>1382</v>
      </c>
      <c r="B5" s="306"/>
      <c r="C5" s="306"/>
      <c r="D5" s="306"/>
      <c r="E5" s="306"/>
      <c r="F5" s="306"/>
      <c r="G5" s="306"/>
      <c r="H5" s="306"/>
    </row>
    <row r="6" spans="1:8">
      <c r="A6" s="3" t="s">
        <v>10</v>
      </c>
      <c r="B6" s="3"/>
      <c r="C6" s="3" t="s">
        <v>10</v>
      </c>
      <c r="D6" s="3" t="s">
        <v>12</v>
      </c>
      <c r="E6" s="88"/>
      <c r="F6" s="3" t="s">
        <v>1383</v>
      </c>
      <c r="G6" s="3" t="s">
        <v>273</v>
      </c>
    </row>
    <row r="7" spans="1:8" ht="30.75">
      <c r="A7" s="17" t="s">
        <v>11</v>
      </c>
      <c r="B7" s="17"/>
      <c r="C7" s="17" t="s">
        <v>11</v>
      </c>
      <c r="D7" s="17" t="s">
        <v>1175</v>
      </c>
      <c r="E7" s="101" t="s">
        <v>1344</v>
      </c>
      <c r="F7" s="18" t="s">
        <v>1378</v>
      </c>
      <c r="G7" s="16">
        <f>(G12*G10*G11)/G13</f>
        <v>0.60550999999999999</v>
      </c>
      <c r="H7" s="17"/>
    </row>
    <row r="8" spans="1:8" ht="30.75">
      <c r="A8" s="17" t="s">
        <v>11</v>
      </c>
      <c r="B8" s="17"/>
      <c r="C8" s="17" t="s">
        <v>11</v>
      </c>
      <c r="D8" s="17" t="s">
        <v>1175</v>
      </c>
      <c r="E8" s="101" t="s">
        <v>1344</v>
      </c>
      <c r="F8" s="18" t="s">
        <v>1380</v>
      </c>
      <c r="G8" s="16">
        <f>ABS(((G12*G10)-(G14/G15))*G11)/G13</f>
        <v>0.59040999999999999</v>
      </c>
      <c r="H8" s="17"/>
    </row>
    <row r="9" spans="1:8">
      <c r="A9" s="77" t="s">
        <v>10</v>
      </c>
      <c r="B9" s="77"/>
      <c r="C9" s="77" t="s">
        <v>11</v>
      </c>
      <c r="D9" s="77" t="s">
        <v>1139</v>
      </c>
      <c r="E9" s="77"/>
      <c r="F9" s="78" t="s">
        <v>1384</v>
      </c>
      <c r="G9" s="87" t="s">
        <v>1385</v>
      </c>
      <c r="H9" s="77"/>
    </row>
    <row r="10" spans="1:8" ht="30">
      <c r="A10" s="17" t="s">
        <v>11</v>
      </c>
      <c r="B10" s="17"/>
      <c r="C10" s="17" t="s">
        <v>11</v>
      </c>
      <c r="D10" s="17" t="s">
        <v>1175</v>
      </c>
      <c r="E10" s="17" t="s">
        <v>1386</v>
      </c>
      <c r="F10" s="18" t="s">
        <v>1387</v>
      </c>
      <c r="G10" s="16">
        <f>IF(G9="","",VLOOKUP(G9,'Tool 05.3 Default Values'!B4:D56,2,FALSE))</f>
        <v>40.1</v>
      </c>
      <c r="H10" s="18" t="s">
        <v>1388</v>
      </c>
    </row>
    <row r="11" spans="1:8" ht="30">
      <c r="A11" s="17" t="s">
        <v>11</v>
      </c>
      <c r="B11" s="17"/>
      <c r="C11" s="17" t="s">
        <v>11</v>
      </c>
      <c r="D11" s="17" t="s">
        <v>1175</v>
      </c>
      <c r="E11" s="17" t="s">
        <v>1389</v>
      </c>
      <c r="F11" s="18" t="s">
        <v>1390</v>
      </c>
      <c r="G11" s="16">
        <f>IF(G9="","",VLOOKUP(G9,'Tool 05.3 Default Values'!B4:D56,3,FALSE))*0.001</f>
        <v>75.5</v>
      </c>
      <c r="H11" s="18" t="s">
        <v>1391</v>
      </c>
    </row>
    <row r="12" spans="1:8" ht="30">
      <c r="A12" t="s">
        <v>10</v>
      </c>
      <c r="C12" t="s">
        <v>10</v>
      </c>
      <c r="D12" t="s">
        <v>119</v>
      </c>
      <c r="E12" t="s">
        <v>1392</v>
      </c>
      <c r="F12" s="7" t="s">
        <v>1393</v>
      </c>
      <c r="G12" s="4">
        <v>2</v>
      </c>
    </row>
    <row r="13" spans="1:8" ht="30">
      <c r="A13" t="s">
        <v>10</v>
      </c>
      <c r="C13" t="s">
        <v>10</v>
      </c>
      <c r="D13" t="s">
        <v>119</v>
      </c>
      <c r="E13" t="s">
        <v>1394</v>
      </c>
      <c r="F13" s="7" t="s">
        <v>1395</v>
      </c>
      <c r="G13" s="4">
        <v>10000</v>
      </c>
    </row>
    <row r="14" spans="1:8" ht="60">
      <c r="A14" t="s">
        <v>10</v>
      </c>
      <c r="C14" t="s">
        <v>10</v>
      </c>
      <c r="D14" t="s">
        <v>119</v>
      </c>
      <c r="E14" t="s">
        <v>1396</v>
      </c>
      <c r="F14" s="7" t="s">
        <v>1397</v>
      </c>
      <c r="G14" s="4">
        <v>2</v>
      </c>
    </row>
    <row r="15" spans="1:8" ht="30">
      <c r="A15" s="17" t="s">
        <v>11</v>
      </c>
      <c r="B15" s="17"/>
      <c r="C15" s="17" t="s">
        <v>11</v>
      </c>
      <c r="D15" s="17" t="s">
        <v>1175</v>
      </c>
      <c r="E15" s="17" t="s">
        <v>1398</v>
      </c>
      <c r="F15" s="18" t="s">
        <v>1399</v>
      </c>
      <c r="G15" s="16">
        <v>1</v>
      </c>
      <c r="H15" s="17" t="s">
        <v>1400</v>
      </c>
    </row>
    <row r="16" spans="1:8" ht="30">
      <c r="A16" s="17" t="s">
        <v>11</v>
      </c>
      <c r="B16" s="17"/>
      <c r="C16" s="17" t="s">
        <v>11</v>
      </c>
      <c r="D16" s="17" t="s">
        <v>1175</v>
      </c>
      <c r="E16" s="17" t="s">
        <v>1398</v>
      </c>
      <c r="F16" s="18" t="s">
        <v>1401</v>
      </c>
      <c r="G16" s="16">
        <v>0.6</v>
      </c>
      <c r="H16" s="17" t="s">
        <v>1400</v>
      </c>
    </row>
    <row r="17" spans="1:8" ht="18.75">
      <c r="A17" s="306" t="s">
        <v>1382</v>
      </c>
      <c r="B17" s="306"/>
      <c r="C17" s="306"/>
      <c r="D17" s="306"/>
      <c r="E17" s="306"/>
      <c r="F17" s="306"/>
      <c r="G17" s="306"/>
      <c r="H17" s="306"/>
    </row>
    <row r="18" spans="1:8">
      <c r="A18" s="3" t="s">
        <v>10</v>
      </c>
      <c r="B18" s="3"/>
      <c r="C18" s="3" t="s">
        <v>10</v>
      </c>
      <c r="D18" s="3" t="s">
        <v>12</v>
      </c>
      <c r="E18" s="88"/>
      <c r="F18" s="3" t="s">
        <v>1383</v>
      </c>
      <c r="G18" s="3" t="s">
        <v>288</v>
      </c>
    </row>
    <row r="19" spans="1:8" ht="30.75">
      <c r="A19" s="17" t="s">
        <v>11</v>
      </c>
      <c r="B19" s="17"/>
      <c r="C19" s="17" t="s">
        <v>11</v>
      </c>
      <c r="D19" s="17" t="s">
        <v>1175</v>
      </c>
      <c r="E19" s="101" t="s">
        <v>1344</v>
      </c>
      <c r="F19" s="18" t="s">
        <v>1378</v>
      </c>
      <c r="G19" s="16">
        <f>(G24*G22*G23)/G25</f>
        <v>0.61934400000000001</v>
      </c>
      <c r="H19" s="17"/>
    </row>
    <row r="20" spans="1:8" ht="30.75">
      <c r="A20" s="17" t="s">
        <v>11</v>
      </c>
      <c r="B20" s="17"/>
      <c r="C20" s="17" t="s">
        <v>11</v>
      </c>
      <c r="D20" s="17" t="s">
        <v>1175</v>
      </c>
      <c r="E20" s="101" t="s">
        <v>1344</v>
      </c>
      <c r="F20" s="18" t="s">
        <v>1380</v>
      </c>
      <c r="G20" s="16">
        <f>ABS(((G24*G22)-(G26/G27))*G23)/G25</f>
        <v>0.60438399999999992</v>
      </c>
      <c r="H20" s="17"/>
    </row>
    <row r="21" spans="1:8">
      <c r="A21" s="77" t="s">
        <v>10</v>
      </c>
      <c r="B21" s="77"/>
      <c r="C21" s="77" t="s">
        <v>11</v>
      </c>
      <c r="D21" s="77" t="s">
        <v>1139</v>
      </c>
      <c r="E21" s="77"/>
      <c r="F21" s="78" t="s">
        <v>1384</v>
      </c>
      <c r="G21" s="87" t="s">
        <v>1402</v>
      </c>
      <c r="H21" s="77"/>
    </row>
    <row r="22" spans="1:8" ht="30">
      <c r="A22" s="17" t="s">
        <v>11</v>
      </c>
      <c r="B22" s="17"/>
      <c r="C22" s="17" t="s">
        <v>11</v>
      </c>
      <c r="D22" s="17" t="s">
        <v>1175</v>
      </c>
      <c r="E22" s="17" t="s">
        <v>1386</v>
      </c>
      <c r="F22" s="18" t="s">
        <v>1387</v>
      </c>
      <c r="G22" s="16">
        <f>IF(G21="","",VLOOKUP(G21,'Tool 05.3 Default Values'!B4:D56,2,FALSE))</f>
        <v>41.4</v>
      </c>
      <c r="H22" s="18" t="s">
        <v>1388</v>
      </c>
    </row>
    <row r="23" spans="1:8" ht="30">
      <c r="A23" s="17" t="s">
        <v>11</v>
      </c>
      <c r="B23" s="17"/>
      <c r="C23" s="17" t="s">
        <v>11</v>
      </c>
      <c r="D23" s="17" t="s">
        <v>1175</v>
      </c>
      <c r="E23" s="17" t="s">
        <v>1389</v>
      </c>
      <c r="F23" s="18" t="s">
        <v>1390</v>
      </c>
      <c r="G23" s="16">
        <f>IF(G21="","",VLOOKUP(G21,'Tool 05.3 Default Values'!B4:D56,3,FALSE))*0.001</f>
        <v>74.8</v>
      </c>
      <c r="H23" s="18" t="s">
        <v>1391</v>
      </c>
    </row>
    <row r="24" spans="1:8" ht="30">
      <c r="A24" t="s">
        <v>10</v>
      </c>
      <c r="C24" t="s">
        <v>10</v>
      </c>
      <c r="D24" t="s">
        <v>119</v>
      </c>
      <c r="E24" t="s">
        <v>1392</v>
      </c>
      <c r="F24" s="7" t="s">
        <v>1393</v>
      </c>
      <c r="G24" s="4">
        <v>2</v>
      </c>
    </row>
    <row r="25" spans="1:8" ht="30">
      <c r="A25" t="s">
        <v>10</v>
      </c>
      <c r="C25" t="s">
        <v>10</v>
      </c>
      <c r="D25" t="s">
        <v>119</v>
      </c>
      <c r="E25" t="s">
        <v>1394</v>
      </c>
      <c r="F25" s="7" t="s">
        <v>1395</v>
      </c>
      <c r="G25" s="4">
        <v>10000</v>
      </c>
    </row>
    <row r="26" spans="1:8" ht="60">
      <c r="A26" t="s">
        <v>10</v>
      </c>
      <c r="C26" t="s">
        <v>10</v>
      </c>
      <c r="D26" t="s">
        <v>119</v>
      </c>
      <c r="E26" t="s">
        <v>1396</v>
      </c>
      <c r="F26" s="7" t="s">
        <v>1397</v>
      </c>
      <c r="G26" s="4">
        <v>2</v>
      </c>
    </row>
    <row r="27" spans="1:8" ht="30">
      <c r="A27" s="17" t="s">
        <v>11</v>
      </c>
      <c r="B27" s="17"/>
      <c r="C27" s="17" t="s">
        <v>11</v>
      </c>
      <c r="D27" s="17" t="s">
        <v>1175</v>
      </c>
      <c r="E27" s="17" t="s">
        <v>1398</v>
      </c>
      <c r="F27" s="18" t="s">
        <v>1399</v>
      </c>
      <c r="G27" s="16">
        <v>1</v>
      </c>
      <c r="H27" s="17" t="s">
        <v>1400</v>
      </c>
    </row>
    <row r="28" spans="1:8" ht="30">
      <c r="A28" s="17" t="s">
        <v>11</v>
      </c>
      <c r="B28" s="17"/>
      <c r="C28" s="17" t="s">
        <v>11</v>
      </c>
      <c r="D28" s="17" t="s">
        <v>1175</v>
      </c>
      <c r="E28" s="17" t="s">
        <v>1398</v>
      </c>
      <c r="F28" s="18" t="s">
        <v>1401</v>
      </c>
      <c r="G28" s="16">
        <v>0.6</v>
      </c>
      <c r="H28" s="17" t="s">
        <v>1400</v>
      </c>
    </row>
    <row r="29" spans="1:8" ht="18.75">
      <c r="A29" s="306" t="s">
        <v>1382</v>
      </c>
      <c r="B29" s="306"/>
      <c r="C29" s="306"/>
      <c r="D29" s="306"/>
      <c r="E29" s="306"/>
      <c r="F29" s="306"/>
      <c r="G29" s="306"/>
      <c r="H29" s="306"/>
    </row>
    <row r="30" spans="1:8">
      <c r="A30" s="3" t="s">
        <v>10</v>
      </c>
      <c r="B30" s="3"/>
      <c r="C30" s="3" t="s">
        <v>10</v>
      </c>
      <c r="D30" s="3" t="s">
        <v>12</v>
      </c>
      <c r="E30" s="88"/>
      <c r="F30" s="3" t="s">
        <v>1383</v>
      </c>
      <c r="G30" s="3" t="s">
        <v>290</v>
      </c>
    </row>
    <row r="31" spans="1:8" ht="30.75">
      <c r="A31" s="17" t="s">
        <v>11</v>
      </c>
      <c r="B31" s="17"/>
      <c r="C31" s="17" t="s">
        <v>11</v>
      </c>
      <c r="D31" s="17" t="s">
        <v>1175</v>
      </c>
      <c r="E31" s="101" t="s">
        <v>1344</v>
      </c>
      <c r="F31" s="18" t="s">
        <v>1378</v>
      </c>
      <c r="G31" s="16">
        <f>(G36*G34*G35)/G37</f>
        <v>0.54219000000000006</v>
      </c>
      <c r="H31" s="17"/>
    </row>
    <row r="32" spans="1:8" ht="30.75">
      <c r="A32" s="17" t="s">
        <v>11</v>
      </c>
      <c r="B32" s="17"/>
      <c r="C32" s="17" t="s">
        <v>11</v>
      </c>
      <c r="D32" s="17" t="s">
        <v>1175</v>
      </c>
      <c r="E32" s="101" t="s">
        <v>1344</v>
      </c>
      <c r="F32" s="18" t="s">
        <v>1380</v>
      </c>
      <c r="G32" s="16">
        <f>ABS(((G36*G34)-(G38/G39))*G35)/G37</f>
        <v>0.53053000000000006</v>
      </c>
      <c r="H32" s="17"/>
    </row>
    <row r="33" spans="1:8">
      <c r="A33" s="77" t="s">
        <v>10</v>
      </c>
      <c r="B33" s="77"/>
      <c r="C33" s="77" t="s">
        <v>11</v>
      </c>
      <c r="D33" s="77" t="s">
        <v>1139</v>
      </c>
      <c r="E33" s="77"/>
      <c r="F33" s="78" t="s">
        <v>1384</v>
      </c>
      <c r="G33" s="87" t="s">
        <v>1403</v>
      </c>
      <c r="H33" s="77"/>
    </row>
    <row r="34" spans="1:8" ht="30">
      <c r="A34" s="17" t="s">
        <v>11</v>
      </c>
      <c r="B34" s="17"/>
      <c r="C34" s="17" t="s">
        <v>11</v>
      </c>
      <c r="D34" s="17" t="s">
        <v>1175</v>
      </c>
      <c r="E34" s="17" t="s">
        <v>1386</v>
      </c>
      <c r="F34" s="18" t="s">
        <v>1387</v>
      </c>
      <c r="G34" s="16">
        <f>IF(G33="","",VLOOKUP(G33,'Tool 05.3 Default Values'!B4:D56,2,FALSE))</f>
        <v>46.5</v>
      </c>
      <c r="H34" s="18" t="s">
        <v>1388</v>
      </c>
    </row>
    <row r="35" spans="1:8" ht="30">
      <c r="A35" s="17" t="s">
        <v>11</v>
      </c>
      <c r="B35" s="17"/>
      <c r="C35" s="17" t="s">
        <v>11</v>
      </c>
      <c r="D35" s="17" t="s">
        <v>1175</v>
      </c>
      <c r="E35" s="17" t="s">
        <v>1389</v>
      </c>
      <c r="F35" s="18" t="s">
        <v>1390</v>
      </c>
      <c r="G35" s="16">
        <f>IF(G33="","",VLOOKUP(G33,'Tool 05.3 Default Values'!B4:D56,3,FALSE))*0.001</f>
        <v>58.300000000000004</v>
      </c>
      <c r="H35" s="18" t="s">
        <v>1391</v>
      </c>
    </row>
    <row r="36" spans="1:8" ht="30">
      <c r="A36" t="s">
        <v>10</v>
      </c>
      <c r="C36" t="s">
        <v>10</v>
      </c>
      <c r="D36" t="s">
        <v>119</v>
      </c>
      <c r="E36" t="s">
        <v>1392</v>
      </c>
      <c r="F36" s="7" t="s">
        <v>1393</v>
      </c>
      <c r="G36" s="4">
        <v>2</v>
      </c>
    </row>
    <row r="37" spans="1:8" ht="30">
      <c r="A37" t="s">
        <v>10</v>
      </c>
      <c r="C37" t="s">
        <v>10</v>
      </c>
      <c r="D37" t="s">
        <v>119</v>
      </c>
      <c r="E37" t="s">
        <v>1394</v>
      </c>
      <c r="F37" s="7" t="s">
        <v>1395</v>
      </c>
      <c r="G37" s="4">
        <v>10000</v>
      </c>
    </row>
    <row r="38" spans="1:8" ht="60">
      <c r="A38" t="s">
        <v>10</v>
      </c>
      <c r="C38" t="s">
        <v>10</v>
      </c>
      <c r="D38" t="s">
        <v>119</v>
      </c>
      <c r="E38" t="s">
        <v>1396</v>
      </c>
      <c r="F38" s="7" t="s">
        <v>1397</v>
      </c>
      <c r="G38" s="4">
        <v>2</v>
      </c>
    </row>
    <row r="39" spans="1:8" ht="30">
      <c r="A39" s="17" t="s">
        <v>11</v>
      </c>
      <c r="B39" s="17"/>
      <c r="C39" s="17" t="s">
        <v>11</v>
      </c>
      <c r="D39" s="17" t="s">
        <v>1175</v>
      </c>
      <c r="E39" s="17" t="s">
        <v>1398</v>
      </c>
      <c r="F39" s="18" t="s">
        <v>1399</v>
      </c>
      <c r="G39" s="16">
        <v>1</v>
      </c>
      <c r="H39" s="17" t="s">
        <v>1400</v>
      </c>
    </row>
    <row r="40" spans="1:8" ht="30">
      <c r="A40" s="17" t="s">
        <v>11</v>
      </c>
      <c r="B40" s="17"/>
      <c r="C40" s="17" t="s">
        <v>11</v>
      </c>
      <c r="D40" s="17" t="s">
        <v>1175</v>
      </c>
      <c r="E40" s="17" t="s">
        <v>1398</v>
      </c>
      <c r="F40" s="18" t="s">
        <v>1401</v>
      </c>
      <c r="G40" s="16">
        <v>0.6</v>
      </c>
      <c r="H40" s="17" t="s">
        <v>1400</v>
      </c>
    </row>
  </sheetData>
  <mergeCells count="4">
    <mergeCell ref="A5:H5"/>
    <mergeCell ref="A17:H17"/>
    <mergeCell ref="A29:H29"/>
    <mergeCell ref="A2:H2"/>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18872E-4994-44DD-944C-72DE75CC4367}">
          <x14:formula1>
            <xm:f>'Tool 05.3 Default Values'!$B$4:$B$56</xm:f>
          </x14:formula1>
          <xm:sqref>G9 G21 G33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CF2FC-5B67-437C-8DF1-946E1E16FEBB}">
  <sheetPr codeName="Sheet10"/>
  <dimension ref="B1:D56"/>
  <sheetViews>
    <sheetView workbookViewId="0">
      <selection activeCell="F11" sqref="F11"/>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316" t="s">
        <v>1404</v>
      </c>
      <c r="C2" s="317"/>
      <c r="D2" s="318"/>
    </row>
    <row r="3" spans="2:4" ht="32.25" thickBot="1">
      <c r="B3" s="89" t="s">
        <v>1405</v>
      </c>
      <c r="C3" s="90" t="s">
        <v>1406</v>
      </c>
      <c r="D3" s="90" t="s">
        <v>1407</v>
      </c>
    </row>
    <row r="4" spans="2:4">
      <c r="B4" s="91" t="s">
        <v>1385</v>
      </c>
      <c r="C4" s="92">
        <v>40.1</v>
      </c>
      <c r="D4" s="93">
        <v>75500</v>
      </c>
    </row>
    <row r="5" spans="2:4">
      <c r="B5" s="94" t="s">
        <v>1408</v>
      </c>
      <c r="C5" s="95">
        <v>27.5</v>
      </c>
      <c r="D5" s="96">
        <v>85400</v>
      </c>
    </row>
    <row r="6" spans="2:4">
      <c r="B6" s="94" t="s">
        <v>1409</v>
      </c>
      <c r="C6" s="95">
        <v>40.9</v>
      </c>
      <c r="D6" s="96">
        <v>70400</v>
      </c>
    </row>
    <row r="7" spans="2:4">
      <c r="B7" s="94" t="s">
        <v>1410</v>
      </c>
      <c r="C7" s="95">
        <v>42.5</v>
      </c>
      <c r="D7" s="96">
        <v>73000</v>
      </c>
    </row>
    <row r="8" spans="2:4">
      <c r="B8" s="94" t="s">
        <v>1411</v>
      </c>
      <c r="C8" s="95">
        <v>42.5</v>
      </c>
      <c r="D8" s="96">
        <v>73000</v>
      </c>
    </row>
    <row r="9" spans="2:4">
      <c r="B9" s="94" t="s">
        <v>1412</v>
      </c>
      <c r="C9" s="95">
        <v>42.5</v>
      </c>
      <c r="D9" s="96">
        <v>73000</v>
      </c>
    </row>
    <row r="10" spans="2:4">
      <c r="B10" s="94" t="s">
        <v>1413</v>
      </c>
      <c r="C10" s="95">
        <v>42</v>
      </c>
      <c r="D10" s="96">
        <v>74400</v>
      </c>
    </row>
    <row r="11" spans="2:4">
      <c r="B11" s="94" t="s">
        <v>1414</v>
      </c>
      <c r="C11" s="95">
        <v>42.4</v>
      </c>
      <c r="D11" s="96">
        <v>73700</v>
      </c>
    </row>
    <row r="12" spans="2:4">
      <c r="B12" s="94" t="s">
        <v>1415</v>
      </c>
      <c r="C12" s="95">
        <v>32.1</v>
      </c>
      <c r="D12" s="96">
        <v>79200</v>
      </c>
    </row>
    <row r="13" spans="2:4">
      <c r="B13" s="94" t="s">
        <v>1402</v>
      </c>
      <c r="C13" s="95">
        <v>41.4</v>
      </c>
      <c r="D13" s="96">
        <v>74800</v>
      </c>
    </row>
    <row r="14" spans="2:4">
      <c r="B14" s="94" t="s">
        <v>1416</v>
      </c>
      <c r="C14" s="95">
        <v>39.799999999999997</v>
      </c>
      <c r="D14" s="96">
        <v>78800</v>
      </c>
    </row>
    <row r="15" spans="2:4">
      <c r="B15" s="94" t="s">
        <v>1417</v>
      </c>
      <c r="C15" s="95">
        <v>44.8</v>
      </c>
      <c r="D15" s="96">
        <v>65600</v>
      </c>
    </row>
    <row r="16" spans="2:4">
      <c r="B16" s="94" t="s">
        <v>1418</v>
      </c>
      <c r="C16" s="95">
        <v>44.9</v>
      </c>
      <c r="D16" s="96">
        <v>68600</v>
      </c>
    </row>
    <row r="17" spans="2:4">
      <c r="B17" s="94" t="s">
        <v>1419</v>
      </c>
      <c r="C17" s="95">
        <v>41.8</v>
      </c>
      <c r="D17" s="96">
        <v>76300</v>
      </c>
    </row>
    <row r="18" spans="2:4">
      <c r="B18" s="94" t="s">
        <v>1420</v>
      </c>
      <c r="C18" s="95">
        <v>33.5</v>
      </c>
      <c r="D18" s="96">
        <v>89900</v>
      </c>
    </row>
    <row r="19" spans="2:4">
      <c r="B19" s="94" t="s">
        <v>1421</v>
      </c>
      <c r="C19" s="95">
        <v>33.5</v>
      </c>
      <c r="D19" s="96">
        <v>75200</v>
      </c>
    </row>
    <row r="20" spans="2:4">
      <c r="B20" s="94" t="s">
        <v>1422</v>
      </c>
      <c r="C20" s="95">
        <v>29.7</v>
      </c>
      <c r="D20" s="96">
        <v>115000</v>
      </c>
    </row>
    <row r="21" spans="2:4">
      <c r="B21" s="94" t="s">
        <v>1423</v>
      </c>
      <c r="C21" s="95">
        <v>36.299999999999997</v>
      </c>
      <c r="D21" s="96">
        <v>76600</v>
      </c>
    </row>
    <row r="22" spans="2:4">
      <c r="B22" s="94" t="s">
        <v>1424</v>
      </c>
      <c r="C22" s="95">
        <v>47.5</v>
      </c>
      <c r="D22" s="96">
        <v>69000</v>
      </c>
    </row>
    <row r="23" spans="2:4">
      <c r="B23" s="94" t="s">
        <v>1425</v>
      </c>
      <c r="C23" s="95">
        <v>33.700000000000003</v>
      </c>
      <c r="D23" s="96">
        <v>74400</v>
      </c>
    </row>
    <row r="24" spans="2:4">
      <c r="B24" s="94" t="s">
        <v>1426</v>
      </c>
      <c r="C24" s="95">
        <v>33.700000000000003</v>
      </c>
      <c r="D24" s="96">
        <v>74400</v>
      </c>
    </row>
    <row r="25" spans="2:4">
      <c r="B25" s="94" t="s">
        <v>1427</v>
      </c>
      <c r="C25" s="95">
        <v>33.700000000000003</v>
      </c>
      <c r="D25" s="96">
        <v>74400</v>
      </c>
    </row>
    <row r="26" spans="2:4">
      <c r="B26" s="94" t="s">
        <v>1428</v>
      </c>
      <c r="C26" s="95">
        <v>21.6</v>
      </c>
      <c r="D26" s="96">
        <v>101000</v>
      </c>
    </row>
    <row r="27" spans="2:4">
      <c r="B27" s="94" t="s">
        <v>1429</v>
      </c>
      <c r="C27" s="95">
        <v>24</v>
      </c>
      <c r="D27" s="96">
        <v>101000</v>
      </c>
    </row>
    <row r="28" spans="2:4">
      <c r="B28" s="94" t="s">
        <v>1430</v>
      </c>
      <c r="C28" s="95">
        <v>19.899999999999999</v>
      </c>
      <c r="D28" s="96">
        <v>99700</v>
      </c>
    </row>
    <row r="29" spans="2:4">
      <c r="B29" s="94" t="s">
        <v>1431</v>
      </c>
      <c r="C29" s="95">
        <v>11.5</v>
      </c>
      <c r="D29" s="96">
        <v>100000</v>
      </c>
    </row>
    <row r="30" spans="2:4">
      <c r="B30" s="94" t="s">
        <v>1432</v>
      </c>
      <c r="C30" s="95">
        <v>5.5</v>
      </c>
      <c r="D30" s="96">
        <v>115000</v>
      </c>
    </row>
    <row r="31" spans="2:4">
      <c r="B31" s="94" t="s">
        <v>1433</v>
      </c>
      <c r="C31" s="95">
        <v>7.1</v>
      </c>
      <c r="D31" s="96">
        <v>125000</v>
      </c>
    </row>
    <row r="32" spans="2:4">
      <c r="B32" s="94" t="s">
        <v>1434</v>
      </c>
      <c r="C32" s="95">
        <v>15.1</v>
      </c>
      <c r="D32" s="96">
        <v>109000</v>
      </c>
    </row>
    <row r="33" spans="2:4">
      <c r="B33" s="94" t="s">
        <v>1435</v>
      </c>
      <c r="C33" s="95">
        <v>15.1</v>
      </c>
      <c r="D33" s="96">
        <v>109000</v>
      </c>
    </row>
    <row r="34" spans="2:4">
      <c r="B34" s="94" t="s">
        <v>1436</v>
      </c>
      <c r="C34" s="95">
        <v>25.1</v>
      </c>
      <c r="D34" s="96">
        <v>119000</v>
      </c>
    </row>
    <row r="35" spans="2:4">
      <c r="B35" s="94" t="s">
        <v>1437</v>
      </c>
      <c r="C35" s="95">
        <v>25.1</v>
      </c>
      <c r="D35" s="96">
        <v>119000</v>
      </c>
    </row>
    <row r="36" spans="2:4">
      <c r="B36" s="94" t="s">
        <v>1438</v>
      </c>
      <c r="C36" s="95">
        <v>14.1</v>
      </c>
      <c r="D36" s="96">
        <v>95300</v>
      </c>
    </row>
    <row r="37" spans="2:4">
      <c r="B37" s="94" t="s">
        <v>1439</v>
      </c>
      <c r="C37" s="95">
        <v>19.600000000000001</v>
      </c>
      <c r="D37" s="96">
        <v>54100</v>
      </c>
    </row>
    <row r="38" spans="2:4">
      <c r="B38" s="94" t="s">
        <v>1440</v>
      </c>
      <c r="C38" s="95">
        <v>19.600000000000001</v>
      </c>
      <c r="D38" s="96">
        <v>54100</v>
      </c>
    </row>
    <row r="39" spans="2:4">
      <c r="B39" s="94" t="s">
        <v>1441</v>
      </c>
      <c r="C39" s="95">
        <v>1.2</v>
      </c>
      <c r="D39" s="96">
        <v>308000</v>
      </c>
    </row>
    <row r="40" spans="2:4">
      <c r="B40" s="94" t="s">
        <v>1442</v>
      </c>
      <c r="C40" s="95">
        <v>3.8</v>
      </c>
      <c r="D40" s="96">
        <v>202000</v>
      </c>
    </row>
    <row r="41" spans="2:4">
      <c r="B41" s="94" t="s">
        <v>1403</v>
      </c>
      <c r="C41" s="95">
        <v>46.5</v>
      </c>
      <c r="D41" s="96">
        <v>58300</v>
      </c>
    </row>
    <row r="42" spans="2:4" ht="30">
      <c r="B42" s="97" t="s">
        <v>1443</v>
      </c>
      <c r="C42" s="95">
        <v>7</v>
      </c>
      <c r="D42" s="96">
        <v>121000</v>
      </c>
    </row>
    <row r="43" spans="2:4">
      <c r="B43" s="94" t="s">
        <v>1444</v>
      </c>
      <c r="C43" s="95">
        <v>20.3</v>
      </c>
      <c r="D43" s="96">
        <v>74400</v>
      </c>
    </row>
    <row r="44" spans="2:4">
      <c r="B44" s="94" t="s">
        <v>1445</v>
      </c>
      <c r="C44" s="95">
        <v>7.8</v>
      </c>
      <c r="D44" s="96">
        <v>108000</v>
      </c>
    </row>
    <row r="45" spans="2:4">
      <c r="B45" s="94" t="s">
        <v>1446</v>
      </c>
      <c r="C45" s="95">
        <v>7.9</v>
      </c>
      <c r="D45" s="96">
        <v>132000</v>
      </c>
    </row>
    <row r="46" spans="2:4">
      <c r="B46" s="94" t="s">
        <v>1447</v>
      </c>
      <c r="C46" s="95">
        <v>5.9</v>
      </c>
      <c r="D46" s="96">
        <v>110000</v>
      </c>
    </row>
    <row r="47" spans="2:4">
      <c r="B47" s="94" t="s">
        <v>1448</v>
      </c>
      <c r="C47" s="95">
        <v>5.9</v>
      </c>
      <c r="D47" s="96">
        <v>117000</v>
      </c>
    </row>
    <row r="48" spans="2:4">
      <c r="B48" s="94" t="s">
        <v>1449</v>
      </c>
      <c r="C48" s="95">
        <v>14.9</v>
      </c>
      <c r="D48" s="96">
        <v>132000</v>
      </c>
    </row>
    <row r="49" spans="2:4">
      <c r="B49" s="94" t="s">
        <v>1450</v>
      </c>
      <c r="C49" s="95">
        <v>13.6</v>
      </c>
      <c r="D49" s="96">
        <v>84300</v>
      </c>
    </row>
    <row r="50" spans="2:4">
      <c r="B50" s="94" t="s">
        <v>1451</v>
      </c>
      <c r="C50" s="95">
        <v>13.6</v>
      </c>
      <c r="D50" s="96">
        <v>84300</v>
      </c>
    </row>
    <row r="51" spans="2:4">
      <c r="B51" s="94" t="s">
        <v>1452</v>
      </c>
      <c r="C51" s="95">
        <v>13.8</v>
      </c>
      <c r="D51" s="96">
        <v>95300</v>
      </c>
    </row>
    <row r="52" spans="2:4">
      <c r="B52" s="94" t="s">
        <v>1453</v>
      </c>
      <c r="C52" s="95">
        <v>25.4</v>
      </c>
      <c r="D52" s="96">
        <v>66000</v>
      </c>
    </row>
    <row r="53" spans="2:4">
      <c r="B53" s="94" t="s">
        <v>1454</v>
      </c>
      <c r="C53" s="95">
        <v>25.4</v>
      </c>
      <c r="D53" s="96">
        <v>66000</v>
      </c>
    </row>
    <row r="54" spans="2:4">
      <c r="B54" s="94" t="s">
        <v>1455</v>
      </c>
      <c r="C54" s="95">
        <v>25.4</v>
      </c>
      <c r="D54" s="96">
        <v>66000</v>
      </c>
    </row>
    <row r="55" spans="2:4">
      <c r="B55" s="94" t="s">
        <v>1456</v>
      </c>
      <c r="C55" s="95">
        <v>6.8</v>
      </c>
      <c r="D55" s="96">
        <v>117000</v>
      </c>
    </row>
    <row r="56" spans="2:4" ht="15.75" thickBot="1">
      <c r="B56" s="98" t="s">
        <v>1457</v>
      </c>
      <c r="C56" s="99" t="s">
        <v>13</v>
      </c>
      <c r="D56" s="100">
        <v>183000</v>
      </c>
    </row>
  </sheetData>
  <mergeCells count="1">
    <mergeCell ref="B2:D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75A3-E699-4AF4-9F03-9D6A211A5CE9}">
  <sheetPr codeName="Sheet11"/>
  <dimension ref="A1:F69"/>
  <sheetViews>
    <sheetView topLeftCell="A69" workbookViewId="0">
      <selection activeCell="E73" sqref="E73:E74"/>
    </sheetView>
  </sheetViews>
  <sheetFormatPr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c r="A1" s="234" t="s">
        <v>0</v>
      </c>
      <c r="B1" s="234" t="s">
        <v>3</v>
      </c>
      <c r="C1" s="234" t="s">
        <v>5</v>
      </c>
      <c r="D1" s="1" t="s">
        <v>6</v>
      </c>
      <c r="E1" s="1" t="s">
        <v>1458</v>
      </c>
      <c r="F1" s="234" t="s">
        <v>7</v>
      </c>
    </row>
    <row r="2" spans="1:6" s="190" customFormat="1" ht="18.75">
      <c r="A2" s="235"/>
      <c r="B2" s="235"/>
      <c r="C2" s="236"/>
      <c r="D2" s="235" t="s">
        <v>1459</v>
      </c>
      <c r="E2" s="236"/>
      <c r="F2" s="236"/>
    </row>
    <row r="3" spans="1:6" ht="113.25" customHeight="1">
      <c r="A3" t="s">
        <v>10</v>
      </c>
      <c r="B3" t="s">
        <v>1132</v>
      </c>
      <c r="D3" s="7" t="s">
        <v>1460</v>
      </c>
      <c r="E3" t="s">
        <v>11</v>
      </c>
      <c r="F3" s="7" t="s">
        <v>1461</v>
      </c>
    </row>
    <row r="4" spans="1:6" s="190" customFormat="1" ht="18.75">
      <c r="A4" s="235"/>
      <c r="B4" s="235"/>
      <c r="C4" s="236"/>
      <c r="D4" s="235" t="s">
        <v>1462</v>
      </c>
      <c r="E4" s="236"/>
      <c r="F4" s="236"/>
    </row>
    <row r="5" spans="1:6" s="17" customFormat="1">
      <c r="A5" s="17" t="s">
        <v>11</v>
      </c>
      <c r="B5" s="17" t="s">
        <v>1093</v>
      </c>
      <c r="C5" s="272" t="s">
        <v>1463</v>
      </c>
      <c r="D5" s="17" t="s">
        <v>1464</v>
      </c>
      <c r="E5" s="16" t="s">
        <v>11</v>
      </c>
      <c r="F5" s="16">
        <v>16.04</v>
      </c>
    </row>
    <row r="6" spans="1:6" s="17" customFormat="1">
      <c r="A6" s="17" t="s">
        <v>11</v>
      </c>
      <c r="B6" s="17" t="s">
        <v>1093</v>
      </c>
      <c r="C6" s="17" t="s">
        <v>1465</v>
      </c>
      <c r="D6" s="17" t="s">
        <v>1466</v>
      </c>
      <c r="E6" s="16" t="s">
        <v>11</v>
      </c>
      <c r="F6" s="16">
        <v>28.01</v>
      </c>
    </row>
    <row r="7" spans="1:6" s="17" customFormat="1">
      <c r="A7" s="17" t="s">
        <v>11</v>
      </c>
      <c r="B7" s="17" t="s">
        <v>1093</v>
      </c>
      <c r="C7" s="17" t="s">
        <v>1467</v>
      </c>
      <c r="D7" s="17" t="s">
        <v>1468</v>
      </c>
      <c r="E7" s="16" t="s">
        <v>11</v>
      </c>
      <c r="F7" s="16">
        <v>44.01</v>
      </c>
    </row>
    <row r="8" spans="1:6" s="17" customFormat="1">
      <c r="A8" s="17" t="s">
        <v>11</v>
      </c>
      <c r="B8" s="17" t="s">
        <v>1093</v>
      </c>
      <c r="C8" s="17" t="s">
        <v>1469</v>
      </c>
      <c r="D8" s="17" t="s">
        <v>1470</v>
      </c>
      <c r="E8" s="16" t="s">
        <v>11</v>
      </c>
      <c r="F8" s="16">
        <v>32</v>
      </c>
    </row>
    <row r="9" spans="1:6" s="17" customFormat="1">
      <c r="A9" s="17" t="s">
        <v>11</v>
      </c>
      <c r="B9" s="17" t="s">
        <v>1093</v>
      </c>
      <c r="C9" s="17" t="s">
        <v>1471</v>
      </c>
      <c r="D9" s="17" t="s">
        <v>1472</v>
      </c>
      <c r="E9" s="16" t="s">
        <v>11</v>
      </c>
      <c r="F9" s="16">
        <v>2.02</v>
      </c>
    </row>
    <row r="10" spans="1:6" s="17" customFormat="1">
      <c r="A10" s="17" t="s">
        <v>11</v>
      </c>
      <c r="B10" s="17" t="s">
        <v>1093</v>
      </c>
      <c r="C10" s="17" t="s">
        <v>1473</v>
      </c>
      <c r="D10" s="17" t="s">
        <v>1474</v>
      </c>
      <c r="E10" s="16" t="s">
        <v>11</v>
      </c>
      <c r="F10" s="16">
        <v>28.02</v>
      </c>
    </row>
    <row r="11" spans="1:6" s="17" customFormat="1">
      <c r="A11" s="17" t="s">
        <v>11</v>
      </c>
      <c r="B11" s="17" t="s">
        <v>1093</v>
      </c>
      <c r="C11" s="17" t="s">
        <v>1475</v>
      </c>
      <c r="D11" s="17" t="s">
        <v>1476</v>
      </c>
      <c r="E11" s="16" t="s">
        <v>11</v>
      </c>
      <c r="F11" s="16">
        <v>12</v>
      </c>
    </row>
    <row r="12" spans="1:6" s="17" customFormat="1">
      <c r="A12" s="17" t="s">
        <v>11</v>
      </c>
      <c r="B12" s="17" t="s">
        <v>1093</v>
      </c>
      <c r="C12" s="17" t="s">
        <v>1477</v>
      </c>
      <c r="D12" s="17" t="s">
        <v>1478</v>
      </c>
      <c r="E12" s="16" t="s">
        <v>11</v>
      </c>
      <c r="F12" s="16">
        <v>1.01</v>
      </c>
    </row>
    <row r="13" spans="1:6" s="17" customFormat="1">
      <c r="A13" s="17" t="s">
        <v>11</v>
      </c>
      <c r="B13" s="17" t="s">
        <v>1093</v>
      </c>
      <c r="C13" s="17" t="s">
        <v>1479</v>
      </c>
      <c r="D13" s="17" t="s">
        <v>1480</v>
      </c>
      <c r="E13" s="16" t="s">
        <v>11</v>
      </c>
      <c r="F13" s="16">
        <v>16</v>
      </c>
    </row>
    <row r="14" spans="1:6" s="17" customFormat="1">
      <c r="A14" s="17" t="s">
        <v>11</v>
      </c>
      <c r="B14" s="17" t="s">
        <v>1093</v>
      </c>
      <c r="C14" s="17" t="s">
        <v>1481</v>
      </c>
      <c r="D14" s="17" t="s">
        <v>1482</v>
      </c>
      <c r="E14" s="16" t="s">
        <v>11</v>
      </c>
      <c r="F14" s="16">
        <v>14.01</v>
      </c>
    </row>
    <row r="15" spans="1:6" s="17" customFormat="1">
      <c r="A15" s="17" t="s">
        <v>11</v>
      </c>
      <c r="B15" s="17" t="s">
        <v>1093</v>
      </c>
      <c r="C15" s="17" t="s">
        <v>1483</v>
      </c>
      <c r="D15" s="17" t="s">
        <v>1484</v>
      </c>
      <c r="E15" s="16" t="s">
        <v>11</v>
      </c>
      <c r="F15" s="16">
        <v>101325</v>
      </c>
    </row>
    <row r="16" spans="1:6" s="17" customFormat="1">
      <c r="A16" s="17" t="s">
        <v>11</v>
      </c>
      <c r="B16" s="17" t="s">
        <v>1093</v>
      </c>
      <c r="C16" s="17" t="s">
        <v>1485</v>
      </c>
      <c r="D16" s="17" t="s">
        <v>1486</v>
      </c>
      <c r="E16" s="16" t="s">
        <v>11</v>
      </c>
      <c r="F16" s="16">
        <v>8314.4719999999998</v>
      </c>
    </row>
    <row r="17" spans="1:6" s="17" customFormat="1">
      <c r="A17" s="17" t="s">
        <v>11</v>
      </c>
      <c r="B17" s="17" t="s">
        <v>1093</v>
      </c>
      <c r="C17" s="17" t="s">
        <v>1487</v>
      </c>
      <c r="D17" s="17" t="s">
        <v>1488</v>
      </c>
      <c r="E17" s="16" t="s">
        <v>11</v>
      </c>
      <c r="F17" s="16">
        <v>273.14999999999998</v>
      </c>
    </row>
    <row r="18" spans="1:6" s="17" customFormat="1">
      <c r="A18" s="17" t="s">
        <v>11</v>
      </c>
      <c r="B18" s="17" t="s">
        <v>1093</v>
      </c>
      <c r="C18" s="17" t="s">
        <v>1489</v>
      </c>
      <c r="D18" s="17" t="s">
        <v>1490</v>
      </c>
      <c r="E18" s="16" t="s">
        <v>11</v>
      </c>
      <c r="F18" s="16">
        <v>0.21</v>
      </c>
    </row>
    <row r="19" spans="1:6" s="17" customFormat="1">
      <c r="A19" s="17" t="s">
        <v>11</v>
      </c>
      <c r="B19" s="17" t="s">
        <v>1093</v>
      </c>
      <c r="C19" s="17" t="s">
        <v>1491</v>
      </c>
      <c r="D19" s="17" t="s">
        <v>1492</v>
      </c>
      <c r="E19" s="16" t="s">
        <v>11</v>
      </c>
      <c r="F19" s="16">
        <v>25</v>
      </c>
    </row>
    <row r="20" spans="1:6" s="17" customFormat="1" ht="30">
      <c r="A20" s="17" t="s">
        <v>11</v>
      </c>
      <c r="B20" s="17" t="s">
        <v>1093</v>
      </c>
      <c r="C20" s="17" t="s">
        <v>1493</v>
      </c>
      <c r="D20" s="18" t="s">
        <v>1494</v>
      </c>
      <c r="E20" s="16" t="s">
        <v>11</v>
      </c>
      <c r="F20" s="16">
        <v>22.414000000000001</v>
      </c>
    </row>
    <row r="21" spans="1:6" s="17" customFormat="1">
      <c r="A21" s="17" t="s">
        <v>11</v>
      </c>
      <c r="B21" s="17" t="s">
        <v>1093</v>
      </c>
      <c r="C21" s="17" t="s">
        <v>1495</v>
      </c>
      <c r="D21" s="17" t="s">
        <v>1496</v>
      </c>
      <c r="E21" s="16" t="s">
        <v>11</v>
      </c>
      <c r="F21" s="16">
        <v>0.71599999999999997</v>
      </c>
    </row>
    <row r="22" spans="1:6" s="17" customFormat="1" ht="30">
      <c r="A22" s="17" t="s">
        <v>11</v>
      </c>
      <c r="B22" s="17" t="s">
        <v>1093</v>
      </c>
      <c r="C22" s="17" t="s">
        <v>1497</v>
      </c>
      <c r="D22" s="18" t="s">
        <v>1498</v>
      </c>
      <c r="E22" s="16" t="s">
        <v>11</v>
      </c>
      <c r="F22" s="16" t="s">
        <v>1499</v>
      </c>
    </row>
    <row r="23" spans="1:6" s="17" customFormat="1" ht="30">
      <c r="A23" s="17" t="s">
        <v>11</v>
      </c>
      <c r="B23" s="17" t="s">
        <v>1093</v>
      </c>
      <c r="C23" s="17" t="s">
        <v>1500</v>
      </c>
      <c r="D23" s="18" t="s">
        <v>1501</v>
      </c>
      <c r="E23" s="16" t="s">
        <v>11</v>
      </c>
      <c r="F23" s="16">
        <v>1</v>
      </c>
    </row>
    <row r="24" spans="1:6" s="17" customFormat="1">
      <c r="A24" s="17" t="s">
        <v>11</v>
      </c>
      <c r="B24" s="17" t="s">
        <v>1093</v>
      </c>
      <c r="C24" s="17" t="s">
        <v>1502</v>
      </c>
      <c r="D24" s="17" t="s">
        <v>1503</v>
      </c>
      <c r="E24" s="16" t="s">
        <v>11</v>
      </c>
      <c r="F24" s="16">
        <v>1</v>
      </c>
    </row>
    <row r="25" spans="1:6" s="17" customFormat="1" ht="30">
      <c r="A25" s="17" t="s">
        <v>11</v>
      </c>
      <c r="B25" s="17" t="s">
        <v>1093</v>
      </c>
      <c r="C25" s="17" t="s">
        <v>1504</v>
      </c>
      <c r="D25" s="18" t="s">
        <v>1505</v>
      </c>
      <c r="E25" s="16" t="s">
        <v>11</v>
      </c>
      <c r="F25" s="16">
        <v>1</v>
      </c>
    </row>
    <row r="26" spans="1:6" s="17" customFormat="1" ht="30">
      <c r="A26" s="17" t="s">
        <v>11</v>
      </c>
      <c r="B26" s="17" t="s">
        <v>1093</v>
      </c>
      <c r="C26" s="17" t="s">
        <v>1506</v>
      </c>
      <c r="D26" s="18" t="s">
        <v>1507</v>
      </c>
      <c r="E26" s="16" t="s">
        <v>11</v>
      </c>
      <c r="F26" s="16">
        <v>4</v>
      </c>
    </row>
    <row r="27" spans="1:6" s="17" customFormat="1">
      <c r="A27" s="17" t="s">
        <v>11</v>
      </c>
      <c r="B27" s="17" t="s">
        <v>1093</v>
      </c>
      <c r="C27" s="17" t="s">
        <v>1508</v>
      </c>
      <c r="D27" s="17" t="s">
        <v>1509</v>
      </c>
      <c r="E27" s="16" t="s">
        <v>11</v>
      </c>
      <c r="F27" s="16">
        <v>2</v>
      </c>
    </row>
    <row r="28" spans="1:6" s="17" customFormat="1">
      <c r="A28" s="17" t="s">
        <v>11</v>
      </c>
      <c r="B28" s="17" t="s">
        <v>1093</v>
      </c>
      <c r="C28" s="17" t="s">
        <v>1510</v>
      </c>
      <c r="D28" s="17" t="s">
        <v>1511</v>
      </c>
      <c r="E28" s="16" t="s">
        <v>11</v>
      </c>
      <c r="F28" s="16">
        <v>1</v>
      </c>
    </row>
    <row r="29" spans="1:6" s="17" customFormat="1" ht="30">
      <c r="A29" s="17" t="s">
        <v>11</v>
      </c>
      <c r="B29" s="17" t="s">
        <v>1093</v>
      </c>
      <c r="C29" s="17" t="s">
        <v>1512</v>
      </c>
      <c r="D29" s="18" t="s">
        <v>1513</v>
      </c>
      <c r="E29" s="16" t="s">
        <v>11</v>
      </c>
      <c r="F29" s="16">
        <v>2</v>
      </c>
    </row>
    <row r="30" spans="1:6" s="17" customFormat="1">
      <c r="A30" s="17" t="s">
        <v>11</v>
      </c>
      <c r="B30" s="17" t="s">
        <v>1093</v>
      </c>
      <c r="C30" s="17" t="s">
        <v>1514</v>
      </c>
      <c r="D30" s="17" t="s">
        <v>1515</v>
      </c>
      <c r="E30" s="16" t="s">
        <v>11</v>
      </c>
      <c r="F30" s="16">
        <v>2</v>
      </c>
    </row>
    <row r="31" spans="1:6" s="17" customFormat="1">
      <c r="A31" s="17" t="s">
        <v>11</v>
      </c>
      <c r="B31" s="17" t="s">
        <v>1093</v>
      </c>
      <c r="C31" s="17" t="s">
        <v>1516</v>
      </c>
      <c r="D31" s="17" t="s">
        <v>1517</v>
      </c>
      <c r="E31" s="16" t="s">
        <v>11</v>
      </c>
      <c r="F31" s="16">
        <v>2</v>
      </c>
    </row>
    <row r="32" spans="1:6" s="190" customFormat="1" ht="18.75">
      <c r="A32" s="235"/>
      <c r="B32" s="235"/>
      <c r="C32" s="236"/>
      <c r="D32" s="235" t="s">
        <v>1518</v>
      </c>
      <c r="E32" s="236"/>
      <c r="F32" s="236"/>
    </row>
    <row r="33" spans="1:6">
      <c r="A33" t="s">
        <v>10</v>
      </c>
      <c r="B33" t="s">
        <v>119</v>
      </c>
      <c r="C33" t="s">
        <v>1519</v>
      </c>
      <c r="D33" t="s">
        <v>1520</v>
      </c>
      <c r="E33" s="4" t="s">
        <v>10</v>
      </c>
      <c r="F33" s="273">
        <v>0.55000000000000004</v>
      </c>
    </row>
    <row r="34" spans="1:6">
      <c r="A34" t="s">
        <v>10</v>
      </c>
      <c r="B34" t="s">
        <v>119</v>
      </c>
      <c r="C34" t="s">
        <v>1521</v>
      </c>
      <c r="D34" t="s">
        <v>1522</v>
      </c>
      <c r="E34" s="4" t="s">
        <v>10</v>
      </c>
      <c r="F34" s="273">
        <v>0</v>
      </c>
    </row>
    <row r="35" spans="1:6">
      <c r="A35" t="s">
        <v>10</v>
      </c>
      <c r="B35" t="s">
        <v>119</v>
      </c>
      <c r="C35" t="s">
        <v>1523</v>
      </c>
      <c r="D35" t="s">
        <v>1524</v>
      </c>
      <c r="E35" s="4" t="s">
        <v>10</v>
      </c>
      <c r="F35" s="273">
        <v>0.35</v>
      </c>
    </row>
    <row r="36" spans="1:6">
      <c r="A36" t="s">
        <v>10</v>
      </c>
      <c r="B36" t="s">
        <v>119</v>
      </c>
      <c r="C36" t="s">
        <v>1525</v>
      </c>
      <c r="D36" t="s">
        <v>1526</v>
      </c>
      <c r="E36" s="4" t="s">
        <v>10</v>
      </c>
      <c r="F36" s="273">
        <v>0.05</v>
      </c>
    </row>
    <row r="37" spans="1:6">
      <c r="A37" t="s">
        <v>10</v>
      </c>
      <c r="B37" t="s">
        <v>119</v>
      </c>
      <c r="C37" t="s">
        <v>1527</v>
      </c>
      <c r="D37" t="s">
        <v>1528</v>
      </c>
      <c r="E37" s="4" t="s">
        <v>10</v>
      </c>
      <c r="F37" s="273">
        <v>0.01</v>
      </c>
    </row>
    <row r="38" spans="1:6">
      <c r="A38" t="s">
        <v>10</v>
      </c>
      <c r="B38" t="s">
        <v>119</v>
      </c>
      <c r="C38" t="s">
        <v>1529</v>
      </c>
      <c r="D38" t="s">
        <v>1530</v>
      </c>
      <c r="E38" s="4" t="s">
        <v>10</v>
      </c>
      <c r="F38" s="273">
        <v>0.04</v>
      </c>
    </row>
    <row r="39" spans="1:6" ht="30">
      <c r="A39" t="s">
        <v>10</v>
      </c>
      <c r="B39" t="s">
        <v>119</v>
      </c>
      <c r="C39" t="s">
        <v>1531</v>
      </c>
      <c r="D39" s="7" t="s">
        <v>1532</v>
      </c>
      <c r="E39" s="4" t="s">
        <v>10</v>
      </c>
      <c r="F39" s="274">
        <v>1000</v>
      </c>
    </row>
    <row r="40" spans="1:6">
      <c r="A40" t="s">
        <v>10</v>
      </c>
      <c r="B40" t="s">
        <v>119</v>
      </c>
      <c r="C40" t="s">
        <v>1533</v>
      </c>
      <c r="D40" t="s">
        <v>1534</v>
      </c>
      <c r="E40" s="4" t="s">
        <v>10</v>
      </c>
      <c r="F40" s="273">
        <v>0.1</v>
      </c>
    </row>
    <row r="41" spans="1:6" ht="30">
      <c r="A41" t="s">
        <v>10</v>
      </c>
      <c r="B41" t="s">
        <v>119</v>
      </c>
      <c r="C41" t="s">
        <v>1535</v>
      </c>
      <c r="D41" s="7" t="s">
        <v>1536</v>
      </c>
      <c r="E41" s="4" t="s">
        <v>10</v>
      </c>
      <c r="F41" s="4">
        <v>1000</v>
      </c>
    </row>
    <row r="42" spans="1:6">
      <c r="A42" t="s">
        <v>10</v>
      </c>
      <c r="B42" t="s">
        <v>119</v>
      </c>
      <c r="C42" t="s">
        <v>1537</v>
      </c>
      <c r="D42" t="s">
        <v>1538</v>
      </c>
      <c r="E42" s="4" t="s">
        <v>10</v>
      </c>
      <c r="F42" s="245">
        <v>8760</v>
      </c>
    </row>
    <row r="43" spans="1:6" s="190" customFormat="1" ht="18.75">
      <c r="A43" s="235"/>
      <c r="B43" s="235"/>
      <c r="C43" s="236"/>
      <c r="D43" s="235" t="s">
        <v>1539</v>
      </c>
      <c r="E43" s="236"/>
      <c r="F43" s="236"/>
    </row>
    <row r="44" spans="1:6" s="17" customFormat="1" ht="30">
      <c r="A44" s="17" t="s">
        <v>11</v>
      </c>
      <c r="B44" s="17" t="s">
        <v>1093</v>
      </c>
      <c r="C44" s="17" t="s">
        <v>1540</v>
      </c>
      <c r="D44" s="18" t="s">
        <v>1541</v>
      </c>
      <c r="E44" s="17" t="s">
        <v>11</v>
      </c>
      <c r="F44" s="16">
        <f>F45*F46</f>
        <v>1203.109940767265</v>
      </c>
    </row>
    <row r="45" spans="1:6" s="17" customFormat="1" ht="30">
      <c r="A45" s="17" t="s">
        <v>11</v>
      </c>
      <c r="B45" s="17" t="s">
        <v>1093</v>
      </c>
      <c r="C45" s="17" t="s">
        <v>1542</v>
      </c>
      <c r="D45" s="18" t="s">
        <v>1543</v>
      </c>
      <c r="E45" s="17" t="s">
        <v>11</v>
      </c>
      <c r="F45" s="16">
        <f>F47/(F16*F17)</f>
        <v>1.203109940767265</v>
      </c>
    </row>
    <row r="46" spans="1:6" s="17" customFormat="1" ht="33" customHeight="1">
      <c r="A46" s="17" t="s">
        <v>11</v>
      </c>
      <c r="B46" s="17" t="s">
        <v>1093</v>
      </c>
      <c r="C46" s="17" t="s">
        <v>1544</v>
      </c>
      <c r="D46" s="18" t="s">
        <v>1545</v>
      </c>
      <c r="E46" s="17" t="s">
        <v>11</v>
      </c>
      <c r="F46" s="16">
        <v>1000</v>
      </c>
    </row>
    <row r="47" spans="1:6" s="17" customFormat="1" ht="30">
      <c r="A47" s="17" t="s">
        <v>11</v>
      </c>
      <c r="B47" s="17" t="s">
        <v>1093</v>
      </c>
      <c r="C47" s="17" t="s">
        <v>1546</v>
      </c>
      <c r="D47" s="18" t="s">
        <v>1547</v>
      </c>
      <c r="E47" s="17" t="s">
        <v>11</v>
      </c>
      <c r="F47" s="16">
        <f>F15*F48</f>
        <v>2732380.6124999998</v>
      </c>
    </row>
    <row r="48" spans="1:6" s="17" customFormat="1" ht="30">
      <c r="A48" s="17" t="s">
        <v>11</v>
      </c>
      <c r="B48" s="17" t="s">
        <v>1093</v>
      </c>
      <c r="C48" s="17" t="s">
        <v>1548</v>
      </c>
      <c r="D48" s="18" t="s">
        <v>1549</v>
      </c>
      <c r="E48" s="17" t="s">
        <v>11</v>
      </c>
      <c r="F48" s="16">
        <f>F5*F33+F6*F34+F7*F35+F8*F36+F9*F37+F10*F38</f>
        <v>26.966499999999996</v>
      </c>
    </row>
    <row r="49" spans="1:6" s="190" customFormat="1" ht="18.75">
      <c r="A49" s="235"/>
      <c r="B49" s="235"/>
      <c r="C49" s="236"/>
      <c r="D49" s="235" t="s">
        <v>1550</v>
      </c>
      <c r="E49" s="236"/>
      <c r="F49" s="236"/>
    </row>
    <row r="50" spans="1:6" s="16" customFormat="1" ht="30">
      <c r="A50" s="16" t="s">
        <v>11</v>
      </c>
      <c r="B50" s="16" t="s">
        <v>1093</v>
      </c>
      <c r="C50" s="16" t="s">
        <v>1551</v>
      </c>
      <c r="D50" s="102" t="s">
        <v>1552</v>
      </c>
      <c r="E50" s="16" t="s">
        <v>11</v>
      </c>
      <c r="F50" s="16">
        <f>F39*F33*F21</f>
        <v>393.8</v>
      </c>
    </row>
    <row r="51" spans="1:6" s="190" customFormat="1" ht="18.75">
      <c r="A51" s="235"/>
      <c r="B51" s="235"/>
      <c r="C51" s="236"/>
      <c r="D51" s="235" t="s">
        <v>1553</v>
      </c>
      <c r="E51" s="236"/>
      <c r="F51" s="236"/>
    </row>
    <row r="52" spans="1:6" s="17" customFormat="1">
      <c r="A52" s="17" t="s">
        <v>11</v>
      </c>
      <c r="B52" s="17" t="s">
        <v>1093</v>
      </c>
      <c r="C52" s="17" t="s">
        <v>1554</v>
      </c>
      <c r="D52" s="17" t="s">
        <v>1555</v>
      </c>
      <c r="E52" s="17" t="s">
        <v>11</v>
      </c>
      <c r="F52" s="16">
        <f>(1-(F54/F50))*100</f>
        <v>97.620272779259992</v>
      </c>
    </row>
    <row r="53" spans="1:6" s="190" customFormat="1" ht="18.75">
      <c r="A53" s="235"/>
      <c r="B53" s="235"/>
      <c r="C53" s="236"/>
      <c r="D53" s="235" t="s">
        <v>1556</v>
      </c>
      <c r="E53" s="236"/>
      <c r="F53" s="236"/>
    </row>
    <row r="54" spans="1:6" s="17" customFormat="1" ht="45">
      <c r="A54" s="17" t="s">
        <v>11</v>
      </c>
      <c r="B54" s="17" t="s">
        <v>1093</v>
      </c>
      <c r="C54" s="17" t="s">
        <v>1557</v>
      </c>
      <c r="D54" s="223" t="s">
        <v>1558</v>
      </c>
      <c r="E54" s="17" t="s">
        <v>11</v>
      </c>
      <c r="F54" s="16">
        <f>F56*F41/1000000</f>
        <v>9.3713657952741762</v>
      </c>
    </row>
    <row r="55" spans="1:6" s="190" customFormat="1" ht="18.75">
      <c r="A55" s="235"/>
      <c r="B55" s="235"/>
      <c r="C55" s="236"/>
      <c r="D55" s="235" t="s">
        <v>1559</v>
      </c>
      <c r="E55" s="236"/>
      <c r="F55" s="236"/>
    </row>
    <row r="56" spans="1:6" s="17" customFormat="1" ht="34.5" customHeight="1">
      <c r="A56" s="17" t="s">
        <v>11</v>
      </c>
      <c r="B56" s="17" t="s">
        <v>1093</v>
      </c>
      <c r="C56" s="17" t="s">
        <v>1560</v>
      </c>
      <c r="D56" s="18" t="s">
        <v>1561</v>
      </c>
      <c r="E56" s="17" t="s">
        <v>11</v>
      </c>
      <c r="F56" s="16">
        <f>F57*F44</f>
        <v>9371.365795274176</v>
      </c>
    </row>
    <row r="57" spans="1:6" s="17" customFormat="1" ht="47.25" customHeight="1">
      <c r="A57" s="17" t="s">
        <v>11</v>
      </c>
      <c r="B57" s="17" t="s">
        <v>1093</v>
      </c>
      <c r="C57" s="275" t="s">
        <v>1562</v>
      </c>
      <c r="D57" s="18" t="s">
        <v>1563</v>
      </c>
      <c r="E57" s="17" t="s">
        <v>11</v>
      </c>
      <c r="F57" s="16">
        <f>F60+F59+F58</f>
        <v>7.7892846511580895</v>
      </c>
    </row>
    <row r="58" spans="1:6" s="17" customFormat="1" ht="45">
      <c r="A58" s="17" t="s">
        <v>11</v>
      </c>
      <c r="B58" s="17" t="s">
        <v>1093</v>
      </c>
      <c r="C58" s="17" t="s">
        <v>1564</v>
      </c>
      <c r="D58" s="18" t="s">
        <v>1565</v>
      </c>
      <c r="E58" s="17" t="s">
        <v>11</v>
      </c>
      <c r="F58" s="16">
        <f>F61*F20</f>
        <v>0.77892846511580904</v>
      </c>
    </row>
    <row r="59" spans="1:6" s="17" customFormat="1" ht="46.5" customHeight="1">
      <c r="A59" s="17" t="s">
        <v>11</v>
      </c>
      <c r="B59" s="17" t="s">
        <v>1093</v>
      </c>
      <c r="C59" s="17" t="s">
        <v>1566</v>
      </c>
      <c r="D59" s="18" t="s">
        <v>1567</v>
      </c>
      <c r="E59" s="17" t="s">
        <v>11</v>
      </c>
      <c r="F59" s="16">
        <f>F20*((F67/(2*F14)+((1-F18)/F18)*(F62+F61)))</f>
        <v>6.2622947023495508</v>
      </c>
    </row>
    <row r="60" spans="1:6" s="17" customFormat="1" ht="47.25" customHeight="1">
      <c r="A60" s="17" t="s">
        <v>11</v>
      </c>
      <c r="B60" s="17" t="s">
        <v>1093</v>
      </c>
      <c r="C60" s="17" t="s">
        <v>1568</v>
      </c>
      <c r="D60" s="18" t="s">
        <v>1569</v>
      </c>
      <c r="E60" s="17" t="s">
        <v>11</v>
      </c>
      <c r="F60" s="16">
        <f>(F64/F11)*F20</f>
        <v>0.74806148369272996</v>
      </c>
    </row>
    <row r="61" spans="1:6" s="17" customFormat="1" ht="45">
      <c r="A61" s="17" t="s">
        <v>11</v>
      </c>
      <c r="B61" s="17" t="s">
        <v>1093</v>
      </c>
      <c r="C61" s="17" t="s">
        <v>1570</v>
      </c>
      <c r="D61" s="18" t="s">
        <v>1571</v>
      </c>
      <c r="E61" s="17" t="s">
        <v>11</v>
      </c>
      <c r="F61" s="16">
        <f>(F40/(1-(F40/F18))*(F64/F11+F67/(2*F14)+((1-F18)/F18)*F62))</f>
        <v>3.4751872272499734E-2</v>
      </c>
    </row>
    <row r="62" spans="1:6" s="17" customFormat="1" ht="45">
      <c r="A62" s="17" t="s">
        <v>11</v>
      </c>
      <c r="B62" s="17" t="s">
        <v>1093</v>
      </c>
      <c r="C62" s="17" t="s">
        <v>1572</v>
      </c>
      <c r="D62" s="18" t="s">
        <v>1573</v>
      </c>
      <c r="E62" s="17" t="s">
        <v>11</v>
      </c>
      <c r="F62" s="16">
        <f>((F64/F11)+(F65/(4*F12)-(F66)/(2*F13)))</f>
        <v>3.9122615096508641E-2</v>
      </c>
    </row>
    <row r="63" spans="1:6" s="190" customFormat="1" ht="18.75">
      <c r="A63" s="235"/>
      <c r="B63" s="235"/>
      <c r="D63" s="235" t="s">
        <v>1574</v>
      </c>
      <c r="E63" s="236"/>
      <c r="F63" s="236"/>
    </row>
    <row r="64" spans="1:6" s="17" customFormat="1" ht="30">
      <c r="A64" s="17" t="s">
        <v>11</v>
      </c>
      <c r="B64" s="17" t="s">
        <v>1093</v>
      </c>
      <c r="C64" s="275" t="s">
        <v>1575</v>
      </c>
      <c r="D64" s="18" t="s">
        <v>1576</v>
      </c>
      <c r="E64" s="17" t="s">
        <v>11</v>
      </c>
      <c r="F64" s="16">
        <f>((F33*F23+F34*F24+F35*F25)*F11)/F48</f>
        <v>0.40049691283629696</v>
      </c>
    </row>
    <row r="65" spans="1:6" s="17" customFormat="1" ht="30">
      <c r="A65" s="17" t="s">
        <v>11</v>
      </c>
      <c r="B65" s="17" t="s">
        <v>1093</v>
      </c>
      <c r="C65" s="17" t="s">
        <v>1577</v>
      </c>
      <c r="D65" s="18" t="s">
        <v>1578</v>
      </c>
      <c r="E65" s="17" t="s">
        <v>11</v>
      </c>
      <c r="F65" s="16">
        <f>(F33*F26+F37*F27)*F12/F48</f>
        <v>8.314760907051344E-2</v>
      </c>
    </row>
    <row r="66" spans="1:6" s="17" customFormat="1" ht="30">
      <c r="A66" s="17" t="s">
        <v>11</v>
      </c>
      <c r="B66" s="17" t="s">
        <v>1093</v>
      </c>
      <c r="C66" s="17" t="s">
        <v>1579</v>
      </c>
      <c r="D66" s="18" t="s">
        <v>1580</v>
      </c>
      <c r="E66" s="17" t="s">
        <v>11</v>
      </c>
      <c r="F66" s="16">
        <f>(F34*F28+F35*F29+F36*F30)*F13/F48</f>
        <v>0.47466300780598153</v>
      </c>
    </row>
    <row r="67" spans="1:6" s="17" customFormat="1" ht="30">
      <c r="A67" s="17" t="s">
        <v>11</v>
      </c>
      <c r="B67" s="17" t="s">
        <v>1093</v>
      </c>
      <c r="C67" s="17" t="s">
        <v>1581</v>
      </c>
      <c r="D67" s="18" t="s">
        <v>1582</v>
      </c>
      <c r="E67" s="17" t="s">
        <v>11</v>
      </c>
      <c r="F67" s="16">
        <f>F38*F31*F14/F48</f>
        <v>4.1562679621011261E-2</v>
      </c>
    </row>
    <row r="68" spans="1:6" s="190" customFormat="1" ht="18.75">
      <c r="A68" s="235"/>
      <c r="B68" s="235"/>
      <c r="D68" s="235" t="s">
        <v>1583</v>
      </c>
      <c r="E68" s="236"/>
      <c r="F68" s="236"/>
    </row>
    <row r="69" spans="1:6" s="17" customFormat="1" ht="30">
      <c r="A69" s="17" t="s">
        <v>11</v>
      </c>
      <c r="B69" s="17" t="s">
        <v>1093</v>
      </c>
      <c r="C69" s="17" t="s">
        <v>1584</v>
      </c>
      <c r="D69" s="18" t="s">
        <v>1585</v>
      </c>
      <c r="E69" s="17" t="s">
        <v>11</v>
      </c>
      <c r="F69" s="16">
        <f>(F42*(1-F52/100)*F50)*F19/100</f>
        <v>20523.291091650441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1060-5F4C-4953-9D1B-6A672C76D78C}">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128" t="s">
        <v>0</v>
      </c>
      <c r="B1" s="128" t="s">
        <v>1</v>
      </c>
      <c r="C1" s="128" t="s">
        <v>1458</v>
      </c>
      <c r="D1" s="128" t="s">
        <v>3</v>
      </c>
      <c r="E1" s="128" t="s">
        <v>5</v>
      </c>
      <c r="F1" s="128" t="s">
        <v>6</v>
      </c>
      <c r="G1" s="128" t="s">
        <v>7</v>
      </c>
      <c r="H1" s="128" t="s">
        <v>8</v>
      </c>
      <c r="I1" s="128" t="s">
        <v>1586</v>
      </c>
    </row>
    <row r="2" spans="1:9" ht="18.75">
      <c r="A2" s="319" t="s">
        <v>1587</v>
      </c>
      <c r="B2" s="319"/>
      <c r="C2" s="319"/>
      <c r="D2" s="319"/>
      <c r="E2" s="319"/>
      <c r="F2" s="319"/>
      <c r="G2" s="319"/>
      <c r="H2" s="319"/>
      <c r="I2" s="2"/>
    </row>
    <row r="3" spans="1:9" ht="45">
      <c r="A3" s="2" t="s">
        <v>10</v>
      </c>
      <c r="B3" s="2"/>
      <c r="C3" s="2" t="s">
        <v>11</v>
      </c>
      <c r="D3" s="2" t="s">
        <v>12</v>
      </c>
      <c r="E3" s="2" t="s">
        <v>13</v>
      </c>
      <c r="F3" s="7" t="s">
        <v>1588</v>
      </c>
      <c r="G3" s="2"/>
      <c r="H3" s="2"/>
      <c r="I3" s="279" t="s">
        <v>1589</v>
      </c>
    </row>
    <row r="4" spans="1:9" ht="18.75">
      <c r="A4" s="319" t="s">
        <v>1590</v>
      </c>
      <c r="B4" s="319"/>
      <c r="C4" s="319"/>
      <c r="D4" s="319"/>
      <c r="E4" s="319"/>
      <c r="F4" s="319"/>
      <c r="G4" s="319"/>
      <c r="H4" s="319"/>
      <c r="I4" s="2"/>
    </row>
    <row r="5" spans="1:9" ht="45">
      <c r="A5" s="130" t="s">
        <v>10</v>
      </c>
      <c r="B5" s="130"/>
      <c r="C5" s="130" t="s">
        <v>11</v>
      </c>
      <c r="D5" s="130" t="s">
        <v>1369</v>
      </c>
      <c r="E5" s="77"/>
      <c r="F5" s="78" t="s">
        <v>1591</v>
      </c>
      <c r="G5" s="77" t="s">
        <v>1592</v>
      </c>
      <c r="H5" s="78" t="s">
        <v>1593</v>
      </c>
    </row>
    <row r="6" spans="1:9" ht="30">
      <c r="A6" s="130" t="s">
        <v>10</v>
      </c>
      <c r="B6" s="130"/>
      <c r="C6" s="130" t="s">
        <v>11</v>
      </c>
      <c r="D6" s="130" t="s">
        <v>1369</v>
      </c>
      <c r="E6" s="77"/>
      <c r="F6" s="78" t="s">
        <v>1594</v>
      </c>
      <c r="G6" s="77" t="s">
        <v>11</v>
      </c>
      <c r="H6" s="78" t="s">
        <v>1595</v>
      </c>
    </row>
    <row r="7" spans="1:9" ht="30">
      <c r="A7" s="130" t="s">
        <v>10</v>
      </c>
      <c r="B7" s="130"/>
      <c r="C7" s="130" t="s">
        <v>11</v>
      </c>
      <c r="D7" s="130" t="s">
        <v>1369</v>
      </c>
      <c r="E7" s="77"/>
      <c r="F7" s="78" t="s">
        <v>1596</v>
      </c>
      <c r="G7" s="77" t="s">
        <v>11</v>
      </c>
      <c r="H7" s="78" t="s">
        <v>1597</v>
      </c>
    </row>
    <row r="8" spans="1:9" ht="30">
      <c r="A8" s="130" t="s">
        <v>10</v>
      </c>
      <c r="B8" s="130"/>
      <c r="C8" s="130" t="s">
        <v>11</v>
      </c>
      <c r="D8" s="130" t="s">
        <v>1369</v>
      </c>
      <c r="E8" s="77"/>
      <c r="F8" s="78" t="s">
        <v>1598</v>
      </c>
      <c r="G8" s="77" t="s">
        <v>11</v>
      </c>
      <c r="H8" s="78" t="s">
        <v>1599</v>
      </c>
    </row>
    <row r="9" spans="1:9" ht="30">
      <c r="A9" s="130" t="s">
        <v>10</v>
      </c>
      <c r="B9" s="130"/>
      <c r="C9" s="130" t="s">
        <v>11</v>
      </c>
      <c r="D9" s="130" t="s">
        <v>1369</v>
      </c>
      <c r="E9" s="77"/>
      <c r="F9" s="78" t="s">
        <v>1600</v>
      </c>
      <c r="G9" s="77" t="s">
        <v>11</v>
      </c>
      <c r="H9" s="78" t="s">
        <v>1599</v>
      </c>
    </row>
    <row r="10" spans="1:9" ht="45">
      <c r="A10" s="130" t="s">
        <v>10</v>
      </c>
      <c r="B10" s="130"/>
      <c r="C10" s="130" t="s">
        <v>11</v>
      </c>
      <c r="D10" s="130" t="s">
        <v>1369</v>
      </c>
      <c r="E10" s="77"/>
      <c r="F10" s="78" t="s">
        <v>1601</v>
      </c>
      <c r="G10" s="77" t="s">
        <v>10</v>
      </c>
      <c r="H10" s="78" t="s">
        <v>1602</v>
      </c>
    </row>
    <row r="11" spans="1:9" ht="18.75">
      <c r="A11" s="319" t="s">
        <v>1603</v>
      </c>
      <c r="B11" s="319"/>
      <c r="C11" s="319"/>
      <c r="D11" s="319"/>
      <c r="E11" s="319"/>
      <c r="F11" s="319"/>
      <c r="G11" s="319"/>
      <c r="H11" s="319"/>
      <c r="I11" s="2"/>
    </row>
    <row r="12" spans="1:9">
      <c r="A12" s="2"/>
      <c r="B12" s="2"/>
      <c r="C12" s="2"/>
      <c r="D12" s="2"/>
    </row>
    <row r="13" spans="1:9">
      <c r="A13" s="2"/>
      <c r="B13" s="2"/>
      <c r="C13" s="2"/>
      <c r="D13" s="2"/>
    </row>
    <row r="14" spans="1:9">
      <c r="A14" s="2"/>
      <c r="B14" s="2"/>
      <c r="C14" s="2"/>
      <c r="D14" s="2"/>
    </row>
    <row r="15" spans="1:9">
      <c r="A15" s="2"/>
      <c r="B15" s="2"/>
      <c r="C15" s="2"/>
      <c r="D15" s="2"/>
    </row>
    <row r="16" spans="1:9">
      <c r="B16" s="2"/>
      <c r="C16" s="2"/>
      <c r="D16" s="2"/>
    </row>
    <row r="17" spans="4:4">
      <c r="D17" s="2"/>
    </row>
    <row r="18" spans="4:4">
      <c r="D18" s="2"/>
    </row>
    <row r="19" spans="4:4">
      <c r="D19" s="2"/>
    </row>
    <row r="20" spans="4:4">
      <c r="D20" s="2"/>
    </row>
    <row r="21" spans="4:4">
      <c r="D21" s="2"/>
    </row>
    <row r="22" spans="4:4">
      <c r="D22" s="2"/>
    </row>
    <row r="23" spans="4:4">
      <c r="D23" s="2"/>
    </row>
    <row r="24" spans="4:4">
      <c r="D24" s="2"/>
    </row>
    <row r="25" spans="4:4">
      <c r="D25" s="2"/>
    </row>
    <row r="26" spans="4:4">
      <c r="D26" s="2"/>
    </row>
    <row r="27" spans="4:4">
      <c r="D27" s="2"/>
    </row>
    <row r="28" spans="4:4">
      <c r="D28" s="2"/>
    </row>
    <row r="29" spans="4:4">
      <c r="D29" s="2"/>
    </row>
    <row r="30" spans="4:4">
      <c r="D30" s="2"/>
    </row>
    <row r="31" spans="4:4">
      <c r="D31" s="2"/>
    </row>
    <row r="32" spans="4: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sheetData>
  <mergeCells count="3">
    <mergeCell ref="A2:H2"/>
    <mergeCell ref="A4:H4"/>
    <mergeCell ref="A11:H11"/>
  </mergeCells>
  <dataValidations count="3">
    <dataValidation type="list" allowBlank="1" showInputMessage="1" showErrorMessage="1" sqref="A12:A15 A3:C3 G6:G10 A5:C10 B12:C16 A44:A200 B44:C203" xr:uid="{D2FB7543-B834-4697-8ABC-25A6485DCBD6}">
      <formula1>"Yes, No"</formula1>
    </dataValidation>
    <dataValidation type="list" allowBlank="1" showInputMessage="1" showErrorMessage="1" sqref="G5" xr:uid="{D3C4E9F5-DBD6-42B0-AE54-CD43A09B5275}">
      <formula1>"Hourly, Annual"</formula1>
    </dataValidation>
    <dataValidation type="list" allowBlank="1" showInputMessage="1" showErrorMessage="1" sqref="D3 D5:D10 D12:D205" xr:uid="{82E06807-B1E4-40B3-8EAF-F20E0AB07CB4}">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A538-18D3-4D2B-9CFF-53C78B132444}">
  <dimension ref="A1:H51"/>
  <sheetViews>
    <sheetView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127" t="s">
        <v>0</v>
      </c>
      <c r="B1" s="127" t="s">
        <v>1</v>
      </c>
      <c r="C1" s="127" t="s">
        <v>1458</v>
      </c>
      <c r="D1" s="128" t="s">
        <v>3</v>
      </c>
      <c r="E1" s="128" t="s">
        <v>5</v>
      </c>
      <c r="F1" s="128" t="s">
        <v>6</v>
      </c>
      <c r="G1" s="128" t="s">
        <v>7</v>
      </c>
      <c r="H1" s="128" t="s">
        <v>8</v>
      </c>
    </row>
    <row r="2" spans="1:8" ht="18.75">
      <c r="A2" s="319" t="s">
        <v>1604</v>
      </c>
      <c r="B2" s="319"/>
      <c r="C2" s="319"/>
      <c r="D2" s="319"/>
      <c r="E2" s="319"/>
      <c r="F2" s="319"/>
      <c r="G2" s="319"/>
      <c r="H2" s="319"/>
    </row>
    <row r="3" spans="1:8" ht="90">
      <c r="A3" s="2" t="s">
        <v>10</v>
      </c>
      <c r="B3" s="2"/>
      <c r="C3" s="2" t="s">
        <v>11</v>
      </c>
      <c r="D3" s="2" t="s">
        <v>1369</v>
      </c>
      <c r="E3" s="2" t="s">
        <v>1605</v>
      </c>
      <c r="F3" s="7" t="s">
        <v>1606</v>
      </c>
      <c r="G3" t="s">
        <v>1105</v>
      </c>
    </row>
    <row r="4" spans="1:8">
      <c r="A4" s="131" t="s">
        <v>10</v>
      </c>
      <c r="B4" s="131"/>
      <c r="C4" s="131" t="s">
        <v>11</v>
      </c>
      <c r="D4" s="131" t="s">
        <v>91</v>
      </c>
      <c r="E4" s="17" t="s">
        <v>1607</v>
      </c>
      <c r="F4" s="18" t="s">
        <v>1608</v>
      </c>
      <c r="G4" s="16">
        <f>IF(AND(G3="Option A"),G6,IF(AND(G3="Option B"),G30))</f>
        <v>0.5164879</v>
      </c>
      <c r="H4" s="17"/>
    </row>
    <row r="5" spans="1:8" ht="18.75">
      <c r="A5" s="319" t="s">
        <v>1609</v>
      </c>
      <c r="B5" s="319"/>
      <c r="C5" s="319"/>
      <c r="D5" s="319"/>
      <c r="E5" s="319"/>
      <c r="F5" s="319"/>
      <c r="G5" s="319"/>
      <c r="H5" s="319"/>
    </row>
    <row r="6" spans="1:8">
      <c r="A6" s="131" t="s">
        <v>10</v>
      </c>
      <c r="B6" s="131"/>
      <c r="C6" s="131" t="s">
        <v>11</v>
      </c>
      <c r="D6" s="131" t="s">
        <v>91</v>
      </c>
      <c r="E6" s="17" t="s">
        <v>1607</v>
      </c>
      <c r="F6" s="18" t="s">
        <v>1608</v>
      </c>
      <c r="G6" s="16">
        <f>SUM(((G14*G11)/G14),((G23*G22)/G23),((G28*G27)/G28))</f>
        <v>0.5164879</v>
      </c>
      <c r="H6" s="17"/>
    </row>
    <row r="7" spans="1:8" ht="18.75">
      <c r="A7" s="319" t="s">
        <v>1610</v>
      </c>
      <c r="B7" s="319"/>
      <c r="C7" s="319"/>
      <c r="D7" s="319"/>
      <c r="E7" s="319"/>
      <c r="F7" s="319"/>
      <c r="G7" s="319"/>
      <c r="H7" s="319"/>
    </row>
    <row r="8" spans="1:8" ht="18.75">
      <c r="A8" s="319" t="s">
        <v>1611</v>
      </c>
      <c r="B8" s="319"/>
      <c r="C8" s="319"/>
      <c r="D8" s="319"/>
      <c r="E8" s="319"/>
      <c r="F8" s="319"/>
      <c r="G8" s="319"/>
      <c r="H8" s="319"/>
    </row>
    <row r="9" spans="1:8" ht="105">
      <c r="A9" s="2" t="s">
        <v>10</v>
      </c>
      <c r="B9" s="2"/>
      <c r="C9" s="2" t="s">
        <v>10</v>
      </c>
      <c r="D9" s="2" t="s">
        <v>1369</v>
      </c>
      <c r="E9" t="s">
        <v>1605</v>
      </c>
      <c r="F9" s="7" t="s">
        <v>1612</v>
      </c>
      <c r="G9" t="s">
        <v>1613</v>
      </c>
    </row>
    <row r="10" spans="1:8" ht="18.75">
      <c r="A10" s="319" t="s">
        <v>1613</v>
      </c>
      <c r="B10" s="319"/>
      <c r="C10" s="319"/>
      <c r="D10" s="319"/>
      <c r="E10" s="319"/>
      <c r="F10" s="319"/>
      <c r="G10" s="319"/>
      <c r="H10" s="319"/>
    </row>
    <row r="11" spans="1:8">
      <c r="A11" s="131" t="s">
        <v>10</v>
      </c>
      <c r="B11" s="131"/>
      <c r="C11" s="131" t="s">
        <v>11</v>
      </c>
      <c r="D11" s="131" t="s">
        <v>91</v>
      </c>
      <c r="E11" s="17" t="s">
        <v>1614</v>
      </c>
      <c r="F11" s="17" t="s">
        <v>1615</v>
      </c>
      <c r="G11" s="16">
        <f>SUM((G18*G19*G20)/G14)</f>
        <v>7.0087900000000009E-2</v>
      </c>
      <c r="H11" s="17"/>
    </row>
    <row r="12" spans="1:8">
      <c r="A12" s="3" t="s">
        <v>10</v>
      </c>
      <c r="B12" s="3"/>
      <c r="C12" s="2" t="s">
        <v>10</v>
      </c>
      <c r="D12" s="2" t="s">
        <v>12</v>
      </c>
      <c r="E12" s="3" t="s">
        <v>1616</v>
      </c>
      <c r="F12" s="3" t="s">
        <v>1617</v>
      </c>
      <c r="G12" s="3"/>
      <c r="H12" s="3"/>
    </row>
    <row r="13" spans="1:8" ht="30">
      <c r="A13" s="3" t="s">
        <v>10</v>
      </c>
      <c r="B13" s="2"/>
      <c r="C13" s="2" t="s">
        <v>10</v>
      </c>
      <c r="D13" s="2" t="s">
        <v>12</v>
      </c>
      <c r="E13" t="s">
        <v>279</v>
      </c>
      <c r="F13" s="7" t="s">
        <v>1618</v>
      </c>
      <c r="G13" t="s">
        <v>1619</v>
      </c>
    </row>
    <row r="14" spans="1:8" ht="30">
      <c r="A14" s="3" t="s">
        <v>10</v>
      </c>
      <c r="B14" s="2"/>
      <c r="C14" s="2" t="s">
        <v>10</v>
      </c>
      <c r="D14" s="2" t="s">
        <v>119</v>
      </c>
      <c r="E14" t="s">
        <v>1620</v>
      </c>
      <c r="F14" s="7" t="s">
        <v>1621</v>
      </c>
      <c r="G14" s="4">
        <v>40</v>
      </c>
    </row>
    <row r="15" spans="1:8">
      <c r="A15" s="3" t="s">
        <v>10</v>
      </c>
      <c r="B15" s="2"/>
      <c r="C15" s="2" t="s">
        <v>10</v>
      </c>
      <c r="D15" s="2" t="s">
        <v>12</v>
      </c>
      <c r="E15" t="s">
        <v>1234</v>
      </c>
      <c r="F15" t="s">
        <v>1622</v>
      </c>
      <c r="G15" s="4">
        <v>2009</v>
      </c>
    </row>
    <row r="16" spans="1:8" ht="18.75">
      <c r="A16" s="306" t="s">
        <v>1623</v>
      </c>
      <c r="B16" s="306"/>
      <c r="C16" s="306"/>
      <c r="D16" s="306"/>
      <c r="E16" s="306"/>
      <c r="F16" s="306"/>
      <c r="G16" s="306"/>
      <c r="H16" s="306"/>
    </row>
    <row r="17" spans="1:8">
      <c r="A17" s="4" t="s">
        <v>10</v>
      </c>
      <c r="B17" s="3"/>
      <c r="C17" s="3" t="s">
        <v>10</v>
      </c>
      <c r="D17" s="2" t="s">
        <v>12</v>
      </c>
      <c r="E17" s="3" t="s">
        <v>1616</v>
      </c>
      <c r="F17" s="3" t="s">
        <v>1617</v>
      </c>
      <c r="G17" s="3" t="s">
        <v>1624</v>
      </c>
      <c r="H17" s="3"/>
    </row>
    <row r="18" spans="1:8" ht="30">
      <c r="A18" s="4" t="s">
        <v>10</v>
      </c>
      <c r="C18" s="2" t="s">
        <v>10</v>
      </c>
      <c r="D18" s="2" t="s">
        <v>119</v>
      </c>
      <c r="E18" t="s">
        <v>1625</v>
      </c>
      <c r="F18" s="7" t="s">
        <v>1626</v>
      </c>
      <c r="G18" s="4">
        <v>1</v>
      </c>
    </row>
    <row r="19" spans="1:8" ht="30">
      <c r="A19" s="4" t="s">
        <v>10</v>
      </c>
      <c r="C19" s="2" t="s">
        <v>10</v>
      </c>
      <c r="D19" s="2" t="s">
        <v>119</v>
      </c>
      <c r="E19" t="s">
        <v>1627</v>
      </c>
      <c r="F19" s="7" t="s">
        <v>1628</v>
      </c>
      <c r="G19" s="4">
        <v>22.609000000000002</v>
      </c>
    </row>
    <row r="20" spans="1:8">
      <c r="A20" s="4" t="s">
        <v>10</v>
      </c>
      <c r="C20" s="2" t="s">
        <v>10</v>
      </c>
      <c r="D20" s="2" t="s">
        <v>119</v>
      </c>
      <c r="E20" t="s">
        <v>1629</v>
      </c>
      <c r="F20" t="s">
        <v>1630</v>
      </c>
      <c r="G20" s="4">
        <v>0.124</v>
      </c>
    </row>
    <row r="21" spans="1:8" ht="18.75">
      <c r="A21" s="319" t="s">
        <v>1336</v>
      </c>
      <c r="B21" s="319"/>
      <c r="C21" s="319"/>
      <c r="D21" s="319"/>
      <c r="E21" s="319"/>
      <c r="F21" s="319"/>
      <c r="G21" s="319"/>
      <c r="H21" s="319"/>
    </row>
    <row r="22" spans="1:8">
      <c r="A22" s="131" t="s">
        <v>10</v>
      </c>
      <c r="B22" s="131"/>
      <c r="C22" s="131" t="s">
        <v>11</v>
      </c>
      <c r="D22" s="131" t="s">
        <v>91</v>
      </c>
      <c r="E22" s="17" t="s">
        <v>1614</v>
      </c>
      <c r="F22" s="18" t="s">
        <v>1631</v>
      </c>
      <c r="G22" s="16">
        <f>(G24*3.6)/G25</f>
        <v>0.44640000000000002</v>
      </c>
      <c r="H22" s="17"/>
    </row>
    <row r="23" spans="1:8" ht="30">
      <c r="A23" s="2" t="s">
        <v>10</v>
      </c>
      <c r="B23" s="2"/>
      <c r="C23" s="2" t="s">
        <v>10</v>
      </c>
      <c r="D23" s="2" t="s">
        <v>119</v>
      </c>
      <c r="E23" t="s">
        <v>1620</v>
      </c>
      <c r="F23" s="7" t="s">
        <v>1621</v>
      </c>
      <c r="G23" s="4">
        <v>40</v>
      </c>
    </row>
    <row r="24" spans="1:8" ht="30">
      <c r="A24" s="2" t="s">
        <v>10</v>
      </c>
      <c r="B24" s="2"/>
      <c r="C24" s="2" t="s">
        <v>10</v>
      </c>
      <c r="D24" s="2" t="s">
        <v>119</v>
      </c>
      <c r="E24" t="s">
        <v>1632</v>
      </c>
      <c r="F24" s="7" t="s">
        <v>1633</v>
      </c>
      <c r="G24" s="4">
        <v>0.124</v>
      </c>
    </row>
    <row r="25" spans="1:8" ht="30">
      <c r="A25" s="2" t="s">
        <v>10</v>
      </c>
      <c r="B25" s="2"/>
      <c r="C25" s="2" t="s">
        <v>10</v>
      </c>
      <c r="D25" s="2" t="s">
        <v>119</v>
      </c>
      <c r="E25" t="s">
        <v>1634</v>
      </c>
      <c r="F25" s="7" t="s">
        <v>1635</v>
      </c>
      <c r="G25" s="4">
        <v>1</v>
      </c>
    </row>
    <row r="26" spans="1:8" ht="18.75">
      <c r="A26" s="306" t="s">
        <v>1636</v>
      </c>
      <c r="B26" s="306"/>
      <c r="C26" s="306"/>
      <c r="D26" s="306"/>
      <c r="E26" s="306"/>
      <c r="F26" s="306"/>
      <c r="G26" s="306"/>
      <c r="H26" s="306"/>
    </row>
    <row r="27" spans="1:8">
      <c r="A27" s="131" t="s">
        <v>10</v>
      </c>
      <c r="B27" s="131"/>
      <c r="C27" s="131" t="s">
        <v>11</v>
      </c>
      <c r="D27" s="131" t="s">
        <v>91</v>
      </c>
      <c r="E27" s="17" t="s">
        <v>1614</v>
      </c>
      <c r="F27" s="18" t="s">
        <v>1615</v>
      </c>
      <c r="G27" s="16">
        <f>0</f>
        <v>0</v>
      </c>
      <c r="H27" s="17"/>
    </row>
    <row r="28" spans="1:8" ht="30">
      <c r="A28" s="2" t="s">
        <v>10</v>
      </c>
      <c r="B28" s="2"/>
      <c r="C28" s="2" t="s">
        <v>10</v>
      </c>
      <c r="D28" s="2" t="s">
        <v>119</v>
      </c>
      <c r="E28" t="s">
        <v>1620</v>
      </c>
      <c r="F28" s="7" t="s">
        <v>1621</v>
      </c>
      <c r="G28" s="4">
        <v>40</v>
      </c>
    </row>
    <row r="29" spans="1:8" ht="18.75">
      <c r="A29" s="319" t="s">
        <v>1637</v>
      </c>
      <c r="B29" s="319"/>
      <c r="C29" s="319"/>
      <c r="D29" s="319"/>
      <c r="E29" s="319"/>
      <c r="F29" s="319"/>
      <c r="G29" s="319"/>
      <c r="H29" s="319"/>
    </row>
    <row r="30" spans="1:8">
      <c r="A30" s="17" t="s">
        <v>10</v>
      </c>
      <c r="B30" s="17"/>
      <c r="C30" s="17" t="s">
        <v>11</v>
      </c>
      <c r="D30" s="131" t="s">
        <v>91</v>
      </c>
      <c r="E30" s="17" t="s">
        <v>1607</v>
      </c>
      <c r="F30" s="17" t="s">
        <v>1638</v>
      </c>
      <c r="G30" s="16">
        <f>SUM((G34*G35*G36),(G39*G40*G41),(G44*G45*G46),(G49*G50*G51))/G31</f>
        <v>0.22200625000000002</v>
      </c>
      <c r="H30" s="17"/>
    </row>
    <row r="31" spans="1:8" ht="45">
      <c r="A31" t="s">
        <v>10</v>
      </c>
      <c r="C31" t="s">
        <v>10</v>
      </c>
      <c r="D31" s="2" t="s">
        <v>119</v>
      </c>
      <c r="E31" t="s">
        <v>1639</v>
      </c>
      <c r="F31" s="7" t="s">
        <v>1640</v>
      </c>
      <c r="G31" s="4">
        <v>40</v>
      </c>
    </row>
    <row r="32" spans="1:8" ht="18.75">
      <c r="A32" s="306" t="s">
        <v>1623</v>
      </c>
      <c r="B32" s="306"/>
      <c r="C32" s="306"/>
      <c r="D32" s="306"/>
      <c r="E32" s="306"/>
      <c r="F32" s="306"/>
      <c r="G32" s="306"/>
      <c r="H32" s="306"/>
    </row>
    <row r="33" spans="1:8">
      <c r="A33" s="3" t="s">
        <v>10</v>
      </c>
      <c r="B33" s="3"/>
      <c r="C33" s="3" t="s">
        <v>10</v>
      </c>
      <c r="D33" s="2" t="s">
        <v>12</v>
      </c>
      <c r="E33" s="3" t="s">
        <v>1616</v>
      </c>
      <c r="F33" s="3" t="s">
        <v>1617</v>
      </c>
      <c r="G33" s="3" t="s">
        <v>1624</v>
      </c>
      <c r="H33" s="3"/>
    </row>
    <row r="34" spans="1:8" ht="30">
      <c r="A34" t="s">
        <v>10</v>
      </c>
      <c r="C34" t="s">
        <v>10</v>
      </c>
      <c r="D34" s="2" t="s">
        <v>119</v>
      </c>
      <c r="E34" t="s">
        <v>1641</v>
      </c>
      <c r="F34" s="7" t="s">
        <v>1626</v>
      </c>
      <c r="G34" s="4">
        <v>1</v>
      </c>
    </row>
    <row r="35" spans="1:8" ht="30">
      <c r="A35" t="s">
        <v>10</v>
      </c>
      <c r="C35" t="s">
        <v>10</v>
      </c>
      <c r="D35" s="2" t="s">
        <v>119</v>
      </c>
      <c r="E35" t="s">
        <v>1627</v>
      </c>
      <c r="F35" s="7" t="s">
        <v>1628</v>
      </c>
      <c r="G35" s="4">
        <v>22.609000000000002</v>
      </c>
    </row>
    <row r="36" spans="1:8">
      <c r="A36" t="s">
        <v>10</v>
      </c>
      <c r="C36" t="s">
        <v>10</v>
      </c>
      <c r="D36" s="2" t="s">
        <v>119</v>
      </c>
      <c r="E36" t="s">
        <v>1629</v>
      </c>
      <c r="F36" t="s">
        <v>1630</v>
      </c>
      <c r="G36" s="4">
        <v>0.12</v>
      </c>
    </row>
    <row r="37" spans="1:8" ht="18.75">
      <c r="A37" s="306" t="s">
        <v>1623</v>
      </c>
      <c r="B37" s="306"/>
      <c r="C37" s="306"/>
      <c r="D37" s="306"/>
      <c r="E37" s="306"/>
      <c r="F37" s="306"/>
      <c r="G37" s="306"/>
      <c r="H37" s="306"/>
    </row>
    <row r="38" spans="1:8">
      <c r="A38" s="3" t="s">
        <v>10</v>
      </c>
      <c r="B38" s="3"/>
      <c r="C38" s="3" t="s">
        <v>10</v>
      </c>
      <c r="D38" s="2" t="s">
        <v>12</v>
      </c>
      <c r="E38" s="3" t="s">
        <v>1616</v>
      </c>
      <c r="F38" s="3" t="s">
        <v>1617</v>
      </c>
      <c r="G38" s="3" t="s">
        <v>1642</v>
      </c>
      <c r="H38" s="3"/>
    </row>
    <row r="39" spans="1:8" ht="30">
      <c r="A39" s="3" t="s">
        <v>10</v>
      </c>
      <c r="C39" t="s">
        <v>10</v>
      </c>
      <c r="D39" s="2" t="s">
        <v>119</v>
      </c>
      <c r="E39" t="s">
        <v>1641</v>
      </c>
      <c r="F39" s="7" t="s">
        <v>1626</v>
      </c>
      <c r="G39" s="4">
        <v>1</v>
      </c>
    </row>
    <row r="40" spans="1:8" ht="30">
      <c r="A40" s="3" t="s">
        <v>10</v>
      </c>
      <c r="C40" t="s">
        <v>10</v>
      </c>
      <c r="D40" s="2" t="s">
        <v>119</v>
      </c>
      <c r="E40" t="s">
        <v>1627</v>
      </c>
      <c r="F40" s="7" t="s">
        <v>1628</v>
      </c>
      <c r="G40" s="4">
        <v>38.936999999999998</v>
      </c>
    </row>
    <row r="41" spans="1:8">
      <c r="A41" s="3" t="s">
        <v>10</v>
      </c>
      <c r="C41" t="s">
        <v>10</v>
      </c>
      <c r="D41" s="2" t="s">
        <v>119</v>
      </c>
      <c r="E41" t="s">
        <v>1629</v>
      </c>
      <c r="F41" t="s">
        <v>1630</v>
      </c>
      <c r="G41" s="4">
        <v>0.08</v>
      </c>
    </row>
    <row r="42" spans="1:8" ht="18.75">
      <c r="A42" s="306" t="s">
        <v>1623</v>
      </c>
      <c r="B42" s="306"/>
      <c r="C42" s="306"/>
      <c r="D42" s="306"/>
      <c r="E42" s="306"/>
      <c r="F42" s="306"/>
      <c r="G42" s="306"/>
      <c r="H42" s="306"/>
    </row>
    <row r="43" spans="1:8">
      <c r="A43" s="3" t="s">
        <v>10</v>
      </c>
      <c r="B43" s="3"/>
      <c r="C43" s="3" t="s">
        <v>10</v>
      </c>
      <c r="D43" s="2" t="s">
        <v>12</v>
      </c>
      <c r="E43" s="3" t="s">
        <v>1616</v>
      </c>
      <c r="F43" s="3" t="s">
        <v>1617</v>
      </c>
      <c r="G43" s="3" t="s">
        <v>1642</v>
      </c>
      <c r="H43" s="3"/>
    </row>
    <row r="44" spans="1:8" ht="30">
      <c r="A44" s="3" t="s">
        <v>10</v>
      </c>
      <c r="C44" t="s">
        <v>10</v>
      </c>
      <c r="D44" s="2" t="s">
        <v>119</v>
      </c>
      <c r="E44" t="s">
        <v>1641</v>
      </c>
      <c r="F44" s="7" t="s">
        <v>1626</v>
      </c>
      <c r="G44" s="4">
        <v>2</v>
      </c>
    </row>
    <row r="45" spans="1:8" ht="30">
      <c r="A45" s="3" t="s">
        <v>10</v>
      </c>
      <c r="C45" t="s">
        <v>10</v>
      </c>
      <c r="D45" s="2" t="s">
        <v>119</v>
      </c>
      <c r="E45" t="s">
        <v>1627</v>
      </c>
      <c r="F45" s="7" t="s">
        <v>1628</v>
      </c>
      <c r="G45" s="4">
        <v>3.5000000000000003E-2</v>
      </c>
    </row>
    <row r="46" spans="1:8">
      <c r="A46" s="3" t="s">
        <v>10</v>
      </c>
      <c r="C46" t="s">
        <v>10</v>
      </c>
      <c r="D46" s="2" t="s">
        <v>119</v>
      </c>
      <c r="E46" t="s">
        <v>1629</v>
      </c>
      <c r="F46" t="s">
        <v>1630</v>
      </c>
      <c r="G46" s="4">
        <v>0.06</v>
      </c>
    </row>
    <row r="47" spans="1:8" ht="18.75">
      <c r="A47" s="306" t="s">
        <v>1623</v>
      </c>
      <c r="B47" s="306"/>
      <c r="C47" s="306"/>
      <c r="D47" s="306"/>
      <c r="E47" s="306"/>
      <c r="F47" s="306"/>
      <c r="G47" s="306"/>
      <c r="H47" s="306"/>
    </row>
    <row r="48" spans="1:8">
      <c r="A48" s="3" t="s">
        <v>10</v>
      </c>
      <c r="B48" s="3"/>
      <c r="C48" s="3" t="s">
        <v>10</v>
      </c>
      <c r="D48" s="2" t="s">
        <v>12</v>
      </c>
      <c r="E48" s="3" t="s">
        <v>1616</v>
      </c>
      <c r="F48" s="3" t="s">
        <v>1617</v>
      </c>
      <c r="G48" s="3" t="s">
        <v>1642</v>
      </c>
      <c r="H48" s="3"/>
    </row>
    <row r="49" spans="1:7" ht="30">
      <c r="A49" s="3" t="s">
        <v>10</v>
      </c>
      <c r="C49" t="s">
        <v>10</v>
      </c>
      <c r="D49" s="2" t="s">
        <v>119</v>
      </c>
      <c r="E49" t="s">
        <v>1641</v>
      </c>
      <c r="F49" s="7" t="s">
        <v>1626</v>
      </c>
      <c r="G49" s="4">
        <v>1</v>
      </c>
    </row>
    <row r="50" spans="1:7" ht="30">
      <c r="A50" s="3" t="s">
        <v>10</v>
      </c>
      <c r="C50" t="s">
        <v>10</v>
      </c>
      <c r="D50" s="2" t="s">
        <v>119</v>
      </c>
      <c r="E50" t="s">
        <v>1627</v>
      </c>
      <c r="F50" s="7" t="s">
        <v>1628</v>
      </c>
      <c r="G50" s="4">
        <v>43.542999999999999</v>
      </c>
    </row>
    <row r="51" spans="1:7">
      <c r="A51" s="3" t="s">
        <v>10</v>
      </c>
      <c r="C51" t="s">
        <v>10</v>
      </c>
      <c r="D51" s="2" t="s">
        <v>119</v>
      </c>
      <c r="E51" t="s">
        <v>1629</v>
      </c>
      <c r="F51" t="s">
        <v>1630</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55E6ADD9-2DCF-47D9-B122-711AE461895B}">
      <formula1>"Option A1, Option A2, Option A3"</formula1>
    </dataValidation>
    <dataValidation type="list" allowBlank="1" showInputMessage="1" showErrorMessage="1" sqref="G3" xr:uid="{F331CF40-F96A-4479-A604-3AB55B564BAC}">
      <formula1>"Option A, Option B"</formula1>
    </dataValidation>
    <dataValidation type="list" allowBlank="1" showInputMessage="1" showErrorMessage="1" sqref="A11:C11 C12 A6:C6 A27:C28 B13:C15 A9:C9 A3:C4 A22:C25" xr:uid="{5334A6D9-97ED-4E9A-8E62-98245CC91754}">
      <formula1>"Yes, No"</formula1>
    </dataValidation>
    <dataValidation type="list" allowBlank="1" showInputMessage="1" showErrorMessage="1" sqref="D6 D17:D20 D27:D28 D48:D51 D22:D25 D30:D31 D9 D11:D15 D33:D36 D38:D41 D43:D46 D3:D4" xr:uid="{83EDDB18-2D2D-439C-BB22-6ADDCA581938}">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171D-238C-4155-84CC-AD54666E80F5}">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127" t="s">
        <v>0</v>
      </c>
      <c r="B1" s="127" t="s">
        <v>1</v>
      </c>
      <c r="C1" s="127" t="s">
        <v>1458</v>
      </c>
      <c r="D1" s="128" t="s">
        <v>3</v>
      </c>
      <c r="E1" s="128" t="s">
        <v>5</v>
      </c>
      <c r="F1" s="128" t="s">
        <v>6</v>
      </c>
      <c r="G1" s="128" t="s">
        <v>7</v>
      </c>
      <c r="H1" s="128" t="s">
        <v>8</v>
      </c>
    </row>
    <row r="2" spans="1:8" ht="18.75">
      <c r="A2" s="319" t="s">
        <v>1643</v>
      </c>
      <c r="B2" s="319"/>
      <c r="C2" s="319"/>
      <c r="D2" s="319"/>
      <c r="E2" s="319"/>
      <c r="F2" s="319"/>
      <c r="G2" s="319"/>
      <c r="H2" s="319"/>
    </row>
    <row r="3" spans="1:8" ht="135">
      <c r="A3" s="2" t="s">
        <v>10</v>
      </c>
      <c r="B3" s="2"/>
      <c r="C3" s="2" t="s">
        <v>11</v>
      </c>
      <c r="D3" s="2" t="s">
        <v>1369</v>
      </c>
      <c r="E3" s="2" t="s">
        <v>1139</v>
      </c>
      <c r="F3" s="7" t="s">
        <v>1644</v>
      </c>
      <c r="G3" s="2" t="s">
        <v>1645</v>
      </c>
      <c r="H3" s="2"/>
    </row>
    <row r="4" spans="1:8" ht="30">
      <c r="A4" s="131" t="s">
        <v>10</v>
      </c>
      <c r="B4" s="131"/>
      <c r="C4" s="131" t="s">
        <v>11</v>
      </c>
      <c r="D4" s="131" t="s">
        <v>91</v>
      </c>
      <c r="E4" s="17" t="s">
        <v>1646</v>
      </c>
      <c r="F4" s="18" t="s">
        <v>1647</v>
      </c>
      <c r="G4" s="16">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17"/>
    </row>
    <row r="5" spans="1:8" ht="18.75">
      <c r="A5" s="319" t="s">
        <v>1648</v>
      </c>
      <c r="B5" s="319"/>
      <c r="C5" s="319"/>
      <c r="D5" s="319"/>
      <c r="E5" s="319"/>
      <c r="F5" s="319"/>
      <c r="G5" s="319"/>
      <c r="H5" s="319"/>
    </row>
    <row r="6" spans="1:8" ht="30">
      <c r="A6" s="131" t="s">
        <v>10</v>
      </c>
      <c r="B6" s="131"/>
      <c r="C6" s="131" t="s">
        <v>11</v>
      </c>
      <c r="D6" s="131" t="s">
        <v>91</v>
      </c>
      <c r="E6" s="17" t="s">
        <v>1649</v>
      </c>
      <c r="F6" s="18" t="s">
        <v>1650</v>
      </c>
      <c r="G6" s="16">
        <f>'Tool 07 Default Lambda'!C16</f>
        <v>0.35</v>
      </c>
      <c r="H6" s="18" t="s">
        <v>1651</v>
      </c>
    </row>
    <row r="7" spans="1:8">
      <c r="A7" s="131" t="s">
        <v>10</v>
      </c>
      <c r="B7" s="131"/>
      <c r="C7" s="131" t="s">
        <v>11</v>
      </c>
      <c r="D7" s="131" t="s">
        <v>91</v>
      </c>
      <c r="E7" s="17" t="s">
        <v>1652</v>
      </c>
      <c r="F7" s="18" t="s">
        <v>1653</v>
      </c>
      <c r="G7" s="16">
        <f>(AVERAGE(G8,G9,G10,G11,G12))/(AVERAGE(G13,G14,G15,G16,G17))*(100)</f>
        <v>25</v>
      </c>
      <c r="H7" s="17"/>
    </row>
    <row r="8" spans="1:8" ht="30">
      <c r="A8" s="2" t="s">
        <v>10</v>
      </c>
      <c r="B8" s="2"/>
      <c r="C8" s="2" t="s">
        <v>10</v>
      </c>
      <c r="D8" s="2" t="s">
        <v>119</v>
      </c>
      <c r="E8" t="s">
        <v>1654</v>
      </c>
      <c r="F8" s="7" t="s">
        <v>1655</v>
      </c>
      <c r="G8" s="4">
        <v>10</v>
      </c>
    </row>
    <row r="9" spans="1:8" ht="30">
      <c r="A9" s="2" t="s">
        <v>10</v>
      </c>
      <c r="B9" s="2"/>
      <c r="C9" s="2" t="s">
        <v>10</v>
      </c>
      <c r="D9" s="2" t="s">
        <v>119</v>
      </c>
      <c r="E9" t="s">
        <v>1656</v>
      </c>
      <c r="F9" s="7" t="s">
        <v>1657</v>
      </c>
      <c r="G9" s="4">
        <v>10</v>
      </c>
    </row>
    <row r="10" spans="1:8" ht="30">
      <c r="A10" s="2" t="s">
        <v>10</v>
      </c>
      <c r="B10" s="2"/>
      <c r="C10" s="2" t="s">
        <v>10</v>
      </c>
      <c r="D10" s="2" t="s">
        <v>119</v>
      </c>
      <c r="E10" t="s">
        <v>1658</v>
      </c>
      <c r="F10" s="7" t="s">
        <v>1659</v>
      </c>
      <c r="G10" s="4">
        <v>10</v>
      </c>
    </row>
    <row r="11" spans="1:8" ht="30">
      <c r="A11" s="2" t="s">
        <v>10</v>
      </c>
      <c r="B11" s="2"/>
      <c r="C11" s="2" t="s">
        <v>10</v>
      </c>
      <c r="D11" s="2" t="s">
        <v>119</v>
      </c>
      <c r="E11" t="s">
        <v>1660</v>
      </c>
      <c r="F11" s="7" t="s">
        <v>1661</v>
      </c>
      <c r="G11" s="4">
        <v>10</v>
      </c>
    </row>
    <row r="12" spans="1:8" ht="30">
      <c r="A12" s="2" t="s">
        <v>10</v>
      </c>
      <c r="B12" s="2"/>
      <c r="C12" s="2" t="s">
        <v>10</v>
      </c>
      <c r="D12" s="2" t="s">
        <v>119</v>
      </c>
      <c r="E12" t="s">
        <v>1662</v>
      </c>
      <c r="F12" s="7" t="s">
        <v>1663</v>
      </c>
      <c r="G12" s="4">
        <v>10</v>
      </c>
    </row>
    <row r="13" spans="1:8" ht="30">
      <c r="A13" s="2" t="s">
        <v>10</v>
      </c>
      <c r="B13" s="2"/>
      <c r="C13" s="2" t="s">
        <v>10</v>
      </c>
      <c r="D13" s="2" t="s">
        <v>119</v>
      </c>
      <c r="E13" t="s">
        <v>1664</v>
      </c>
      <c r="F13" s="7" t="s">
        <v>1665</v>
      </c>
      <c r="G13" s="4">
        <v>40</v>
      </c>
    </row>
    <row r="14" spans="1:8" ht="30">
      <c r="A14" s="2" t="s">
        <v>10</v>
      </c>
      <c r="B14" s="2"/>
      <c r="C14" s="2" t="s">
        <v>10</v>
      </c>
      <c r="D14" s="2" t="s">
        <v>119</v>
      </c>
      <c r="E14" t="s">
        <v>1666</v>
      </c>
      <c r="F14" s="7" t="s">
        <v>1665</v>
      </c>
      <c r="G14" s="4">
        <v>40</v>
      </c>
    </row>
    <row r="15" spans="1:8" ht="30">
      <c r="A15" s="2" t="s">
        <v>10</v>
      </c>
      <c r="B15" s="2"/>
      <c r="C15" s="2" t="s">
        <v>10</v>
      </c>
      <c r="D15" s="2" t="s">
        <v>119</v>
      </c>
      <c r="E15" t="s">
        <v>1667</v>
      </c>
      <c r="F15" s="7" t="s">
        <v>1665</v>
      </c>
      <c r="G15" s="4">
        <v>40</v>
      </c>
    </row>
    <row r="16" spans="1:8" ht="30">
      <c r="A16" s="2" t="s">
        <v>10</v>
      </c>
      <c r="B16" s="2"/>
      <c r="C16" s="2" t="s">
        <v>10</v>
      </c>
      <c r="D16" s="2" t="s">
        <v>119</v>
      </c>
      <c r="E16" t="s">
        <v>1668</v>
      </c>
      <c r="F16" s="7" t="s">
        <v>1665</v>
      </c>
      <c r="G16" s="4">
        <v>40</v>
      </c>
    </row>
    <row r="17" spans="1:8" ht="30">
      <c r="A17" s="2" t="s">
        <v>10</v>
      </c>
      <c r="B17" s="2"/>
      <c r="C17" s="2" t="s">
        <v>10</v>
      </c>
      <c r="D17" s="2" t="s">
        <v>119</v>
      </c>
      <c r="E17" t="s">
        <v>1669</v>
      </c>
      <c r="F17" s="7" t="s">
        <v>1665</v>
      </c>
      <c r="G17" s="4">
        <v>40</v>
      </c>
    </row>
    <row r="18" spans="1:8">
      <c r="A18" s="2" t="s">
        <v>10</v>
      </c>
      <c r="B18" s="2"/>
      <c r="C18" s="2" t="s">
        <v>10</v>
      </c>
      <c r="D18" s="2" t="s">
        <v>119</v>
      </c>
      <c r="E18" t="s">
        <v>1670</v>
      </c>
      <c r="F18" s="7" t="s">
        <v>1671</v>
      </c>
      <c r="G18" s="4">
        <v>2009</v>
      </c>
    </row>
    <row r="19" spans="1:8" ht="18.75">
      <c r="A19" s="319" t="s">
        <v>1672</v>
      </c>
      <c r="B19" s="319"/>
      <c r="C19" s="319"/>
      <c r="D19" s="319"/>
      <c r="E19" s="319"/>
      <c r="F19" s="319"/>
      <c r="G19" s="319"/>
      <c r="H19" s="319"/>
    </row>
    <row r="20" spans="1:8" ht="30">
      <c r="A20" s="2" t="s">
        <v>10</v>
      </c>
      <c r="B20" s="2"/>
      <c r="C20" s="2" t="s">
        <v>10</v>
      </c>
      <c r="D20" s="2" t="s">
        <v>119</v>
      </c>
      <c r="E20" t="s">
        <v>1649</v>
      </c>
      <c r="F20" s="7" t="s">
        <v>1650</v>
      </c>
      <c r="G20" s="4">
        <v>50</v>
      </c>
    </row>
    <row r="21" spans="1:8">
      <c r="A21" s="2" t="s">
        <v>10</v>
      </c>
      <c r="B21" s="2"/>
      <c r="C21" s="2" t="s">
        <v>10</v>
      </c>
      <c r="D21" s="2" t="s">
        <v>12</v>
      </c>
      <c r="E21" t="s">
        <v>1673</v>
      </c>
      <c r="F21" s="7" t="s">
        <v>1674</v>
      </c>
      <c r="G21" s="4"/>
    </row>
    <row r="22" spans="1:8">
      <c r="A22" s="2" t="s">
        <v>10</v>
      </c>
      <c r="B22" s="2"/>
      <c r="C22" s="2" t="s">
        <v>10</v>
      </c>
      <c r="D22" s="2" t="s">
        <v>1675</v>
      </c>
      <c r="E22" t="s">
        <v>1676</v>
      </c>
      <c r="F22" s="7" t="s">
        <v>1677</v>
      </c>
      <c r="G22" s="4"/>
    </row>
    <row r="23" spans="1:8" ht="18.75">
      <c r="A23" s="319" t="s">
        <v>1678</v>
      </c>
      <c r="B23" s="319"/>
      <c r="C23" s="319"/>
      <c r="D23" s="319"/>
      <c r="E23" s="319"/>
      <c r="F23" s="319"/>
      <c r="G23" s="319"/>
      <c r="H23" s="319"/>
    </row>
    <row r="24" spans="1:8" ht="18.75">
      <c r="A24" s="319" t="s">
        <v>1610</v>
      </c>
      <c r="B24" s="319"/>
      <c r="C24" s="319"/>
      <c r="D24" s="319"/>
      <c r="E24" s="319"/>
      <c r="F24" s="319"/>
      <c r="G24" s="319"/>
      <c r="H24" s="319"/>
    </row>
    <row r="25" spans="1:8" ht="18.75">
      <c r="A25" s="319" t="s">
        <v>1679</v>
      </c>
      <c r="B25" s="319"/>
      <c r="C25" s="319"/>
      <c r="D25" s="319"/>
      <c r="E25" s="319"/>
      <c r="F25" s="319"/>
      <c r="G25" s="319"/>
      <c r="H25" s="319"/>
    </row>
    <row r="26" spans="1:8" ht="105">
      <c r="A26" s="2" t="s">
        <v>10</v>
      </c>
      <c r="B26" s="2"/>
      <c r="C26" s="2" t="s">
        <v>11</v>
      </c>
      <c r="D26" s="2" t="s">
        <v>1369</v>
      </c>
      <c r="E26" t="s">
        <v>1605</v>
      </c>
      <c r="F26" s="7" t="s">
        <v>1612</v>
      </c>
      <c r="G26" t="s">
        <v>1613</v>
      </c>
    </row>
    <row r="27" spans="1:8" ht="18.75">
      <c r="A27" s="319" t="s">
        <v>1613</v>
      </c>
      <c r="B27" s="319"/>
      <c r="C27" s="319"/>
      <c r="D27" s="319"/>
      <c r="E27" s="319"/>
      <c r="F27" s="319"/>
      <c r="G27" s="319"/>
      <c r="H27" s="319"/>
    </row>
    <row r="28" spans="1:8">
      <c r="A28" s="131" t="s">
        <v>10</v>
      </c>
      <c r="B28" s="131"/>
      <c r="C28" s="131" t="s">
        <v>11</v>
      </c>
      <c r="D28" s="131" t="s">
        <v>91</v>
      </c>
      <c r="E28" s="17" t="s">
        <v>1614</v>
      </c>
      <c r="F28" s="18" t="s">
        <v>1615</v>
      </c>
      <c r="G28" s="16">
        <f>SUM((G35*G36*G37)/G31)</f>
        <v>7.0087900000000009E-2</v>
      </c>
      <c r="H28" s="17"/>
    </row>
    <row r="29" spans="1:8">
      <c r="A29" s="2" t="s">
        <v>10</v>
      </c>
      <c r="B29" s="3"/>
      <c r="C29" s="3" t="s">
        <v>10</v>
      </c>
      <c r="D29" s="2" t="s">
        <v>12</v>
      </c>
      <c r="E29" s="3" t="s">
        <v>1616</v>
      </c>
      <c r="F29" s="3" t="s">
        <v>1617</v>
      </c>
      <c r="G29" s="3"/>
      <c r="H29" s="3"/>
    </row>
    <row r="30" spans="1:8" ht="30">
      <c r="A30" s="2" t="s">
        <v>10</v>
      </c>
      <c r="B30" s="2"/>
      <c r="C30" s="2" t="s">
        <v>10</v>
      </c>
      <c r="D30" s="2" t="s">
        <v>12</v>
      </c>
      <c r="E30" t="s">
        <v>279</v>
      </c>
      <c r="F30" s="7" t="s">
        <v>1618</v>
      </c>
      <c r="G30" t="s">
        <v>1619</v>
      </c>
    </row>
    <row r="31" spans="1:8" ht="30">
      <c r="A31" s="2" t="s">
        <v>10</v>
      </c>
      <c r="B31" s="2"/>
      <c r="C31" s="2" t="s">
        <v>10</v>
      </c>
      <c r="D31" s="2" t="s">
        <v>119</v>
      </c>
      <c r="E31" t="s">
        <v>1620</v>
      </c>
      <c r="F31" s="7" t="s">
        <v>1621</v>
      </c>
      <c r="G31" s="4">
        <v>40</v>
      </c>
    </row>
    <row r="32" spans="1:8">
      <c r="A32" s="2" t="s">
        <v>10</v>
      </c>
      <c r="B32" s="2"/>
      <c r="C32" s="2" t="s">
        <v>10</v>
      </c>
      <c r="D32" s="2" t="s">
        <v>12</v>
      </c>
      <c r="E32" t="s">
        <v>1234</v>
      </c>
      <c r="F32" s="7" t="s">
        <v>1622</v>
      </c>
      <c r="G32" s="4">
        <v>2009</v>
      </c>
    </row>
    <row r="33" spans="1:8" ht="18.75">
      <c r="A33" s="306" t="s">
        <v>1623</v>
      </c>
      <c r="B33" s="306"/>
      <c r="C33" s="306"/>
      <c r="D33" s="306"/>
      <c r="E33" s="306"/>
      <c r="F33" s="306"/>
      <c r="G33" s="306"/>
      <c r="H33" s="306"/>
    </row>
    <row r="34" spans="1:8">
      <c r="A34" s="3" t="s">
        <v>10</v>
      </c>
      <c r="B34" s="3"/>
      <c r="C34" s="3" t="s">
        <v>10</v>
      </c>
      <c r="D34" s="2" t="s">
        <v>12</v>
      </c>
      <c r="E34" s="3" t="s">
        <v>1616</v>
      </c>
      <c r="F34" s="8" t="s">
        <v>1617</v>
      </c>
      <c r="G34" s="3" t="s">
        <v>1624</v>
      </c>
      <c r="H34" s="3"/>
    </row>
    <row r="35" spans="1:8" ht="30">
      <c r="A35" s="3" t="s">
        <v>10</v>
      </c>
      <c r="C35" s="3" t="s">
        <v>10</v>
      </c>
      <c r="D35" s="2" t="s">
        <v>119</v>
      </c>
      <c r="E35" t="s">
        <v>1625</v>
      </c>
      <c r="F35" s="7" t="s">
        <v>1626</v>
      </c>
      <c r="G35" s="4">
        <v>1</v>
      </c>
    </row>
    <row r="36" spans="1:8" ht="30">
      <c r="A36" s="3" t="s">
        <v>10</v>
      </c>
      <c r="C36" s="3" t="s">
        <v>10</v>
      </c>
      <c r="D36" s="2" t="s">
        <v>119</v>
      </c>
      <c r="E36" t="s">
        <v>1627</v>
      </c>
      <c r="F36" s="7" t="s">
        <v>1628</v>
      </c>
      <c r="G36" s="4">
        <v>22.609000000000002</v>
      </c>
    </row>
    <row r="37" spans="1:8">
      <c r="A37" s="3" t="s">
        <v>10</v>
      </c>
      <c r="C37" s="3" t="s">
        <v>10</v>
      </c>
      <c r="D37" s="2" t="s">
        <v>119</v>
      </c>
      <c r="E37" t="s">
        <v>1629</v>
      </c>
      <c r="F37" t="s">
        <v>1630</v>
      </c>
      <c r="G37" s="4">
        <v>0.124</v>
      </c>
    </row>
    <row r="38" spans="1:8" ht="18.75">
      <c r="A38" s="319" t="s">
        <v>1336</v>
      </c>
      <c r="B38" s="319"/>
      <c r="C38" s="319"/>
      <c r="D38" s="319"/>
      <c r="E38" s="319"/>
      <c r="F38" s="319"/>
      <c r="G38" s="319"/>
      <c r="H38" s="319"/>
    </row>
    <row r="39" spans="1:8">
      <c r="A39" s="131" t="s">
        <v>10</v>
      </c>
      <c r="B39" s="131"/>
      <c r="C39" s="131" t="s">
        <v>11</v>
      </c>
      <c r="D39" s="131" t="s">
        <v>91</v>
      </c>
      <c r="E39" s="17" t="s">
        <v>1614</v>
      </c>
      <c r="F39" s="18" t="s">
        <v>1631</v>
      </c>
      <c r="G39" s="16">
        <f>(G41*3.6)/G42</f>
        <v>0.44640000000000002</v>
      </c>
      <c r="H39" s="17"/>
    </row>
    <row r="40" spans="1:8" ht="30">
      <c r="A40" s="2" t="s">
        <v>10</v>
      </c>
      <c r="B40" s="2"/>
      <c r="C40" s="2" t="s">
        <v>10</v>
      </c>
      <c r="D40" s="2" t="s">
        <v>119</v>
      </c>
      <c r="E40" t="s">
        <v>1620</v>
      </c>
      <c r="F40" s="7" t="s">
        <v>1621</v>
      </c>
      <c r="G40" s="4">
        <v>40</v>
      </c>
    </row>
    <row r="41" spans="1:8" ht="30">
      <c r="A41" s="2" t="s">
        <v>10</v>
      </c>
      <c r="B41" s="2"/>
      <c r="C41" s="2" t="s">
        <v>10</v>
      </c>
      <c r="D41" s="2" t="s">
        <v>119</v>
      </c>
      <c r="E41" t="s">
        <v>1632</v>
      </c>
      <c r="F41" s="7" t="s">
        <v>1633</v>
      </c>
      <c r="G41" s="4">
        <v>0.124</v>
      </c>
    </row>
    <row r="42" spans="1:8" ht="30">
      <c r="A42" s="2" t="s">
        <v>10</v>
      </c>
      <c r="B42" s="2"/>
      <c r="C42" s="2" t="s">
        <v>10</v>
      </c>
      <c r="D42" s="2" t="s">
        <v>119</v>
      </c>
      <c r="E42" t="s">
        <v>1634</v>
      </c>
      <c r="F42" s="7" t="s">
        <v>1635</v>
      </c>
      <c r="G42" s="4">
        <v>1</v>
      </c>
    </row>
    <row r="43" spans="1:8" ht="18.75">
      <c r="A43" s="306" t="s">
        <v>1636</v>
      </c>
      <c r="B43" s="306"/>
      <c r="C43" s="306"/>
      <c r="D43" s="306"/>
      <c r="E43" s="306"/>
      <c r="F43" s="306"/>
      <c r="G43" s="306"/>
      <c r="H43" s="306"/>
    </row>
    <row r="44" spans="1:8">
      <c r="A44" s="131" t="s">
        <v>10</v>
      </c>
      <c r="B44" s="131"/>
      <c r="C44" s="131" t="s">
        <v>11</v>
      </c>
      <c r="D44" s="131" t="s">
        <v>91</v>
      </c>
      <c r="E44" s="17" t="s">
        <v>1614</v>
      </c>
      <c r="F44" s="18" t="s">
        <v>1615</v>
      </c>
      <c r="G44" s="16">
        <f>0</f>
        <v>0</v>
      </c>
      <c r="H44" s="17"/>
    </row>
    <row r="45" spans="1:8" ht="30">
      <c r="A45" s="2" t="s">
        <v>10</v>
      </c>
      <c r="B45" s="2"/>
      <c r="C45" s="2" t="s">
        <v>10</v>
      </c>
      <c r="D45" s="2" t="s">
        <v>119</v>
      </c>
      <c r="E45" t="s">
        <v>1620</v>
      </c>
      <c r="F45" s="7" t="s">
        <v>1621</v>
      </c>
      <c r="G45" s="4">
        <v>40</v>
      </c>
    </row>
    <row r="46" spans="1:8" ht="18.75">
      <c r="A46" s="319" t="s">
        <v>1680</v>
      </c>
      <c r="B46" s="319"/>
      <c r="C46" s="319"/>
      <c r="D46" s="319"/>
      <c r="E46" s="319"/>
      <c r="F46" s="319"/>
      <c r="G46" s="319"/>
      <c r="H46" s="319"/>
    </row>
    <row r="47" spans="1:8" ht="18.75">
      <c r="A47" s="319" t="s">
        <v>1610</v>
      </c>
      <c r="B47" s="319"/>
      <c r="C47" s="319"/>
      <c r="D47" s="319"/>
      <c r="E47" s="319"/>
      <c r="F47" s="319"/>
      <c r="G47" s="319"/>
      <c r="H47" s="319"/>
    </row>
    <row r="48" spans="1:8" ht="18.75">
      <c r="A48" s="319" t="s">
        <v>1679</v>
      </c>
      <c r="B48" s="319"/>
      <c r="C48" s="319"/>
      <c r="D48" s="319"/>
      <c r="E48" s="319"/>
      <c r="F48" s="319"/>
      <c r="G48" s="319"/>
      <c r="H48" s="319"/>
    </row>
    <row r="49" spans="1:8" ht="105">
      <c r="A49" s="2" t="s">
        <v>10</v>
      </c>
      <c r="B49" s="2"/>
      <c r="C49" s="2" t="s">
        <v>11</v>
      </c>
      <c r="D49" s="2" t="s">
        <v>1369</v>
      </c>
      <c r="E49" t="s">
        <v>1605</v>
      </c>
      <c r="F49" s="7" t="s">
        <v>1612</v>
      </c>
      <c r="G49" t="s">
        <v>1636</v>
      </c>
    </row>
    <row r="50" spans="1:8" ht="18.75">
      <c r="A50" s="319" t="s">
        <v>1613</v>
      </c>
      <c r="B50" s="319"/>
      <c r="C50" s="319"/>
      <c r="D50" s="319"/>
      <c r="E50" s="319"/>
      <c r="F50" s="319"/>
      <c r="G50" s="319"/>
      <c r="H50" s="319"/>
    </row>
    <row r="51" spans="1:8">
      <c r="A51" s="131" t="s">
        <v>10</v>
      </c>
      <c r="B51" s="131"/>
      <c r="C51" s="131" t="s">
        <v>11</v>
      </c>
      <c r="D51" s="131" t="s">
        <v>91</v>
      </c>
      <c r="E51" s="17" t="s">
        <v>1681</v>
      </c>
      <c r="F51" s="18" t="s">
        <v>1615</v>
      </c>
      <c r="G51" s="16">
        <f>SUM((G58*G59*G60)/G54)</f>
        <v>7.0087900000000009E-2</v>
      </c>
      <c r="H51" s="17"/>
    </row>
    <row r="52" spans="1:8">
      <c r="A52" s="3" t="s">
        <v>10</v>
      </c>
      <c r="B52" s="3"/>
      <c r="C52" s="3" t="s">
        <v>10</v>
      </c>
      <c r="D52" s="2" t="s">
        <v>12</v>
      </c>
      <c r="E52" s="3" t="s">
        <v>1616</v>
      </c>
      <c r="F52" s="3" t="s">
        <v>1617</v>
      </c>
      <c r="G52" s="3"/>
      <c r="H52" s="3"/>
    </row>
    <row r="53" spans="1:8" ht="30">
      <c r="A53" s="2" t="s">
        <v>10</v>
      </c>
      <c r="B53" s="2"/>
      <c r="C53" s="3" t="s">
        <v>10</v>
      </c>
      <c r="D53" s="2" t="s">
        <v>12</v>
      </c>
      <c r="E53" t="s">
        <v>1245</v>
      </c>
      <c r="F53" s="7" t="s">
        <v>1682</v>
      </c>
      <c r="G53" t="s">
        <v>1619</v>
      </c>
    </row>
    <row r="54" spans="1:8" ht="30">
      <c r="A54" s="2" t="s">
        <v>10</v>
      </c>
      <c r="B54" s="2"/>
      <c r="C54" s="3" t="s">
        <v>10</v>
      </c>
      <c r="D54" s="2" t="s">
        <v>119</v>
      </c>
      <c r="E54" t="s">
        <v>1683</v>
      </c>
      <c r="F54" s="7" t="s">
        <v>1621</v>
      </c>
      <c r="G54" s="4">
        <v>40</v>
      </c>
    </row>
    <row r="55" spans="1:8">
      <c r="A55" s="2" t="s">
        <v>10</v>
      </c>
      <c r="B55" s="2"/>
      <c r="C55" s="3" t="s">
        <v>10</v>
      </c>
      <c r="D55" s="2" t="s">
        <v>12</v>
      </c>
      <c r="E55" t="s">
        <v>1234</v>
      </c>
      <c r="F55" t="s">
        <v>1622</v>
      </c>
      <c r="G55" s="4">
        <v>2009</v>
      </c>
    </row>
    <row r="56" spans="1:8" ht="18.75">
      <c r="A56" s="306" t="s">
        <v>1623</v>
      </c>
      <c r="B56" s="306"/>
      <c r="C56" s="306"/>
      <c r="D56" s="306"/>
      <c r="E56" s="306"/>
      <c r="F56" s="306"/>
      <c r="G56" s="306"/>
      <c r="H56" s="306"/>
    </row>
    <row r="57" spans="1:8">
      <c r="A57" s="3" t="s">
        <v>10</v>
      </c>
      <c r="B57" s="3"/>
      <c r="C57" s="3" t="s">
        <v>10</v>
      </c>
      <c r="D57" s="2" t="s">
        <v>12</v>
      </c>
      <c r="E57" s="3" t="s">
        <v>1616</v>
      </c>
      <c r="F57" s="3" t="s">
        <v>1617</v>
      </c>
      <c r="G57" s="3" t="s">
        <v>1624</v>
      </c>
      <c r="H57" s="3"/>
    </row>
    <row r="58" spans="1:8" ht="30">
      <c r="A58" s="3" t="s">
        <v>10</v>
      </c>
      <c r="C58" s="3" t="s">
        <v>10</v>
      </c>
      <c r="D58" s="2" t="s">
        <v>119</v>
      </c>
      <c r="E58" t="s">
        <v>1684</v>
      </c>
      <c r="F58" s="7" t="s">
        <v>1626</v>
      </c>
      <c r="G58" s="4">
        <v>1</v>
      </c>
    </row>
    <row r="59" spans="1:8" ht="30">
      <c r="A59" s="3" t="s">
        <v>10</v>
      </c>
      <c r="C59" s="3" t="s">
        <v>10</v>
      </c>
      <c r="D59" s="2" t="s">
        <v>119</v>
      </c>
      <c r="E59" t="s">
        <v>1627</v>
      </c>
      <c r="F59" s="7" t="s">
        <v>1628</v>
      </c>
      <c r="G59" s="4">
        <v>22.609000000000002</v>
      </c>
    </row>
    <row r="60" spans="1:8">
      <c r="A60" s="3" t="s">
        <v>10</v>
      </c>
      <c r="C60" s="3" t="s">
        <v>10</v>
      </c>
      <c r="D60" s="2" t="s">
        <v>119</v>
      </c>
      <c r="E60" t="s">
        <v>1629</v>
      </c>
      <c r="F60" t="s">
        <v>1630</v>
      </c>
      <c r="G60" s="4">
        <v>0.124</v>
      </c>
    </row>
    <row r="61" spans="1:8" ht="18.75">
      <c r="A61" s="319" t="s">
        <v>1336</v>
      </c>
      <c r="B61" s="319"/>
      <c r="C61" s="319"/>
      <c r="D61" s="319"/>
      <c r="E61" s="319"/>
      <c r="F61" s="319"/>
      <c r="G61" s="319"/>
      <c r="H61" s="319"/>
    </row>
    <row r="62" spans="1:8">
      <c r="A62" s="131" t="s">
        <v>10</v>
      </c>
      <c r="B62" s="131"/>
      <c r="C62" s="131" t="s">
        <v>11</v>
      </c>
      <c r="D62" s="131" t="s">
        <v>91</v>
      </c>
      <c r="E62" s="17" t="s">
        <v>1681</v>
      </c>
      <c r="F62" s="18" t="s">
        <v>1631</v>
      </c>
      <c r="G62" s="16">
        <f>(G64*3.6)/G65</f>
        <v>0.44640000000000002</v>
      </c>
      <c r="H62" s="17"/>
    </row>
    <row r="63" spans="1:8" ht="30">
      <c r="A63" s="2" t="s">
        <v>10</v>
      </c>
      <c r="B63" s="2"/>
      <c r="C63" s="2" t="s">
        <v>10</v>
      </c>
      <c r="D63" s="2" t="s">
        <v>119</v>
      </c>
      <c r="E63" t="s">
        <v>1683</v>
      </c>
      <c r="F63" s="7" t="s">
        <v>1621</v>
      </c>
      <c r="G63" s="4">
        <v>40</v>
      </c>
    </row>
    <row r="64" spans="1:8" ht="30">
      <c r="A64" s="2" t="s">
        <v>10</v>
      </c>
      <c r="B64" s="2"/>
      <c r="C64" s="2" t="s">
        <v>10</v>
      </c>
      <c r="D64" s="2" t="s">
        <v>119</v>
      </c>
      <c r="E64" t="s">
        <v>1685</v>
      </c>
      <c r="F64" s="7" t="s">
        <v>1633</v>
      </c>
      <c r="G64" s="4">
        <v>0.124</v>
      </c>
    </row>
    <row r="65" spans="1:8" ht="30">
      <c r="A65" s="2" t="s">
        <v>10</v>
      </c>
      <c r="B65" s="2"/>
      <c r="C65" s="2" t="s">
        <v>10</v>
      </c>
      <c r="D65" s="2" t="s">
        <v>119</v>
      </c>
      <c r="E65" t="s">
        <v>1686</v>
      </c>
      <c r="F65" s="7" t="s">
        <v>1635</v>
      </c>
      <c r="G65" s="4">
        <v>1</v>
      </c>
    </row>
    <row r="66" spans="1:8" ht="18.75">
      <c r="A66" s="306" t="s">
        <v>1636</v>
      </c>
      <c r="B66" s="306"/>
      <c r="C66" s="306"/>
      <c r="D66" s="306"/>
      <c r="E66" s="306"/>
      <c r="F66" s="306"/>
      <c r="G66" s="306"/>
      <c r="H66" s="306"/>
    </row>
    <row r="67" spans="1:8">
      <c r="A67" s="131" t="s">
        <v>10</v>
      </c>
      <c r="B67" s="131"/>
      <c r="C67" s="131" t="s">
        <v>11</v>
      </c>
      <c r="D67" s="131" t="s">
        <v>91</v>
      </c>
      <c r="E67" s="17" t="s">
        <v>1681</v>
      </c>
      <c r="F67" s="18" t="s">
        <v>1615</v>
      </c>
      <c r="G67" s="16">
        <f>0</f>
        <v>0</v>
      </c>
      <c r="H67" s="17"/>
    </row>
    <row r="68" spans="1:8" ht="30">
      <c r="A68" s="2" t="s">
        <v>10</v>
      </c>
      <c r="B68" s="2"/>
      <c r="C68" s="2" t="s">
        <v>10</v>
      </c>
      <c r="D68" s="2" t="s">
        <v>119</v>
      </c>
      <c r="E68" t="s">
        <v>1683</v>
      </c>
      <c r="F68" s="7" t="s">
        <v>1621</v>
      </c>
      <c r="G68" s="4">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B1FA72B5-AC36-4EFD-BAF3-2CA1BD6996D9}">
      <formula1>"Approach 1,Approach 2"</formula1>
    </dataValidation>
    <dataValidation type="list" allowBlank="1" showInputMessage="1" showErrorMessage="1" sqref="G26 G49" xr:uid="{3CB7AB8C-5F8E-4102-AAEF-1F16D4D9AEDF}">
      <formula1>"Option A1, Option A2, Option A3"</formula1>
    </dataValidation>
    <dataValidation type="list" allowBlank="1" showInputMessage="1" showErrorMessage="1" sqref="D51:D55 D20:D22 D6:D18 D34:D37 D44:D45 D39:D42 D26 D28:D32 D57:D60 D67:D68 D62:D65 D49 D3:D4" xr:uid="{2133B605-42E0-4198-8CF2-4723AF1F544F}">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DF9FADC1-24F5-419F-9418-4F90BD982DD5}">
      <formula1>"Yes, No"</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F5BE-8E5C-4127-B4A6-9CC850E16275}">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132" t="s">
        <v>1687</v>
      </c>
      <c r="C2" s="133" t="s">
        <v>1688</v>
      </c>
    </row>
    <row r="3" spans="2:3">
      <c r="B3" s="94" t="s">
        <v>1689</v>
      </c>
      <c r="C3" s="134">
        <v>1</v>
      </c>
    </row>
    <row r="4" spans="2:3">
      <c r="B4" s="94" t="s">
        <v>1690</v>
      </c>
      <c r="C4" s="134">
        <v>0.95</v>
      </c>
    </row>
    <row r="5" spans="2:3">
      <c r="B5" s="94" t="s">
        <v>1691</v>
      </c>
      <c r="C5" s="134">
        <v>0.9</v>
      </c>
    </row>
    <row r="6" spans="2:3">
      <c r="B6" s="94" t="s">
        <v>1692</v>
      </c>
      <c r="C6" s="134">
        <v>0.85</v>
      </c>
    </row>
    <row r="7" spans="2:3">
      <c r="B7" s="94" t="s">
        <v>1693</v>
      </c>
      <c r="C7" s="134">
        <v>0.8</v>
      </c>
    </row>
    <row r="8" spans="2:3">
      <c r="B8" s="94" t="s">
        <v>1694</v>
      </c>
      <c r="C8" s="134">
        <v>0.75</v>
      </c>
    </row>
    <row r="9" spans="2:3">
      <c r="B9" s="94" t="s">
        <v>1695</v>
      </c>
      <c r="C9" s="134">
        <v>0.7</v>
      </c>
    </row>
    <row r="10" spans="2:3">
      <c r="B10" s="94" t="s">
        <v>1696</v>
      </c>
      <c r="C10" s="134">
        <v>0.65</v>
      </c>
    </row>
    <row r="11" spans="2:3">
      <c r="B11" s="94" t="s">
        <v>1697</v>
      </c>
      <c r="C11" s="134">
        <v>0.6</v>
      </c>
    </row>
    <row r="12" spans="2:3">
      <c r="B12" s="94" t="s">
        <v>1698</v>
      </c>
      <c r="C12" s="134">
        <v>0.55000000000000004</v>
      </c>
    </row>
    <row r="13" spans="2:3">
      <c r="B13" s="94" t="s">
        <v>1699</v>
      </c>
      <c r="C13" s="134">
        <v>0.5</v>
      </c>
    </row>
    <row r="14" spans="2:3">
      <c r="B14" s="94" t="s">
        <v>1700</v>
      </c>
      <c r="C14" s="134">
        <v>0.45</v>
      </c>
    </row>
    <row r="15" spans="2:3">
      <c r="B15" s="94" t="s">
        <v>1701</v>
      </c>
      <c r="C15" s="134">
        <v>0.4</v>
      </c>
    </row>
    <row r="16" spans="2:3">
      <c r="B16" s="94" t="s">
        <v>1702</v>
      </c>
      <c r="C16" s="134">
        <v>0.35</v>
      </c>
    </row>
    <row r="17" spans="2:3">
      <c r="B17" s="94" t="s">
        <v>1703</v>
      </c>
      <c r="C17" s="134">
        <v>0.3</v>
      </c>
    </row>
    <row r="18" spans="2:3">
      <c r="B18" s="94" t="s">
        <v>1704</v>
      </c>
      <c r="C18" s="134">
        <v>0.25</v>
      </c>
    </row>
    <row r="19" spans="2:3">
      <c r="B19" s="94" t="s">
        <v>1705</v>
      </c>
      <c r="C19" s="134">
        <v>0.2</v>
      </c>
    </row>
    <row r="20" spans="2:3">
      <c r="B20" s="94" t="s">
        <v>1706</v>
      </c>
      <c r="C20" s="134">
        <v>0.15</v>
      </c>
    </row>
    <row r="21" spans="2:3">
      <c r="B21" s="94" t="s">
        <v>1707</v>
      </c>
      <c r="C21" s="134">
        <v>0.1</v>
      </c>
    </row>
    <row r="22" spans="2:3">
      <c r="B22" s="94" t="s">
        <v>1708</v>
      </c>
      <c r="C22" s="134">
        <v>0.05</v>
      </c>
    </row>
    <row r="23" spans="2:3" ht="15.75" thickBot="1">
      <c r="B23" s="98" t="s">
        <v>1709</v>
      </c>
      <c r="C23" s="13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F548-3F94-4414-B1FC-93477E399FE4}">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128" t="s">
        <v>0</v>
      </c>
      <c r="B1" s="128" t="s">
        <v>1</v>
      </c>
      <c r="C1" s="128" t="s">
        <v>1458</v>
      </c>
      <c r="D1" s="128" t="s">
        <v>3</v>
      </c>
      <c r="E1" s="128" t="s">
        <v>5</v>
      </c>
      <c r="F1" s="128" t="s">
        <v>6</v>
      </c>
      <c r="G1" s="128" t="s">
        <v>7</v>
      </c>
      <c r="H1" s="128" t="s">
        <v>8</v>
      </c>
      <c r="I1" s="129"/>
    </row>
    <row r="2" spans="1:9" ht="18.75">
      <c r="A2" s="319" t="s">
        <v>1710</v>
      </c>
      <c r="B2" s="319"/>
      <c r="C2" s="319"/>
      <c r="D2" s="319"/>
      <c r="E2" s="319"/>
      <c r="F2" s="319"/>
      <c r="G2" s="319"/>
      <c r="H2" s="319"/>
      <c r="I2" s="2"/>
    </row>
    <row r="3" spans="1:9" ht="34.5" customHeight="1">
      <c r="A3" s="326" t="s">
        <v>10</v>
      </c>
      <c r="B3" s="326"/>
      <c r="C3" s="326" t="s">
        <v>11</v>
      </c>
      <c r="D3" s="326" t="s">
        <v>1369</v>
      </c>
      <c r="E3" s="326" t="s">
        <v>1711</v>
      </c>
      <c r="F3" s="282" t="s">
        <v>1712</v>
      </c>
      <c r="G3" s="320" t="s">
        <v>1713</v>
      </c>
      <c r="H3" s="326"/>
    </row>
    <row r="4" spans="1:9">
      <c r="A4" s="326"/>
      <c r="B4" s="326"/>
      <c r="C4" s="326"/>
      <c r="D4" s="326"/>
      <c r="E4" s="326"/>
      <c r="F4" s="282" t="s">
        <v>1714</v>
      </c>
      <c r="G4" s="320"/>
      <c r="H4" s="326"/>
      <c r="I4" s="2"/>
    </row>
    <row r="5" spans="1:9">
      <c r="A5" s="326"/>
      <c r="B5" s="326"/>
      <c r="C5" s="326"/>
      <c r="D5" s="326"/>
      <c r="E5" s="326"/>
      <c r="F5" s="282" t="s">
        <v>1715</v>
      </c>
      <c r="G5" s="320"/>
      <c r="H5" s="326"/>
    </row>
    <row r="6" spans="1:9" ht="18.75">
      <c r="A6" s="319" t="s">
        <v>1716</v>
      </c>
      <c r="B6" s="319"/>
      <c r="C6" s="319"/>
      <c r="D6" s="319"/>
      <c r="E6" s="319"/>
      <c r="F6" s="319"/>
      <c r="G6" s="319"/>
      <c r="H6" s="319"/>
    </row>
    <row r="7" spans="1:9" ht="30">
      <c r="A7" s="2" t="s">
        <v>10</v>
      </c>
      <c r="B7" s="2"/>
      <c r="C7" s="2" t="s">
        <v>10</v>
      </c>
      <c r="D7" s="2" t="s">
        <v>119</v>
      </c>
      <c r="E7" s="2" t="s">
        <v>1717</v>
      </c>
      <c r="F7" s="279" t="s">
        <v>1718</v>
      </c>
      <c r="G7" s="3"/>
      <c r="H7" s="2"/>
    </row>
    <row r="8" spans="1:9" ht="60">
      <c r="A8" s="2" t="s">
        <v>10</v>
      </c>
      <c r="B8" s="2"/>
      <c r="C8" s="2" t="s">
        <v>10</v>
      </c>
      <c r="D8" s="2" t="s">
        <v>1719</v>
      </c>
      <c r="E8" s="279" t="s">
        <v>1720</v>
      </c>
      <c r="F8" s="279" t="s">
        <v>1721</v>
      </c>
      <c r="G8" s="3"/>
      <c r="H8" s="279" t="s">
        <v>1722</v>
      </c>
      <c r="I8" s="2"/>
    </row>
    <row r="9" spans="1:9">
      <c r="A9" s="2"/>
      <c r="B9" s="2"/>
      <c r="C9" s="2"/>
      <c r="D9" s="2"/>
    </row>
    <row r="10" spans="1:9">
      <c r="A10" s="2"/>
      <c r="B10" s="2"/>
      <c r="C10" s="2"/>
      <c r="D10" s="2"/>
    </row>
    <row r="11" spans="1:9">
      <c r="A11" s="2"/>
      <c r="B11" s="2"/>
      <c r="C11" s="2"/>
      <c r="D11" s="2"/>
    </row>
    <row r="12" spans="1:9">
      <c r="A12" s="2"/>
      <c r="B12" s="2"/>
      <c r="C12" s="2"/>
      <c r="D12" s="2"/>
    </row>
    <row r="13" spans="1:9">
      <c r="A13" s="2"/>
      <c r="B13" s="2"/>
      <c r="C13" s="2"/>
      <c r="D13" s="2"/>
    </row>
    <row r="14" spans="1:9">
      <c r="A14" s="2"/>
      <c r="B14" s="2"/>
      <c r="C14" s="2"/>
      <c r="D14" s="2"/>
    </row>
    <row r="15" spans="1:9">
      <c r="A15" s="2"/>
      <c r="B15" s="2"/>
      <c r="C15" s="2"/>
      <c r="D15" s="2"/>
    </row>
    <row r="16" spans="1:9">
      <c r="A16" s="2"/>
      <c r="B16" s="2"/>
      <c r="C16" s="2"/>
      <c r="D16" s="2"/>
    </row>
    <row r="17" spans="1:4">
      <c r="A17" s="2"/>
      <c r="B17" s="2"/>
      <c r="C17" s="2"/>
      <c r="D17" s="2"/>
    </row>
    <row r="18" spans="1:4">
      <c r="B18" s="2"/>
      <c r="C18" s="2"/>
      <c r="D18" s="2"/>
    </row>
    <row r="19" spans="1:4">
      <c r="D19" s="2"/>
    </row>
    <row r="20" spans="1:4">
      <c r="D20" s="2"/>
    </row>
    <row r="21" spans="1:4">
      <c r="D21" s="2"/>
    </row>
    <row r="22" spans="1:4">
      <c r="D22" s="2"/>
    </row>
    <row r="23" spans="1:4">
      <c r="D23" s="2"/>
    </row>
    <row r="24" spans="1:4">
      <c r="D24" s="2"/>
    </row>
    <row r="25" spans="1:4">
      <c r="D25" s="2"/>
    </row>
    <row r="26" spans="1:4">
      <c r="D26" s="2"/>
    </row>
    <row r="27" spans="1:4">
      <c r="D27" s="2"/>
    </row>
    <row r="28" spans="1:4">
      <c r="D28" s="2"/>
    </row>
    <row r="29" spans="1:4">
      <c r="D29" s="2"/>
    </row>
    <row r="30" spans="1:4">
      <c r="D30" s="2"/>
    </row>
    <row r="31" spans="1:4">
      <c r="D31" s="2"/>
    </row>
    <row r="32" spans="1: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C918910B-64EF-4954-9D04-77B673025EDA}">
      <formula1>"Yes, No"</formula1>
    </dataValidation>
    <dataValidation type="list" allowBlank="1" showInputMessage="1" showErrorMessage="1" sqref="D9:D207" xr:uid="{A7FF2EAF-6DC8-4ED4-B28D-1BF12E17FA46}">
      <formula1>"Account, Boolean, Date, DateTime, Duration, Email, Enum, GeoJSON, Help Text, If/Then, Image, Integer, Number, Postfix, Prefix, String, Time, URL"</formula1>
    </dataValidation>
    <dataValidation type="list" allowBlank="1" showInputMessage="1" showErrorMessage="1" sqref="G3:G5" xr:uid="{FDDD492B-704B-4F82-BE88-62553F3FBF6E}">
      <formula1>"Option 1,Option 2"</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A603-F077-480F-9E0B-1076D1F0BD87}">
  <dimension ref="A1:H51"/>
  <sheetViews>
    <sheetView topLeftCell="B1" workbookViewId="0">
      <selection activeCell="I3" sqref="I3"/>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127" t="s">
        <v>0</v>
      </c>
      <c r="B1" s="127" t="s">
        <v>1</v>
      </c>
      <c r="C1" s="127" t="s">
        <v>1458</v>
      </c>
      <c r="D1" s="128" t="s">
        <v>3</v>
      </c>
      <c r="E1" s="128" t="s">
        <v>5</v>
      </c>
      <c r="F1" s="128" t="s">
        <v>6</v>
      </c>
      <c r="G1" s="128" t="s">
        <v>7</v>
      </c>
      <c r="H1" s="128" t="s">
        <v>8</v>
      </c>
    </row>
    <row r="2" spans="1:8" ht="18.75">
      <c r="A2" s="319" t="s">
        <v>1723</v>
      </c>
      <c r="B2" s="319"/>
      <c r="C2" s="319"/>
      <c r="D2" s="319"/>
      <c r="E2" s="319"/>
      <c r="F2" s="319"/>
      <c r="G2" s="319"/>
      <c r="H2" s="319"/>
    </row>
    <row r="3" spans="1:8" ht="105">
      <c r="A3" s="2" t="s">
        <v>10</v>
      </c>
      <c r="B3" s="2"/>
      <c r="C3" s="2" t="s">
        <v>11</v>
      </c>
      <c r="D3" s="2" t="s">
        <v>1369</v>
      </c>
      <c r="F3" s="7" t="s">
        <v>1724</v>
      </c>
      <c r="G3" t="s">
        <v>1105</v>
      </c>
    </row>
    <row r="4" spans="1:8" ht="30">
      <c r="A4" s="131" t="s">
        <v>10</v>
      </c>
      <c r="B4" s="131"/>
      <c r="C4" s="131" t="s">
        <v>11</v>
      </c>
      <c r="D4" s="131" t="s">
        <v>91</v>
      </c>
      <c r="E4" s="17" t="s">
        <v>1607</v>
      </c>
      <c r="F4" s="18" t="s">
        <v>1608</v>
      </c>
      <c r="G4" s="16">
        <f>IF(AND(G3="Option A"),G6,IF(AND(G3="Option B"),G30))</f>
        <v>0.5164879</v>
      </c>
      <c r="H4" s="17"/>
    </row>
    <row r="5" spans="1:8" ht="18.75">
      <c r="A5" s="319" t="s">
        <v>1609</v>
      </c>
      <c r="B5" s="319"/>
      <c r="C5" s="319"/>
      <c r="D5" s="319"/>
      <c r="E5" s="319"/>
      <c r="F5" s="319"/>
      <c r="G5" s="319"/>
      <c r="H5" s="319"/>
    </row>
    <row r="6" spans="1:8" ht="30">
      <c r="A6" s="131" t="s">
        <v>10</v>
      </c>
      <c r="B6" s="131"/>
      <c r="C6" s="131" t="s">
        <v>11</v>
      </c>
      <c r="D6" s="131" t="s">
        <v>91</v>
      </c>
      <c r="E6" s="17" t="s">
        <v>1607</v>
      </c>
      <c r="F6" s="18" t="s">
        <v>1608</v>
      </c>
      <c r="G6" s="16">
        <f>SUM(((G14*G11)/G14),((G23*G22)/G23),((G28*G27)/G28))</f>
        <v>0.5164879</v>
      </c>
      <c r="H6" s="17"/>
    </row>
    <row r="7" spans="1:8" ht="18.75">
      <c r="A7" s="319" t="s">
        <v>1610</v>
      </c>
      <c r="B7" s="319"/>
      <c r="C7" s="319"/>
      <c r="D7" s="319"/>
      <c r="E7" s="319"/>
      <c r="F7" s="319"/>
      <c r="G7" s="319"/>
      <c r="H7" s="319"/>
    </row>
    <row r="8" spans="1:8" ht="18.75">
      <c r="A8" s="319" t="s">
        <v>1611</v>
      </c>
      <c r="B8" s="319"/>
      <c r="C8" s="319"/>
      <c r="D8" s="319"/>
      <c r="E8" s="319"/>
      <c r="F8" s="319"/>
      <c r="G8" s="319"/>
      <c r="H8" s="319"/>
    </row>
    <row r="9" spans="1:8" ht="105">
      <c r="A9" s="2" t="s">
        <v>10</v>
      </c>
      <c r="B9" s="2"/>
      <c r="C9" s="2" t="s">
        <v>11</v>
      </c>
      <c r="D9" s="2" t="s">
        <v>1369</v>
      </c>
      <c r="E9" t="s">
        <v>1605</v>
      </c>
      <c r="F9" s="7" t="s">
        <v>1612</v>
      </c>
      <c r="G9" t="s">
        <v>1613</v>
      </c>
    </row>
    <row r="10" spans="1:8" ht="18.75">
      <c r="A10" s="319" t="s">
        <v>1613</v>
      </c>
      <c r="B10" s="319"/>
      <c r="C10" s="319"/>
      <c r="D10" s="319"/>
      <c r="E10" s="319"/>
      <c r="F10" s="319"/>
      <c r="G10" s="319"/>
      <c r="H10" s="319"/>
    </row>
    <row r="11" spans="1:8">
      <c r="A11" s="131" t="s">
        <v>10</v>
      </c>
      <c r="B11" s="131"/>
      <c r="C11" s="131" t="s">
        <v>11</v>
      </c>
      <c r="D11" s="131" t="s">
        <v>91</v>
      </c>
      <c r="E11" s="17" t="s">
        <v>1614</v>
      </c>
      <c r="F11" s="17" t="s">
        <v>1615</v>
      </c>
      <c r="G11" s="16">
        <f>SUM((G18*G19*G20)/G14)</f>
        <v>7.0087900000000009E-2</v>
      </c>
      <c r="H11" s="17"/>
    </row>
    <row r="12" spans="1:8">
      <c r="A12" s="3" t="s">
        <v>10</v>
      </c>
      <c r="B12" s="3"/>
      <c r="C12" s="3" t="s">
        <v>10</v>
      </c>
      <c r="D12" s="2" t="s">
        <v>12</v>
      </c>
      <c r="E12" s="3" t="s">
        <v>1616</v>
      </c>
      <c r="F12" s="3" t="s">
        <v>1617</v>
      </c>
      <c r="G12" s="3"/>
      <c r="H12" s="3"/>
    </row>
    <row r="13" spans="1:8" ht="30">
      <c r="A13" s="3" t="s">
        <v>10</v>
      </c>
      <c r="B13" s="2"/>
      <c r="C13" s="3" t="s">
        <v>10</v>
      </c>
      <c r="D13" s="2" t="s">
        <v>12</v>
      </c>
      <c r="E13" t="s">
        <v>279</v>
      </c>
      <c r="F13" s="7" t="s">
        <v>1725</v>
      </c>
      <c r="G13" t="s">
        <v>1619</v>
      </c>
    </row>
    <row r="14" spans="1:8" ht="30">
      <c r="A14" s="3" t="s">
        <v>10</v>
      </c>
      <c r="B14" s="2"/>
      <c r="C14" s="3" t="s">
        <v>10</v>
      </c>
      <c r="D14" s="2" t="s">
        <v>119</v>
      </c>
      <c r="E14" t="s">
        <v>1620</v>
      </c>
      <c r="F14" s="7" t="s">
        <v>1621</v>
      </c>
      <c r="G14" s="4">
        <v>40</v>
      </c>
    </row>
    <row r="15" spans="1:8">
      <c r="A15" s="3" t="s">
        <v>10</v>
      </c>
      <c r="B15" s="2"/>
      <c r="C15" s="3" t="s">
        <v>10</v>
      </c>
      <c r="D15" s="2" t="s">
        <v>12</v>
      </c>
      <c r="E15" t="s">
        <v>1234</v>
      </c>
      <c r="F15" t="s">
        <v>1622</v>
      </c>
      <c r="G15" s="4">
        <v>2009</v>
      </c>
    </row>
    <row r="16" spans="1:8" ht="18.75">
      <c r="A16" s="306" t="s">
        <v>1623</v>
      </c>
      <c r="B16" s="306"/>
      <c r="C16" s="306"/>
      <c r="D16" s="306"/>
      <c r="E16" s="306"/>
      <c r="F16" s="306"/>
      <c r="G16" s="306"/>
      <c r="H16" s="306"/>
    </row>
    <row r="17" spans="1:8">
      <c r="A17" s="3" t="s">
        <v>10</v>
      </c>
      <c r="B17" s="3"/>
      <c r="C17" s="3" t="s">
        <v>10</v>
      </c>
      <c r="D17" s="2" t="s">
        <v>12</v>
      </c>
      <c r="E17" s="3" t="s">
        <v>1616</v>
      </c>
      <c r="F17" s="3" t="s">
        <v>1617</v>
      </c>
      <c r="G17" s="3" t="s">
        <v>1624</v>
      </c>
      <c r="H17" s="3"/>
    </row>
    <row r="18" spans="1:8" ht="30">
      <c r="A18" s="3" t="s">
        <v>10</v>
      </c>
      <c r="C18" s="3" t="s">
        <v>10</v>
      </c>
      <c r="D18" s="2" t="s">
        <v>119</v>
      </c>
      <c r="E18" t="s">
        <v>1625</v>
      </c>
      <c r="F18" s="7" t="s">
        <v>1626</v>
      </c>
      <c r="G18" s="4">
        <v>1</v>
      </c>
    </row>
    <row r="19" spans="1:8" ht="30">
      <c r="A19" s="3" t="s">
        <v>10</v>
      </c>
      <c r="C19" s="3" t="s">
        <v>10</v>
      </c>
      <c r="D19" s="2" t="s">
        <v>119</v>
      </c>
      <c r="E19" t="s">
        <v>1627</v>
      </c>
      <c r="F19" s="7" t="s">
        <v>1628</v>
      </c>
      <c r="G19" s="4">
        <v>22.609000000000002</v>
      </c>
    </row>
    <row r="20" spans="1:8">
      <c r="A20" s="3" t="s">
        <v>10</v>
      </c>
      <c r="C20" s="3" t="s">
        <v>10</v>
      </c>
      <c r="D20" s="2" t="s">
        <v>119</v>
      </c>
      <c r="E20" t="s">
        <v>1629</v>
      </c>
      <c r="F20" t="s">
        <v>1630</v>
      </c>
      <c r="G20" s="4">
        <v>0.124</v>
      </c>
    </row>
    <row r="21" spans="1:8" ht="18.75">
      <c r="A21" s="319" t="s">
        <v>1336</v>
      </c>
      <c r="B21" s="319"/>
      <c r="C21" s="319"/>
      <c r="D21" s="319"/>
      <c r="E21" s="319"/>
      <c r="F21" s="319"/>
      <c r="G21" s="319"/>
      <c r="H21" s="319"/>
    </row>
    <row r="22" spans="1:8">
      <c r="A22" s="131" t="s">
        <v>10</v>
      </c>
      <c r="B22" s="131"/>
      <c r="C22" s="131" t="s">
        <v>11</v>
      </c>
      <c r="D22" s="131" t="s">
        <v>91</v>
      </c>
      <c r="E22" s="17" t="s">
        <v>1614</v>
      </c>
      <c r="F22" s="18" t="s">
        <v>1631</v>
      </c>
      <c r="G22" s="16">
        <f>(G24*3.6)/G25</f>
        <v>0.44640000000000002</v>
      </c>
      <c r="H22" s="17"/>
    </row>
    <row r="23" spans="1:8" ht="30">
      <c r="A23" s="2" t="s">
        <v>10</v>
      </c>
      <c r="B23" s="2"/>
      <c r="C23" s="2" t="s">
        <v>10</v>
      </c>
      <c r="D23" s="2" t="s">
        <v>119</v>
      </c>
      <c r="E23" t="s">
        <v>1620</v>
      </c>
      <c r="F23" s="7" t="s">
        <v>1621</v>
      </c>
      <c r="G23" s="4">
        <v>40</v>
      </c>
    </row>
    <row r="24" spans="1:8" ht="30">
      <c r="A24" s="2" t="s">
        <v>10</v>
      </c>
      <c r="B24" s="2"/>
      <c r="C24" s="2" t="s">
        <v>10</v>
      </c>
      <c r="D24" s="2" t="s">
        <v>119</v>
      </c>
      <c r="E24" t="s">
        <v>1632</v>
      </c>
      <c r="F24" s="7" t="s">
        <v>1633</v>
      </c>
      <c r="G24" s="4">
        <v>0.124</v>
      </c>
    </row>
    <row r="25" spans="1:8" ht="30">
      <c r="A25" s="2" t="s">
        <v>10</v>
      </c>
      <c r="B25" s="2"/>
      <c r="C25" s="2" t="s">
        <v>10</v>
      </c>
      <c r="D25" s="2" t="s">
        <v>119</v>
      </c>
      <c r="E25" t="s">
        <v>1634</v>
      </c>
      <c r="F25" s="7" t="s">
        <v>1635</v>
      </c>
      <c r="G25" s="4">
        <v>1</v>
      </c>
    </row>
    <row r="26" spans="1:8" ht="18.75">
      <c r="A26" s="306" t="s">
        <v>1636</v>
      </c>
      <c r="B26" s="306"/>
      <c r="C26" s="306"/>
      <c r="D26" s="306"/>
      <c r="E26" s="306"/>
      <c r="F26" s="306"/>
      <c r="G26" s="306"/>
      <c r="H26" s="306"/>
    </row>
    <row r="27" spans="1:8">
      <c r="A27" s="131" t="s">
        <v>10</v>
      </c>
      <c r="B27" s="131"/>
      <c r="C27" s="131" t="s">
        <v>11</v>
      </c>
      <c r="D27" s="131" t="s">
        <v>91</v>
      </c>
      <c r="E27" s="17" t="s">
        <v>1614</v>
      </c>
      <c r="F27" s="18" t="s">
        <v>1615</v>
      </c>
      <c r="G27" s="16">
        <f>0</f>
        <v>0</v>
      </c>
      <c r="H27" s="17"/>
    </row>
    <row r="28" spans="1:8" ht="30">
      <c r="A28" s="2" t="s">
        <v>10</v>
      </c>
      <c r="B28" s="2"/>
      <c r="C28" s="2" t="s">
        <v>10</v>
      </c>
      <c r="D28" s="2" t="s">
        <v>119</v>
      </c>
      <c r="E28" t="s">
        <v>1620</v>
      </c>
      <c r="F28" s="7" t="s">
        <v>1621</v>
      </c>
      <c r="G28" s="4">
        <v>40</v>
      </c>
    </row>
    <row r="29" spans="1:8" ht="18.75">
      <c r="A29" s="319" t="s">
        <v>1637</v>
      </c>
      <c r="B29" s="319"/>
      <c r="C29" s="319"/>
      <c r="D29" s="319"/>
      <c r="E29" s="319"/>
      <c r="F29" s="319"/>
      <c r="G29" s="319"/>
      <c r="H29" s="319"/>
    </row>
    <row r="30" spans="1:8">
      <c r="A30" s="17" t="s">
        <v>10</v>
      </c>
      <c r="B30" s="17"/>
      <c r="C30" s="17" t="s">
        <v>11</v>
      </c>
      <c r="D30" s="131" t="s">
        <v>91</v>
      </c>
      <c r="E30" s="17" t="s">
        <v>1607</v>
      </c>
      <c r="F30" s="17" t="s">
        <v>1638</v>
      </c>
      <c r="G30" s="16">
        <f>SUM((G34*G35*G36),(G39*G40*G41),(G44*G45*G46),(G49*G50*G51))/G31</f>
        <v>0.22195375000000001</v>
      </c>
      <c r="H30" s="17"/>
    </row>
    <row r="31" spans="1:8" ht="45">
      <c r="A31" t="s">
        <v>10</v>
      </c>
      <c r="C31" t="s">
        <v>10</v>
      </c>
      <c r="D31" s="2" t="s">
        <v>119</v>
      </c>
      <c r="E31" t="s">
        <v>1639</v>
      </c>
      <c r="F31" s="7" t="s">
        <v>1726</v>
      </c>
      <c r="G31" s="4">
        <v>40</v>
      </c>
    </row>
    <row r="32" spans="1:8" ht="18.75">
      <c r="A32" s="306" t="s">
        <v>1623</v>
      </c>
      <c r="B32" s="306"/>
      <c r="C32" s="306"/>
      <c r="D32" s="306"/>
      <c r="E32" s="306"/>
      <c r="F32" s="306"/>
      <c r="G32" s="306"/>
      <c r="H32" s="306"/>
    </row>
    <row r="33" spans="1:8">
      <c r="A33" s="3" t="s">
        <v>10</v>
      </c>
      <c r="B33" s="3"/>
      <c r="C33" s="3" t="s">
        <v>10</v>
      </c>
      <c r="D33" s="2" t="s">
        <v>12</v>
      </c>
      <c r="E33" s="3" t="s">
        <v>1616</v>
      </c>
      <c r="F33" s="3" t="s">
        <v>1617</v>
      </c>
      <c r="G33" s="3" t="s">
        <v>1624</v>
      </c>
      <c r="H33" s="3"/>
    </row>
    <row r="34" spans="1:8" ht="30">
      <c r="A34" t="s">
        <v>10</v>
      </c>
      <c r="C34" t="s">
        <v>10</v>
      </c>
      <c r="D34" s="2" t="s">
        <v>119</v>
      </c>
      <c r="E34" t="s">
        <v>1641</v>
      </c>
      <c r="F34" s="7" t="s">
        <v>1626</v>
      </c>
      <c r="G34" s="4">
        <v>1</v>
      </c>
    </row>
    <row r="35" spans="1:8" ht="30">
      <c r="A35" t="s">
        <v>10</v>
      </c>
      <c r="C35" t="s">
        <v>10</v>
      </c>
      <c r="D35" s="2" t="s">
        <v>119</v>
      </c>
      <c r="E35" t="s">
        <v>1627</v>
      </c>
      <c r="F35" s="7" t="s">
        <v>1628</v>
      </c>
      <c r="G35" s="4">
        <v>22.609000000000002</v>
      </c>
    </row>
    <row r="36" spans="1:8">
      <c r="A36" t="s">
        <v>10</v>
      </c>
      <c r="C36" t="s">
        <v>10</v>
      </c>
      <c r="D36" s="2" t="s">
        <v>119</v>
      </c>
      <c r="E36" t="s">
        <v>1629</v>
      </c>
      <c r="F36" t="s">
        <v>1630</v>
      </c>
      <c r="G36" s="4">
        <v>0.12</v>
      </c>
    </row>
    <row r="37" spans="1:8" ht="18.75">
      <c r="A37" s="306" t="s">
        <v>1623</v>
      </c>
      <c r="B37" s="306"/>
      <c r="C37" s="306"/>
      <c r="D37" s="306"/>
      <c r="E37" s="306"/>
      <c r="F37" s="306"/>
      <c r="G37" s="306"/>
      <c r="H37" s="306"/>
    </row>
    <row r="38" spans="1:8">
      <c r="A38" s="3" t="s">
        <v>10</v>
      </c>
      <c r="B38" s="3"/>
      <c r="C38" s="3" t="s">
        <v>10</v>
      </c>
      <c r="D38" s="2" t="s">
        <v>12</v>
      </c>
      <c r="E38" s="3" t="s">
        <v>1616</v>
      </c>
      <c r="F38" s="3" t="s">
        <v>1617</v>
      </c>
      <c r="G38" s="3" t="s">
        <v>1642</v>
      </c>
      <c r="H38" s="3"/>
    </row>
    <row r="39" spans="1:8" ht="30">
      <c r="A39" t="s">
        <v>10</v>
      </c>
      <c r="C39" t="s">
        <v>10</v>
      </c>
      <c r="D39" s="2" t="s">
        <v>119</v>
      </c>
      <c r="E39" t="s">
        <v>1641</v>
      </c>
      <c r="F39" s="7" t="s">
        <v>1626</v>
      </c>
      <c r="G39" s="4">
        <v>1</v>
      </c>
    </row>
    <row r="40" spans="1:8" ht="30">
      <c r="A40" t="s">
        <v>10</v>
      </c>
      <c r="C40" t="s">
        <v>10</v>
      </c>
      <c r="D40" s="2" t="s">
        <v>119</v>
      </c>
      <c r="E40" t="s">
        <v>1627</v>
      </c>
      <c r="F40" s="7" t="s">
        <v>1628</v>
      </c>
      <c r="G40" s="4">
        <v>38.936999999999998</v>
      </c>
    </row>
    <row r="41" spans="1:8">
      <c r="A41" t="s">
        <v>10</v>
      </c>
      <c r="C41" t="s">
        <v>10</v>
      </c>
      <c r="D41" s="2" t="s">
        <v>119</v>
      </c>
      <c r="E41" t="s">
        <v>1629</v>
      </c>
      <c r="F41" t="s">
        <v>1630</v>
      </c>
      <c r="G41" s="4">
        <v>0.08</v>
      </c>
    </row>
    <row r="42" spans="1:8" ht="18.75">
      <c r="A42" s="306" t="s">
        <v>1623</v>
      </c>
      <c r="B42" s="306"/>
      <c r="C42" s="306"/>
      <c r="D42" s="306"/>
      <c r="E42" s="306"/>
      <c r="F42" s="306"/>
      <c r="G42" s="306"/>
      <c r="H42" s="306"/>
    </row>
    <row r="43" spans="1:8">
      <c r="A43" s="3" t="s">
        <v>10</v>
      </c>
      <c r="B43" s="3"/>
      <c r="C43" s="3" t="s">
        <v>10</v>
      </c>
      <c r="D43" s="2" t="s">
        <v>12</v>
      </c>
      <c r="E43" s="3" t="s">
        <v>1616</v>
      </c>
      <c r="F43" s="3" t="s">
        <v>1617</v>
      </c>
      <c r="G43" s="3" t="s">
        <v>1642</v>
      </c>
      <c r="H43" s="3"/>
    </row>
    <row r="44" spans="1:8" ht="30">
      <c r="A44" t="s">
        <v>10</v>
      </c>
      <c r="C44" t="s">
        <v>10</v>
      </c>
      <c r="D44" s="2" t="s">
        <v>119</v>
      </c>
      <c r="E44" t="s">
        <v>1641</v>
      </c>
      <c r="F44" s="7" t="s">
        <v>1626</v>
      </c>
      <c r="G44" s="4">
        <v>1</v>
      </c>
    </row>
    <row r="45" spans="1:8" ht="30">
      <c r="A45" t="s">
        <v>10</v>
      </c>
      <c r="C45" t="s">
        <v>10</v>
      </c>
      <c r="D45" s="2" t="s">
        <v>119</v>
      </c>
      <c r="E45" t="s">
        <v>1627</v>
      </c>
      <c r="F45" s="7" t="s">
        <v>1628</v>
      </c>
      <c r="G45" s="4">
        <v>3.5000000000000003E-2</v>
      </c>
    </row>
    <row r="46" spans="1:8">
      <c r="A46" t="s">
        <v>10</v>
      </c>
      <c r="C46" t="s">
        <v>10</v>
      </c>
      <c r="D46" s="2" t="s">
        <v>119</v>
      </c>
      <c r="E46" t="s">
        <v>1629</v>
      </c>
      <c r="F46" t="s">
        <v>1630</v>
      </c>
      <c r="G46" s="4">
        <v>0.06</v>
      </c>
    </row>
    <row r="47" spans="1:8" ht="18.75">
      <c r="A47" s="306" t="s">
        <v>1623</v>
      </c>
      <c r="B47" s="306"/>
      <c r="C47" s="306"/>
      <c r="D47" s="306"/>
      <c r="E47" s="306"/>
      <c r="F47" s="306"/>
      <c r="G47" s="306"/>
      <c r="H47" s="306"/>
    </row>
    <row r="48" spans="1:8">
      <c r="A48" s="3" t="s">
        <v>10</v>
      </c>
      <c r="B48" s="3"/>
      <c r="C48" s="3" t="s">
        <v>10</v>
      </c>
      <c r="D48" s="2" t="s">
        <v>12</v>
      </c>
      <c r="E48" s="3" t="s">
        <v>1616</v>
      </c>
      <c r="F48" s="3" t="s">
        <v>1617</v>
      </c>
      <c r="G48" s="3" t="s">
        <v>1642</v>
      </c>
      <c r="H48" s="3"/>
    </row>
    <row r="49" spans="1:7" ht="30">
      <c r="A49" t="s">
        <v>10</v>
      </c>
      <c r="C49" t="s">
        <v>10</v>
      </c>
      <c r="D49" s="2" t="s">
        <v>119</v>
      </c>
      <c r="E49" t="s">
        <v>1641</v>
      </c>
      <c r="F49" s="7" t="s">
        <v>1626</v>
      </c>
      <c r="G49" s="4">
        <v>1</v>
      </c>
    </row>
    <row r="50" spans="1:7" ht="30">
      <c r="A50" t="s">
        <v>10</v>
      </c>
      <c r="C50" t="s">
        <v>10</v>
      </c>
      <c r="D50" s="2" t="s">
        <v>119</v>
      </c>
      <c r="E50" t="s">
        <v>1627</v>
      </c>
      <c r="F50" s="7" t="s">
        <v>1628</v>
      </c>
      <c r="G50" s="4">
        <v>43.542999999999999</v>
      </c>
    </row>
    <row r="51" spans="1:7">
      <c r="A51" t="s">
        <v>10</v>
      </c>
      <c r="C51" t="s">
        <v>10</v>
      </c>
      <c r="D51" s="2" t="s">
        <v>119</v>
      </c>
      <c r="E51" t="s">
        <v>1629</v>
      </c>
      <c r="F51" t="s">
        <v>1630</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C4D600A7-174E-414F-BFC3-7B1B21A870A2}">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97FF2BA4-F9B3-475E-854B-D8C1CE400E40}">
      <formula1>"Yes, No"</formula1>
    </dataValidation>
    <dataValidation type="list" allowBlank="1" showInputMessage="1" showErrorMessage="1" sqref="G3" xr:uid="{451E8E3D-6099-4F9A-ACA2-B10E5C96AF69}">
      <formula1>"Option A, Option B"</formula1>
    </dataValidation>
    <dataValidation type="list" allowBlank="1" showInputMessage="1" showErrorMessage="1" sqref="G9" xr:uid="{551C9E34-9D52-461A-8D98-DB6EA356D4F4}">
      <formula1>"Option A1, Option A2, Option A3"</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403F-4442-4850-B26A-8E2B364FA924}">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127" t="s">
        <v>0</v>
      </c>
      <c r="B1" s="127" t="s">
        <v>1</v>
      </c>
      <c r="C1" s="127" t="s">
        <v>1458</v>
      </c>
      <c r="D1" s="128" t="s">
        <v>3</v>
      </c>
      <c r="E1" s="128" t="s">
        <v>5</v>
      </c>
      <c r="F1" s="128" t="s">
        <v>6</v>
      </c>
      <c r="G1" s="128" t="s">
        <v>7</v>
      </c>
      <c r="H1" s="128" t="s">
        <v>8</v>
      </c>
    </row>
    <row r="2" spans="1:8" ht="18.75">
      <c r="A2" s="319" t="s">
        <v>1727</v>
      </c>
      <c r="B2" s="319"/>
      <c r="C2" s="319"/>
      <c r="D2" s="319"/>
      <c r="E2" s="319"/>
      <c r="F2" s="319"/>
      <c r="G2" s="319"/>
      <c r="H2" s="319"/>
    </row>
    <row r="3" spans="1:8">
      <c r="A3" s="17" t="s">
        <v>10</v>
      </c>
      <c r="B3" s="17"/>
      <c r="C3" s="17" t="s">
        <v>11</v>
      </c>
      <c r="D3" s="17" t="s">
        <v>91</v>
      </c>
      <c r="E3" s="17" t="s">
        <v>1728</v>
      </c>
      <c r="F3" s="17" t="s">
        <v>1729</v>
      </c>
      <c r="G3" s="16">
        <f>(SUM(G11,G16)*SUM(G12,G17))/SUM(G11,G16)</f>
        <v>0.70279999999999998</v>
      </c>
      <c r="H3" s="17"/>
    </row>
    <row r="4" spans="1:8" ht="18.75">
      <c r="A4" s="319" t="s">
        <v>1730</v>
      </c>
      <c r="B4" s="319"/>
      <c r="C4" s="319"/>
      <c r="D4" s="319"/>
      <c r="E4" s="319"/>
      <c r="F4" s="319"/>
      <c r="G4" s="319"/>
      <c r="H4" s="319"/>
    </row>
    <row r="5" spans="1:8" ht="360">
      <c r="D5" t="s">
        <v>1731</v>
      </c>
      <c r="E5" t="s">
        <v>1732</v>
      </c>
      <c r="F5" s="7" t="s">
        <v>1733</v>
      </c>
      <c r="G5" s="4"/>
    </row>
    <row r="6" spans="1:8">
      <c r="A6" t="s">
        <v>10</v>
      </c>
      <c r="C6" t="s">
        <v>10</v>
      </c>
      <c r="D6" t="s">
        <v>119</v>
      </c>
      <c r="E6" t="s">
        <v>1670</v>
      </c>
      <c r="F6" s="7" t="s">
        <v>1734</v>
      </c>
      <c r="G6" s="4">
        <v>2009</v>
      </c>
    </row>
    <row r="7" spans="1:8">
      <c r="A7" t="s">
        <v>10</v>
      </c>
      <c r="C7" t="s">
        <v>10</v>
      </c>
      <c r="D7" t="s">
        <v>119</v>
      </c>
      <c r="E7" t="s">
        <v>1735</v>
      </c>
      <c r="F7" t="s">
        <v>1736</v>
      </c>
      <c r="G7" s="4">
        <v>40</v>
      </c>
    </row>
    <row r="8" spans="1:8" ht="18.75">
      <c r="A8" s="319" t="s">
        <v>1737</v>
      </c>
      <c r="B8" s="319"/>
      <c r="C8" s="319"/>
      <c r="D8" s="319"/>
      <c r="E8" s="319"/>
      <c r="F8" s="319"/>
      <c r="G8" s="319"/>
      <c r="H8" s="319"/>
    </row>
    <row r="9" spans="1:8">
      <c r="A9" t="s">
        <v>10</v>
      </c>
      <c r="C9" t="s">
        <v>10</v>
      </c>
      <c r="D9" t="s">
        <v>119</v>
      </c>
      <c r="E9" t="s">
        <v>274</v>
      </c>
      <c r="F9" t="s">
        <v>1738</v>
      </c>
      <c r="G9" s="4" t="s">
        <v>1739</v>
      </c>
    </row>
    <row r="10" spans="1:8">
      <c r="A10" t="s">
        <v>10</v>
      </c>
      <c r="C10" t="s">
        <v>10</v>
      </c>
      <c r="D10" t="s">
        <v>1740</v>
      </c>
      <c r="E10" t="s">
        <v>1741</v>
      </c>
      <c r="F10" t="s">
        <v>1742</v>
      </c>
      <c r="G10" s="136">
        <v>40165</v>
      </c>
    </row>
    <row r="11" spans="1:8">
      <c r="A11" t="s">
        <v>10</v>
      </c>
      <c r="C11" t="s">
        <v>10</v>
      </c>
      <c r="D11" t="s">
        <v>119</v>
      </c>
      <c r="E11" t="s">
        <v>1620</v>
      </c>
      <c r="F11" t="s">
        <v>1743</v>
      </c>
      <c r="G11" s="4">
        <v>1444</v>
      </c>
    </row>
    <row r="12" spans="1:8">
      <c r="A12" t="s">
        <v>10</v>
      </c>
      <c r="C12" t="s">
        <v>10</v>
      </c>
      <c r="D12" t="s">
        <v>119</v>
      </c>
      <c r="E12" t="s">
        <v>1614</v>
      </c>
      <c r="F12" t="s">
        <v>1744</v>
      </c>
      <c r="G12" s="4">
        <v>0</v>
      </c>
    </row>
    <row r="13" spans="1:8" ht="18.75">
      <c r="A13" s="319" t="s">
        <v>1737</v>
      </c>
      <c r="B13" s="319"/>
      <c r="C13" s="319"/>
      <c r="D13" s="319"/>
      <c r="E13" s="319"/>
      <c r="F13" s="319"/>
      <c r="G13" s="319"/>
      <c r="H13" s="319"/>
    </row>
    <row r="14" spans="1:8">
      <c r="A14" t="s">
        <v>10</v>
      </c>
      <c r="C14" t="s">
        <v>10</v>
      </c>
      <c r="D14" t="s">
        <v>119</v>
      </c>
      <c r="E14" t="s">
        <v>274</v>
      </c>
      <c r="F14" t="s">
        <v>1738</v>
      </c>
      <c r="G14" s="4" t="s">
        <v>1745</v>
      </c>
    </row>
    <row r="15" spans="1:8">
      <c r="A15" t="s">
        <v>10</v>
      </c>
      <c r="C15" t="s">
        <v>10</v>
      </c>
      <c r="D15" t="s">
        <v>1740</v>
      </c>
      <c r="E15" t="s">
        <v>1741</v>
      </c>
      <c r="F15" t="s">
        <v>1742</v>
      </c>
      <c r="G15" s="136">
        <v>40108</v>
      </c>
    </row>
    <row r="16" spans="1:8">
      <c r="A16" t="s">
        <v>10</v>
      </c>
      <c r="C16" t="s">
        <v>10</v>
      </c>
      <c r="D16" t="s">
        <v>119</v>
      </c>
      <c r="E16" t="s">
        <v>1620</v>
      </c>
      <c r="F16" t="s">
        <v>1743</v>
      </c>
      <c r="G16" s="4">
        <v>161</v>
      </c>
    </row>
    <row r="17" spans="1:7">
      <c r="A17" t="s">
        <v>10</v>
      </c>
      <c r="C17" t="s">
        <v>10</v>
      </c>
      <c r="D17" t="s">
        <v>119</v>
      </c>
      <c r="E17" t="s">
        <v>1614</v>
      </c>
      <c r="F17" t="s">
        <v>1744</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EE6B0087-60AA-4DB9-B37C-FC16761B5C36}">
      <formula1>"Yes,No"</formula1>
    </dataValidation>
    <dataValidation type="list" allowBlank="1" showInputMessage="1" showErrorMessage="1" sqref="D3 D5:D6 D9:D12 D14:D17" xr:uid="{67AB29AD-996B-4EEE-B657-21533C02AA0C}">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016E-91CB-46BF-BAEC-2914AF55E739}">
  <sheetPr codeName="Sheet2"/>
  <dimension ref="A1:H80"/>
  <sheetViews>
    <sheetView workbookViewId="0">
      <selection activeCell="A39" sqref="A39:H39"/>
    </sheetView>
  </sheetViews>
  <sheetFormatPr defaultRowHeight="15"/>
  <cols>
    <col min="1" max="1" width="6.5703125" customWidth="1"/>
    <col min="2" max="2" width="2.5703125" customWidth="1"/>
    <col min="3" max="3" width="5.140625" customWidth="1"/>
    <col min="4" max="4" width="9.28515625" customWidth="1"/>
    <col min="5" max="5" width="16" customWidth="1"/>
    <col min="6" max="6" width="70.140625" customWidth="1"/>
    <col min="7" max="7" width="31" customWidth="1"/>
    <col min="8" max="8" width="58.140625" customWidth="1"/>
  </cols>
  <sheetData>
    <row r="1" spans="1:8" ht="38.25" thickBot="1">
      <c r="A1" s="6" t="s">
        <v>0</v>
      </c>
      <c r="B1" s="6" t="s">
        <v>1</v>
      </c>
      <c r="C1" s="5" t="s">
        <v>2</v>
      </c>
      <c r="D1" s="6" t="s">
        <v>3</v>
      </c>
      <c r="E1" s="6" t="s">
        <v>5</v>
      </c>
      <c r="F1" s="5" t="s">
        <v>6</v>
      </c>
      <c r="G1" s="6" t="s">
        <v>7</v>
      </c>
      <c r="H1" s="6" t="s">
        <v>8</v>
      </c>
    </row>
    <row r="2" spans="1:8" ht="18.75">
      <c r="A2" s="308" t="s">
        <v>262</v>
      </c>
      <c r="B2" s="309"/>
      <c r="C2" s="309"/>
      <c r="D2" s="309"/>
      <c r="E2" s="309"/>
      <c r="F2" s="309"/>
      <c r="G2" s="309"/>
      <c r="H2" s="310"/>
    </row>
    <row r="3" spans="1:8" ht="31.5">
      <c r="A3" s="178" t="s">
        <v>10</v>
      </c>
      <c r="B3" s="182"/>
      <c r="C3" s="183" t="s">
        <v>83</v>
      </c>
      <c r="D3" s="183" t="s">
        <v>91</v>
      </c>
      <c r="E3" s="184" t="s">
        <v>263</v>
      </c>
      <c r="F3" s="185" t="s">
        <v>147</v>
      </c>
      <c r="G3" s="186">
        <f>SUM(G21,G42,G63)</f>
        <v>0</v>
      </c>
      <c r="H3" s="179"/>
    </row>
    <row r="4" spans="1:8" ht="31.5">
      <c r="A4" s="107" t="s">
        <v>10</v>
      </c>
      <c r="B4" s="31"/>
      <c r="C4" s="49" t="s">
        <v>83</v>
      </c>
      <c r="D4" s="48" t="s">
        <v>91</v>
      </c>
      <c r="E4" s="23" t="s">
        <v>140</v>
      </c>
      <c r="F4" s="24" t="s">
        <v>141</v>
      </c>
      <c r="G4" s="25">
        <f>SUM(G22,G43,G64)</f>
        <v>0.4</v>
      </c>
      <c r="H4" s="148" t="s">
        <v>264</v>
      </c>
    </row>
    <row r="5" spans="1:8" ht="31.5">
      <c r="A5" s="107" t="s">
        <v>10</v>
      </c>
      <c r="B5" s="31"/>
      <c r="C5" s="49" t="s">
        <v>83</v>
      </c>
      <c r="D5" s="48" t="s">
        <v>91</v>
      </c>
      <c r="E5" s="23" t="s">
        <v>143</v>
      </c>
      <c r="F5" s="24" t="s">
        <v>144</v>
      </c>
      <c r="G5" s="25">
        <f>SUM(G23,G44,G65)</f>
        <v>0</v>
      </c>
      <c r="H5" s="108"/>
    </row>
    <row r="6" spans="1:8" ht="18.75">
      <c r="A6" s="305" t="s">
        <v>265</v>
      </c>
      <c r="B6" s="306"/>
      <c r="C6" s="306"/>
      <c r="D6" s="306"/>
      <c r="E6" s="306"/>
      <c r="F6" s="306"/>
      <c r="G6" s="306"/>
      <c r="H6" s="307"/>
    </row>
    <row r="7" spans="1:8" s="19" customFormat="1" ht="31.5">
      <c r="A7" s="164" t="s">
        <v>10</v>
      </c>
      <c r="B7" s="51"/>
      <c r="C7" s="51" t="s">
        <v>83</v>
      </c>
      <c r="D7" s="51" t="s">
        <v>91</v>
      </c>
      <c r="E7" s="23" t="s">
        <v>158</v>
      </c>
      <c r="F7" s="24" t="s">
        <v>159</v>
      </c>
      <c r="G7" s="25">
        <f>G27</f>
        <v>0</v>
      </c>
      <c r="H7" s="108" t="s">
        <v>266</v>
      </c>
    </row>
    <row r="8" spans="1:8" s="19" customFormat="1" ht="31.5">
      <c r="A8" s="164" t="s">
        <v>10</v>
      </c>
      <c r="B8" s="51"/>
      <c r="C8" s="51" t="s">
        <v>83</v>
      </c>
      <c r="D8" s="51" t="s">
        <v>91</v>
      </c>
      <c r="E8" s="23" t="s">
        <v>161</v>
      </c>
      <c r="F8" s="24" t="s">
        <v>162</v>
      </c>
      <c r="G8" s="25">
        <f>G48</f>
        <v>0</v>
      </c>
      <c r="H8" s="108" t="s">
        <v>266</v>
      </c>
    </row>
    <row r="9" spans="1:8" s="19" customFormat="1" ht="31.5">
      <c r="A9" s="164" t="s">
        <v>10</v>
      </c>
      <c r="B9" s="51"/>
      <c r="C9" s="51" t="s">
        <v>83</v>
      </c>
      <c r="D9" s="51" t="s">
        <v>91</v>
      </c>
      <c r="E9" s="23" t="s">
        <v>163</v>
      </c>
      <c r="F9" s="24" t="s">
        <v>164</v>
      </c>
      <c r="G9" s="25">
        <f>G69</f>
        <v>0</v>
      </c>
      <c r="H9" s="108" t="s">
        <v>266</v>
      </c>
    </row>
    <row r="10" spans="1:8" ht="18.75">
      <c r="A10" s="305" t="s">
        <v>267</v>
      </c>
      <c r="B10" s="306"/>
      <c r="C10" s="306"/>
      <c r="D10" s="306"/>
      <c r="E10" s="306"/>
      <c r="F10" s="306"/>
      <c r="G10" s="306"/>
      <c r="H10" s="307"/>
    </row>
    <row r="11" spans="1:8" s="19" customFormat="1" ht="31.5">
      <c r="A11" s="107" t="s">
        <v>10</v>
      </c>
      <c r="B11" s="31"/>
      <c r="C11" s="49" t="s">
        <v>83</v>
      </c>
      <c r="D11" s="48" t="s">
        <v>91</v>
      </c>
      <c r="E11" s="23" t="s">
        <v>182</v>
      </c>
      <c r="F11" s="24" t="s">
        <v>183</v>
      </c>
      <c r="G11" s="25">
        <f>SUM(G32,G53,G74)</f>
        <v>5000</v>
      </c>
      <c r="H11" s="148"/>
    </row>
    <row r="12" spans="1:8" ht="26.25">
      <c r="A12" s="107" t="s">
        <v>10</v>
      </c>
      <c r="B12" s="31"/>
      <c r="C12" s="49" t="s">
        <v>83</v>
      </c>
      <c r="D12" s="48" t="s">
        <v>91</v>
      </c>
      <c r="E12" s="23" t="s">
        <v>184</v>
      </c>
      <c r="F12" s="187" t="s">
        <v>185</v>
      </c>
      <c r="G12" s="25">
        <f>SUM(G33,G54,G75)</f>
        <v>20</v>
      </c>
      <c r="H12" s="108"/>
    </row>
    <row r="13" spans="1:8" ht="18.75">
      <c r="A13" s="305" t="s">
        <v>268</v>
      </c>
      <c r="B13" s="306"/>
      <c r="C13" s="306"/>
      <c r="D13" s="306"/>
      <c r="E13" s="306"/>
      <c r="F13" s="306"/>
      <c r="G13" s="306"/>
      <c r="H13" s="307"/>
    </row>
    <row r="14" spans="1:8" s="19" customFormat="1" ht="47.25">
      <c r="A14" s="107" t="s">
        <v>10</v>
      </c>
      <c r="B14" s="31"/>
      <c r="C14" s="49" t="s">
        <v>83</v>
      </c>
      <c r="D14" s="48" t="s">
        <v>91</v>
      </c>
      <c r="E14" s="23" t="s">
        <v>188</v>
      </c>
      <c r="F14" s="24" t="s">
        <v>189</v>
      </c>
      <c r="G14" s="147">
        <f>SUM(G35,G56,G77)</f>
        <v>60</v>
      </c>
      <c r="H14" s="148"/>
    </row>
    <row r="15" spans="1:8" ht="18.75">
      <c r="A15" s="305" t="s">
        <v>269</v>
      </c>
      <c r="B15" s="306"/>
      <c r="C15" s="306"/>
      <c r="D15" s="306"/>
      <c r="E15" s="306"/>
      <c r="F15" s="306"/>
      <c r="G15" s="306"/>
      <c r="H15" s="307"/>
    </row>
    <row r="16" spans="1:8" s="19" customFormat="1" ht="47.25" customHeight="1">
      <c r="A16" s="107" t="str">
        <f>IF('Main Methodology'!H102="Yes","Yes","No")</f>
        <v>Yes</v>
      </c>
      <c r="B16" s="31"/>
      <c r="C16" s="49" t="s">
        <v>83</v>
      </c>
      <c r="D16" s="48" t="s">
        <v>91</v>
      </c>
      <c r="E16" s="23" t="s">
        <v>217</v>
      </c>
      <c r="F16" s="24" t="s">
        <v>218</v>
      </c>
      <c r="G16" s="25">
        <f>SUM(G37,G58,G79)</f>
        <v>570</v>
      </c>
      <c r="H16" s="108"/>
    </row>
    <row r="17" spans="1:8" s="19" customFormat="1" ht="47.25" customHeight="1" thickBot="1">
      <c r="A17" s="188" t="str">
        <f>IF('Main Methodology'!H102="Yes","Yes","No")</f>
        <v>Yes</v>
      </c>
      <c r="B17" s="144"/>
      <c r="C17" s="121" t="s">
        <v>83</v>
      </c>
      <c r="D17" s="122" t="s">
        <v>91</v>
      </c>
      <c r="E17" s="123" t="s">
        <v>250</v>
      </c>
      <c r="F17" s="124" t="s">
        <v>251</v>
      </c>
      <c r="G17" s="125">
        <f>SUM(G38,G59,G80)</f>
        <v>8</v>
      </c>
      <c r="H17" s="126"/>
    </row>
    <row r="18" spans="1:8" ht="18.75">
      <c r="A18" s="308" t="s">
        <v>270</v>
      </c>
      <c r="B18" s="309"/>
      <c r="C18" s="309"/>
      <c r="D18" s="309"/>
      <c r="E18" s="309"/>
      <c r="F18" s="309"/>
      <c r="G18" s="309"/>
      <c r="H18" s="310"/>
    </row>
    <row r="19" spans="1:8" ht="31.5">
      <c r="A19" s="140" t="s">
        <v>10</v>
      </c>
      <c r="C19" s="19" t="s">
        <v>10</v>
      </c>
      <c r="D19" s="19" t="s">
        <v>12</v>
      </c>
      <c r="E19" s="10" t="s">
        <v>271</v>
      </c>
      <c r="F19" s="264" t="s">
        <v>272</v>
      </c>
      <c r="G19" t="s">
        <v>273</v>
      </c>
      <c r="H19" s="177"/>
    </row>
    <row r="20" spans="1:8" ht="23.25">
      <c r="A20" s="140" t="s">
        <v>10</v>
      </c>
      <c r="C20" s="19" t="s">
        <v>10</v>
      </c>
      <c r="D20" s="19" t="s">
        <v>12</v>
      </c>
      <c r="E20" s="29" t="s">
        <v>274</v>
      </c>
      <c r="F20" s="264" t="s">
        <v>275</v>
      </c>
      <c r="G20" s="19" t="s">
        <v>81</v>
      </c>
      <c r="H20" s="177"/>
    </row>
    <row r="21" spans="1:8" ht="31.5">
      <c r="A21" s="140" t="s">
        <v>10</v>
      </c>
      <c r="C21" s="19" t="s">
        <v>10</v>
      </c>
      <c r="D21" t="s">
        <v>119</v>
      </c>
      <c r="E21" s="29" t="s">
        <v>146</v>
      </c>
      <c r="F21" s="27" t="s">
        <v>147</v>
      </c>
      <c r="G21" s="28">
        <v>0</v>
      </c>
      <c r="H21" s="110"/>
    </row>
    <row r="22" spans="1:8" ht="31.5">
      <c r="A22" s="107" t="s">
        <v>10</v>
      </c>
      <c r="B22" s="31"/>
      <c r="C22" s="49" t="s">
        <v>83</v>
      </c>
      <c r="D22" s="48" t="s">
        <v>91</v>
      </c>
      <c r="E22" s="23" t="s">
        <v>140</v>
      </c>
      <c r="F22" s="24" t="s">
        <v>141</v>
      </c>
      <c r="G22" s="25">
        <f>'Tool 09'!C26</f>
        <v>0</v>
      </c>
      <c r="H22" s="148" t="s">
        <v>264</v>
      </c>
    </row>
    <row r="23" spans="1:8" ht="31.5">
      <c r="A23" s="109" t="s">
        <v>10</v>
      </c>
      <c r="B23" s="52"/>
      <c r="C23" s="52" t="s">
        <v>118</v>
      </c>
      <c r="D23" s="52" t="s">
        <v>119</v>
      </c>
      <c r="E23" s="29" t="s">
        <v>143</v>
      </c>
      <c r="F23" s="27" t="s">
        <v>144</v>
      </c>
      <c r="G23" s="28">
        <v>0</v>
      </c>
      <c r="H23" s="110"/>
    </row>
    <row r="24" spans="1:8" ht="18.75">
      <c r="A24" s="305" t="s">
        <v>265</v>
      </c>
      <c r="B24" s="306"/>
      <c r="C24" s="306"/>
      <c r="D24" s="306"/>
      <c r="E24" s="306"/>
      <c r="F24" s="306"/>
      <c r="G24" s="306"/>
      <c r="H24" s="307"/>
    </row>
    <row r="25" spans="1:8" ht="23.25">
      <c r="A25" s="109" t="s">
        <v>10</v>
      </c>
      <c r="C25" s="19" t="s">
        <v>10</v>
      </c>
      <c r="D25" s="19" t="s">
        <v>12</v>
      </c>
      <c r="E25" s="29" t="s">
        <v>276</v>
      </c>
      <c r="F25" s="264" t="s">
        <v>277</v>
      </c>
      <c r="G25" s="28" t="s">
        <v>81</v>
      </c>
      <c r="H25" s="110" t="s">
        <v>278</v>
      </c>
    </row>
    <row r="26" spans="1:8" ht="23.25">
      <c r="A26" s="109" t="s">
        <v>10</v>
      </c>
      <c r="C26" s="19" t="s">
        <v>10</v>
      </c>
      <c r="D26" s="19" t="s">
        <v>12</v>
      </c>
      <c r="E26" s="29" t="s">
        <v>279</v>
      </c>
      <c r="F26" s="264" t="s">
        <v>280</v>
      </c>
      <c r="G26" s="28" t="s">
        <v>81</v>
      </c>
      <c r="H26" s="110" t="s">
        <v>278</v>
      </c>
    </row>
    <row r="27" spans="1:8" s="19" customFormat="1" ht="31.5">
      <c r="A27" s="164" t="s">
        <v>10</v>
      </c>
      <c r="B27" s="51"/>
      <c r="C27" s="51" t="s">
        <v>83</v>
      </c>
      <c r="D27" s="51" t="s">
        <v>91</v>
      </c>
      <c r="E27" s="23" t="s">
        <v>158</v>
      </c>
      <c r="F27" s="24" t="s">
        <v>159</v>
      </c>
      <c r="G27" s="25">
        <f>IF('Main Methodology'!H65="No","(User Inputs Value)",((G29)*(1/3.6)*(G28)*(G30)))</f>
        <v>0</v>
      </c>
      <c r="H27" s="108" t="s">
        <v>266</v>
      </c>
    </row>
    <row r="28" spans="1:8" s="19" customFormat="1" ht="31.5">
      <c r="A28" s="109" t="s">
        <v>10</v>
      </c>
      <c r="B28" s="52"/>
      <c r="C28" s="52" t="s">
        <v>118</v>
      </c>
      <c r="D28" s="52" t="s">
        <v>119</v>
      </c>
      <c r="E28" s="29" t="s">
        <v>281</v>
      </c>
      <c r="F28" s="264" t="s">
        <v>282</v>
      </c>
      <c r="G28" s="28">
        <v>0</v>
      </c>
      <c r="H28" s="110" t="s">
        <v>278</v>
      </c>
    </row>
    <row r="29" spans="1:8" s="19" customFormat="1" ht="31.5">
      <c r="A29" s="109" t="s">
        <v>10</v>
      </c>
      <c r="B29" s="52"/>
      <c r="C29" s="52" t="s">
        <v>118</v>
      </c>
      <c r="D29" s="52" t="s">
        <v>119</v>
      </c>
      <c r="E29" s="29" t="s">
        <v>283</v>
      </c>
      <c r="F29" s="264" t="s">
        <v>284</v>
      </c>
      <c r="G29" s="28">
        <v>0</v>
      </c>
      <c r="H29" s="110" t="s">
        <v>278</v>
      </c>
    </row>
    <row r="30" spans="1:8" s="19" customFormat="1" ht="31.5">
      <c r="A30" s="109" t="s">
        <v>10</v>
      </c>
      <c r="B30" s="52"/>
      <c r="C30" s="52" t="s">
        <v>118</v>
      </c>
      <c r="D30" s="52" t="s">
        <v>119</v>
      </c>
      <c r="E30" s="29" t="s">
        <v>285</v>
      </c>
      <c r="F30" s="264" t="s">
        <v>286</v>
      </c>
      <c r="G30" s="28">
        <v>0</v>
      </c>
      <c r="H30" s="110" t="s">
        <v>278</v>
      </c>
    </row>
    <row r="31" spans="1:8" ht="18.75">
      <c r="A31" s="305" t="s">
        <v>267</v>
      </c>
      <c r="B31" s="306"/>
      <c r="C31" s="306"/>
      <c r="D31" s="306"/>
      <c r="E31" s="306"/>
      <c r="F31" s="306"/>
      <c r="G31" s="306"/>
      <c r="H31" s="307"/>
    </row>
    <row r="32" spans="1:8" s="19" customFormat="1" ht="58.5" customHeight="1">
      <c r="A32" s="109" t="s">
        <v>10</v>
      </c>
      <c r="B32" s="52"/>
      <c r="C32" s="52" t="s">
        <v>118</v>
      </c>
      <c r="D32" s="52" t="s">
        <v>119</v>
      </c>
      <c r="E32" s="29" t="s">
        <v>182</v>
      </c>
      <c r="F32" s="27" t="s">
        <v>183</v>
      </c>
      <c r="G32" s="265">
        <v>5000</v>
      </c>
      <c r="H32" s="111"/>
    </row>
    <row r="33" spans="1:8" ht="26.25">
      <c r="A33" s="109" t="s">
        <v>10</v>
      </c>
      <c r="B33" s="52"/>
      <c r="C33" s="52" t="s">
        <v>118</v>
      </c>
      <c r="D33" s="52" t="s">
        <v>119</v>
      </c>
      <c r="E33" s="29" t="s">
        <v>184</v>
      </c>
      <c r="F33" s="264" t="s">
        <v>287</v>
      </c>
      <c r="G33" s="28">
        <v>20</v>
      </c>
      <c r="H33" s="110"/>
    </row>
    <row r="34" spans="1:8" ht="18.75">
      <c r="A34" s="305" t="s">
        <v>268</v>
      </c>
      <c r="B34" s="306"/>
      <c r="C34" s="306"/>
      <c r="D34" s="306"/>
      <c r="E34" s="306"/>
      <c r="F34" s="306"/>
      <c r="G34" s="306"/>
      <c r="H34" s="307"/>
    </row>
    <row r="35" spans="1:8" s="19" customFormat="1" ht="47.25">
      <c r="A35" s="109" t="s">
        <v>10</v>
      </c>
      <c r="B35" s="52"/>
      <c r="C35" s="52" t="s">
        <v>118</v>
      </c>
      <c r="D35" s="52" t="s">
        <v>119</v>
      </c>
      <c r="E35" s="29" t="s">
        <v>188</v>
      </c>
      <c r="F35" s="27" t="s">
        <v>189</v>
      </c>
      <c r="G35" s="265">
        <v>60</v>
      </c>
      <c r="H35" s="111"/>
    </row>
    <row r="36" spans="1:8" ht="18.75">
      <c r="A36" s="305" t="s">
        <v>269</v>
      </c>
      <c r="B36" s="306"/>
      <c r="C36" s="306"/>
      <c r="D36" s="306"/>
      <c r="E36" s="306"/>
      <c r="F36" s="306"/>
      <c r="G36" s="306"/>
      <c r="H36" s="307"/>
    </row>
    <row r="37" spans="1:8" s="19" customFormat="1" ht="47.25" customHeight="1">
      <c r="A37" s="109" t="str">
        <f>IF('Main Methodology'!H102="Yes","Yes","No")</f>
        <v>Yes</v>
      </c>
      <c r="B37" s="52"/>
      <c r="C37" s="266" t="s">
        <v>118</v>
      </c>
      <c r="D37" s="52" t="s">
        <v>119</v>
      </c>
      <c r="E37" s="29" t="s">
        <v>217</v>
      </c>
      <c r="F37" s="27" t="s">
        <v>218</v>
      </c>
      <c r="G37" s="28">
        <v>570</v>
      </c>
      <c r="H37" s="110"/>
    </row>
    <row r="38" spans="1:8" s="19" customFormat="1" ht="47.25" customHeight="1" thickBot="1">
      <c r="A38" s="112" t="str">
        <f>IF('Main Methodology'!H102="Yes","Yes","No")</f>
        <v>Yes</v>
      </c>
      <c r="B38" s="113"/>
      <c r="C38" s="141" t="s">
        <v>10</v>
      </c>
      <c r="D38" s="113" t="s">
        <v>119</v>
      </c>
      <c r="E38" s="114" t="s">
        <v>250</v>
      </c>
      <c r="F38" s="115" t="s">
        <v>251</v>
      </c>
      <c r="G38" s="117">
        <v>8</v>
      </c>
      <c r="H38" s="118"/>
    </row>
    <row r="39" spans="1:8" ht="18.75">
      <c r="A39" s="308" t="s">
        <v>270</v>
      </c>
      <c r="B39" s="309"/>
      <c r="C39" s="309"/>
      <c r="D39" s="309"/>
      <c r="E39" s="309"/>
      <c r="F39" s="309"/>
      <c r="G39" s="309"/>
      <c r="H39" s="310"/>
    </row>
    <row r="40" spans="1:8" ht="32.25">
      <c r="A40" s="140" t="s">
        <v>10</v>
      </c>
      <c r="C40" s="19" t="s">
        <v>10</v>
      </c>
      <c r="D40" s="19" t="s">
        <v>12</v>
      </c>
      <c r="E40" s="10" t="s">
        <v>271</v>
      </c>
      <c r="F40" s="264" t="s">
        <v>272</v>
      </c>
      <c r="G40" t="s">
        <v>288</v>
      </c>
      <c r="H40" s="177"/>
    </row>
    <row r="41" spans="1:8" ht="23.25">
      <c r="A41" s="140" t="s">
        <v>10</v>
      </c>
      <c r="C41" s="19" t="s">
        <v>10</v>
      </c>
      <c r="D41" s="19" t="s">
        <v>12</v>
      </c>
      <c r="E41" s="29" t="s">
        <v>274</v>
      </c>
      <c r="F41" s="264" t="s">
        <v>275</v>
      </c>
      <c r="G41" s="19" t="s">
        <v>81</v>
      </c>
      <c r="H41" s="177"/>
    </row>
    <row r="42" spans="1:8" ht="32.25">
      <c r="A42" s="140" t="s">
        <v>10</v>
      </c>
      <c r="C42" s="19" t="s">
        <v>10</v>
      </c>
      <c r="D42" t="s">
        <v>119</v>
      </c>
      <c r="E42" s="29" t="s">
        <v>146</v>
      </c>
      <c r="F42" s="27" t="s">
        <v>147</v>
      </c>
      <c r="G42" s="28">
        <v>0</v>
      </c>
      <c r="H42" s="110"/>
    </row>
    <row r="43" spans="1:8" ht="32.25">
      <c r="A43" s="107" t="s">
        <v>10</v>
      </c>
      <c r="B43" s="31"/>
      <c r="C43" s="49" t="s">
        <v>83</v>
      </c>
      <c r="D43" s="48" t="s">
        <v>91</v>
      </c>
      <c r="E43" s="23" t="s">
        <v>140</v>
      </c>
      <c r="F43" s="24" t="s">
        <v>141</v>
      </c>
      <c r="G43" s="25">
        <v>0.2</v>
      </c>
      <c r="H43" s="148" t="s">
        <v>264</v>
      </c>
    </row>
    <row r="44" spans="1:8" ht="32.25">
      <c r="A44" s="109" t="s">
        <v>10</v>
      </c>
      <c r="B44" s="52"/>
      <c r="C44" s="52" t="s">
        <v>118</v>
      </c>
      <c r="D44" s="52" t="s">
        <v>119</v>
      </c>
      <c r="E44" s="29" t="s">
        <v>143</v>
      </c>
      <c r="F44" s="27" t="s">
        <v>144</v>
      </c>
      <c r="G44" s="28">
        <v>0</v>
      </c>
      <c r="H44" s="110"/>
    </row>
    <row r="45" spans="1:8" ht="18.75">
      <c r="A45" s="305" t="s">
        <v>265</v>
      </c>
      <c r="B45" s="306"/>
      <c r="C45" s="306"/>
      <c r="D45" s="306"/>
      <c r="E45" s="306"/>
      <c r="F45" s="306"/>
      <c r="G45" s="306"/>
      <c r="H45" s="307"/>
    </row>
    <row r="46" spans="1:8" ht="23.25">
      <c r="A46" s="109" t="s">
        <v>10</v>
      </c>
      <c r="C46" s="19" t="s">
        <v>10</v>
      </c>
      <c r="D46" s="19" t="s">
        <v>12</v>
      </c>
      <c r="E46" s="29" t="s">
        <v>276</v>
      </c>
      <c r="F46" s="264" t="s">
        <v>277</v>
      </c>
      <c r="G46" s="28" t="s">
        <v>81</v>
      </c>
      <c r="H46" s="110" t="s">
        <v>278</v>
      </c>
    </row>
    <row r="47" spans="1:8" ht="23.25">
      <c r="A47" s="109" t="s">
        <v>10</v>
      </c>
      <c r="C47" s="19" t="s">
        <v>10</v>
      </c>
      <c r="D47" s="19" t="s">
        <v>12</v>
      </c>
      <c r="E47" s="29" t="s">
        <v>279</v>
      </c>
      <c r="F47" s="264" t="s">
        <v>289</v>
      </c>
      <c r="G47" s="28" t="s">
        <v>81</v>
      </c>
      <c r="H47" s="110" t="s">
        <v>278</v>
      </c>
    </row>
    <row r="48" spans="1:8" s="19" customFormat="1" ht="31.5">
      <c r="A48" s="164" t="s">
        <v>10</v>
      </c>
      <c r="B48" s="51"/>
      <c r="C48" s="51" t="s">
        <v>83</v>
      </c>
      <c r="D48" s="51" t="s">
        <v>91</v>
      </c>
      <c r="E48" s="23" t="s">
        <v>161</v>
      </c>
      <c r="F48" s="24" t="s">
        <v>162</v>
      </c>
      <c r="G48" s="25">
        <f>IF('Main Methodology'!H65="No","(User Inputs Value)",((G50)*(1/3.6)*(G49)*(G51)))</f>
        <v>0</v>
      </c>
      <c r="H48" s="108" t="s">
        <v>266</v>
      </c>
    </row>
    <row r="49" spans="1:8" s="19" customFormat="1" ht="31.5">
      <c r="A49" s="109" t="s">
        <v>10</v>
      </c>
      <c r="B49" s="52"/>
      <c r="C49" s="52" t="s">
        <v>118</v>
      </c>
      <c r="D49" s="52" t="s">
        <v>119</v>
      </c>
      <c r="E49" s="29" t="s">
        <v>281</v>
      </c>
      <c r="F49" s="264" t="s">
        <v>282</v>
      </c>
      <c r="G49" s="28">
        <v>0</v>
      </c>
      <c r="H49" s="110" t="s">
        <v>278</v>
      </c>
    </row>
    <row r="50" spans="1:8" s="19" customFormat="1" ht="31.5">
      <c r="A50" s="109" t="s">
        <v>10</v>
      </c>
      <c r="B50" s="52"/>
      <c r="C50" s="52" t="s">
        <v>118</v>
      </c>
      <c r="D50" s="52" t="s">
        <v>119</v>
      </c>
      <c r="E50" s="29" t="s">
        <v>283</v>
      </c>
      <c r="F50" s="264" t="s">
        <v>284</v>
      </c>
      <c r="G50" s="28">
        <v>0</v>
      </c>
      <c r="H50" s="110" t="s">
        <v>278</v>
      </c>
    </row>
    <row r="51" spans="1:8" s="19" customFormat="1" ht="31.5">
      <c r="A51" s="109" t="s">
        <v>10</v>
      </c>
      <c r="B51" s="52"/>
      <c r="C51" s="52" t="s">
        <v>118</v>
      </c>
      <c r="D51" s="52" t="s">
        <v>119</v>
      </c>
      <c r="E51" s="29" t="s">
        <v>285</v>
      </c>
      <c r="F51" s="264" t="s">
        <v>286</v>
      </c>
      <c r="G51" s="28">
        <v>0</v>
      </c>
      <c r="H51" s="110" t="s">
        <v>278</v>
      </c>
    </row>
    <row r="52" spans="1:8" ht="18.75">
      <c r="A52" s="305" t="s">
        <v>267</v>
      </c>
      <c r="B52" s="306"/>
      <c r="C52" s="306"/>
      <c r="D52" s="306"/>
      <c r="E52" s="306"/>
      <c r="F52" s="306"/>
      <c r="G52" s="306"/>
      <c r="H52" s="307"/>
    </row>
    <row r="53" spans="1:8" s="19" customFormat="1" ht="58.5" customHeight="1">
      <c r="A53" s="109" t="s">
        <v>10</v>
      </c>
      <c r="B53" s="52"/>
      <c r="C53" s="52" t="s">
        <v>118</v>
      </c>
      <c r="D53" s="52" t="s">
        <v>119</v>
      </c>
      <c r="E53" s="29" t="s">
        <v>182</v>
      </c>
      <c r="F53" s="27" t="s">
        <v>183</v>
      </c>
      <c r="G53" s="265">
        <v>0</v>
      </c>
      <c r="H53" s="111"/>
    </row>
    <row r="54" spans="1:8" ht="26.25">
      <c r="A54" s="109" t="s">
        <v>10</v>
      </c>
      <c r="B54" s="52"/>
      <c r="C54" s="52" t="s">
        <v>118</v>
      </c>
      <c r="D54" s="52" t="s">
        <v>119</v>
      </c>
      <c r="E54" s="29" t="s">
        <v>184</v>
      </c>
      <c r="F54" s="264" t="s">
        <v>287</v>
      </c>
      <c r="G54" s="28">
        <v>0</v>
      </c>
      <c r="H54" s="110"/>
    </row>
    <row r="55" spans="1:8" ht="18.75">
      <c r="A55" s="305" t="s">
        <v>268</v>
      </c>
      <c r="B55" s="306"/>
      <c r="C55" s="306"/>
      <c r="D55" s="306"/>
      <c r="E55" s="306"/>
      <c r="F55" s="306"/>
      <c r="G55" s="306"/>
      <c r="H55" s="307"/>
    </row>
    <row r="56" spans="1:8" s="19" customFormat="1" ht="48.75">
      <c r="A56" s="109" t="s">
        <v>10</v>
      </c>
      <c r="B56" s="52"/>
      <c r="C56" s="52" t="s">
        <v>118</v>
      </c>
      <c r="D56" s="52" t="s">
        <v>119</v>
      </c>
      <c r="E56" s="29" t="s">
        <v>188</v>
      </c>
      <c r="F56" s="27" t="s">
        <v>189</v>
      </c>
      <c r="G56" s="265">
        <v>0</v>
      </c>
      <c r="H56" s="111"/>
    </row>
    <row r="57" spans="1:8" ht="18.75">
      <c r="A57" s="305" t="s">
        <v>269</v>
      </c>
      <c r="B57" s="306"/>
      <c r="C57" s="306"/>
      <c r="D57" s="306"/>
      <c r="E57" s="306"/>
      <c r="F57" s="306"/>
      <c r="G57" s="306"/>
      <c r="H57" s="307"/>
    </row>
    <row r="58" spans="1:8" s="19" customFormat="1" ht="47.25" customHeight="1">
      <c r="A58" s="109" t="str">
        <f>IF('Main Methodology'!H102="Yes","Yes","No")</f>
        <v>Yes</v>
      </c>
      <c r="B58" s="52"/>
      <c r="C58" s="266" t="s">
        <v>118</v>
      </c>
      <c r="D58" s="52" t="s">
        <v>119</v>
      </c>
      <c r="E58" s="29" t="s">
        <v>217</v>
      </c>
      <c r="F58" s="27" t="s">
        <v>218</v>
      </c>
      <c r="G58" s="28">
        <v>0</v>
      </c>
      <c r="H58" s="110"/>
    </row>
    <row r="59" spans="1:8" s="19" customFormat="1" ht="47.25" customHeight="1" thickBot="1">
      <c r="A59" s="112" t="str">
        <f>IF('Main Methodology'!H102="Yes","Yes","No")</f>
        <v>Yes</v>
      </c>
      <c r="B59" s="113"/>
      <c r="C59" s="141" t="s">
        <v>10</v>
      </c>
      <c r="D59" s="113" t="s">
        <v>119</v>
      </c>
      <c r="E59" s="114" t="s">
        <v>250</v>
      </c>
      <c r="F59" s="115" t="s">
        <v>251</v>
      </c>
      <c r="G59" s="117">
        <v>0</v>
      </c>
      <c r="H59" s="118"/>
    </row>
    <row r="60" spans="1:8" ht="18.75">
      <c r="A60" s="308" t="s">
        <v>270</v>
      </c>
      <c r="B60" s="309"/>
      <c r="C60" s="309"/>
      <c r="D60" s="309"/>
      <c r="E60" s="309"/>
      <c r="F60" s="309"/>
      <c r="G60" s="309"/>
      <c r="H60" s="310"/>
    </row>
    <row r="61" spans="1:8" ht="31.5">
      <c r="A61" s="140" t="s">
        <v>10</v>
      </c>
      <c r="C61" s="19" t="s">
        <v>10</v>
      </c>
      <c r="D61" s="19" t="s">
        <v>12</v>
      </c>
      <c r="E61" s="10" t="s">
        <v>271</v>
      </c>
      <c r="F61" s="264" t="s">
        <v>272</v>
      </c>
      <c r="G61" t="s">
        <v>290</v>
      </c>
      <c r="H61" s="177"/>
    </row>
    <row r="62" spans="1:8" ht="23.25">
      <c r="A62" s="140" t="s">
        <v>10</v>
      </c>
      <c r="C62" s="19" t="s">
        <v>10</v>
      </c>
      <c r="D62" s="19" t="s">
        <v>12</v>
      </c>
      <c r="E62" s="29" t="s">
        <v>274</v>
      </c>
      <c r="F62" s="264" t="s">
        <v>275</v>
      </c>
      <c r="G62" s="19" t="s">
        <v>81</v>
      </c>
      <c r="H62" s="177"/>
    </row>
    <row r="63" spans="1:8" ht="31.5">
      <c r="A63" s="140" t="s">
        <v>10</v>
      </c>
      <c r="C63" s="19" t="s">
        <v>10</v>
      </c>
      <c r="D63" t="s">
        <v>119</v>
      </c>
      <c r="E63" s="29" t="s">
        <v>146</v>
      </c>
      <c r="F63" s="27" t="s">
        <v>147</v>
      </c>
      <c r="G63" s="28">
        <v>0</v>
      </c>
      <c r="H63" s="110"/>
    </row>
    <row r="64" spans="1:8" ht="31.5">
      <c r="A64" s="107" t="s">
        <v>10</v>
      </c>
      <c r="B64" s="31"/>
      <c r="C64" s="49" t="s">
        <v>83</v>
      </c>
      <c r="D64" s="48" t="s">
        <v>91</v>
      </c>
      <c r="E64" s="23" t="s">
        <v>140</v>
      </c>
      <c r="F64" s="24" t="s">
        <v>141</v>
      </c>
      <c r="G64" s="25">
        <v>0.2</v>
      </c>
      <c r="H64" s="148" t="s">
        <v>264</v>
      </c>
    </row>
    <row r="65" spans="1:8" ht="31.5">
      <c r="A65" s="109" t="s">
        <v>10</v>
      </c>
      <c r="B65" s="52"/>
      <c r="C65" s="52" t="s">
        <v>118</v>
      </c>
      <c r="D65" s="52" t="s">
        <v>119</v>
      </c>
      <c r="E65" s="29" t="s">
        <v>143</v>
      </c>
      <c r="F65" s="27" t="s">
        <v>144</v>
      </c>
      <c r="G65" s="28">
        <v>0</v>
      </c>
      <c r="H65" s="110"/>
    </row>
    <row r="66" spans="1:8" ht="18.75">
      <c r="A66" s="305" t="s">
        <v>265</v>
      </c>
      <c r="B66" s="306"/>
      <c r="C66" s="306"/>
      <c r="D66" s="306"/>
      <c r="E66" s="306"/>
      <c r="F66" s="306"/>
      <c r="G66" s="306"/>
      <c r="H66" s="307"/>
    </row>
    <row r="67" spans="1:8" ht="23.25">
      <c r="A67" s="109" t="s">
        <v>10</v>
      </c>
      <c r="C67" s="19" t="s">
        <v>10</v>
      </c>
      <c r="D67" s="19" t="s">
        <v>12</v>
      </c>
      <c r="E67" s="29" t="s">
        <v>276</v>
      </c>
      <c r="F67" s="264" t="s">
        <v>277</v>
      </c>
      <c r="G67" s="28" t="s">
        <v>81</v>
      </c>
      <c r="H67" s="110" t="s">
        <v>278</v>
      </c>
    </row>
    <row r="68" spans="1:8" ht="23.25">
      <c r="A68" s="109" t="s">
        <v>10</v>
      </c>
      <c r="C68" s="19" t="s">
        <v>10</v>
      </c>
      <c r="D68" s="19" t="s">
        <v>12</v>
      </c>
      <c r="E68" s="29" t="s">
        <v>279</v>
      </c>
      <c r="F68" s="264" t="s">
        <v>291</v>
      </c>
      <c r="G68" s="28" t="s">
        <v>81</v>
      </c>
      <c r="H68" s="110" t="s">
        <v>278</v>
      </c>
    </row>
    <row r="69" spans="1:8" s="19" customFormat="1" ht="31.5">
      <c r="A69" s="164" t="s">
        <v>10</v>
      </c>
      <c r="B69" s="51"/>
      <c r="C69" s="51" t="s">
        <v>83</v>
      </c>
      <c r="D69" s="51" t="s">
        <v>91</v>
      </c>
      <c r="E69" s="23" t="s">
        <v>163</v>
      </c>
      <c r="F69" s="24" t="s">
        <v>164</v>
      </c>
      <c r="G69" s="25">
        <f>IF('Main Methodology'!H65="No","(User Inputs Value)",((G71)*(1/3.6)*(G70)*(G72)))</f>
        <v>0</v>
      </c>
      <c r="H69" s="108" t="s">
        <v>266</v>
      </c>
    </row>
    <row r="70" spans="1:8" s="19" customFormat="1" ht="31.5">
      <c r="A70" s="109" t="s">
        <v>10</v>
      </c>
      <c r="B70" s="52"/>
      <c r="C70" s="52" t="s">
        <v>118</v>
      </c>
      <c r="D70" s="52" t="s">
        <v>119</v>
      </c>
      <c r="E70" s="29" t="s">
        <v>281</v>
      </c>
      <c r="F70" s="264" t="s">
        <v>282</v>
      </c>
      <c r="G70" s="28">
        <v>0</v>
      </c>
      <c r="H70" s="110" t="s">
        <v>278</v>
      </c>
    </row>
    <row r="71" spans="1:8" s="19" customFormat="1" ht="31.5">
      <c r="A71" s="109" t="s">
        <v>10</v>
      </c>
      <c r="B71" s="52"/>
      <c r="C71" s="52" t="s">
        <v>118</v>
      </c>
      <c r="D71" s="52" t="s">
        <v>119</v>
      </c>
      <c r="E71" s="29" t="s">
        <v>283</v>
      </c>
      <c r="F71" s="264" t="s">
        <v>284</v>
      </c>
      <c r="G71" s="28">
        <v>0</v>
      </c>
      <c r="H71" s="110" t="s">
        <v>278</v>
      </c>
    </row>
    <row r="72" spans="1:8" s="19" customFormat="1" ht="31.5">
      <c r="A72" s="109" t="s">
        <v>10</v>
      </c>
      <c r="B72" s="52"/>
      <c r="C72" s="52" t="s">
        <v>118</v>
      </c>
      <c r="D72" s="52" t="s">
        <v>119</v>
      </c>
      <c r="E72" s="29" t="s">
        <v>285</v>
      </c>
      <c r="F72" s="264" t="s">
        <v>286</v>
      </c>
      <c r="G72" s="28">
        <v>0</v>
      </c>
      <c r="H72" s="110" t="s">
        <v>278</v>
      </c>
    </row>
    <row r="73" spans="1:8" ht="18.75">
      <c r="A73" s="305" t="s">
        <v>267</v>
      </c>
      <c r="B73" s="306"/>
      <c r="C73" s="306"/>
      <c r="D73" s="306"/>
      <c r="E73" s="306"/>
      <c r="F73" s="306"/>
      <c r="G73" s="306"/>
      <c r="H73" s="307"/>
    </row>
    <row r="74" spans="1:8" s="19" customFormat="1" ht="58.5" customHeight="1">
      <c r="A74" s="109" t="s">
        <v>10</v>
      </c>
      <c r="B74" s="52"/>
      <c r="C74" s="52" t="s">
        <v>118</v>
      </c>
      <c r="D74" s="52" t="s">
        <v>119</v>
      </c>
      <c r="E74" s="29" t="s">
        <v>182</v>
      </c>
      <c r="F74" s="27" t="s">
        <v>183</v>
      </c>
      <c r="G74" s="265">
        <v>0</v>
      </c>
      <c r="H74" s="111"/>
    </row>
    <row r="75" spans="1:8" ht="26.25">
      <c r="A75" s="109" t="s">
        <v>10</v>
      </c>
      <c r="B75" s="52"/>
      <c r="C75" s="52" t="s">
        <v>118</v>
      </c>
      <c r="D75" s="52" t="s">
        <v>119</v>
      </c>
      <c r="E75" s="29" t="s">
        <v>184</v>
      </c>
      <c r="F75" s="264" t="s">
        <v>287</v>
      </c>
      <c r="G75" s="28">
        <v>0</v>
      </c>
      <c r="H75" s="110"/>
    </row>
    <row r="76" spans="1:8" ht="18.75">
      <c r="A76" s="305" t="s">
        <v>268</v>
      </c>
      <c r="B76" s="306"/>
      <c r="C76" s="306"/>
      <c r="D76" s="306"/>
      <c r="E76" s="306"/>
      <c r="F76" s="306"/>
      <c r="G76" s="306"/>
      <c r="H76" s="307"/>
    </row>
    <row r="77" spans="1:8" s="19" customFormat="1" ht="48.75">
      <c r="A77" s="109" t="s">
        <v>10</v>
      </c>
      <c r="B77" s="52"/>
      <c r="C77" s="52" t="s">
        <v>118</v>
      </c>
      <c r="D77" s="52" t="s">
        <v>119</v>
      </c>
      <c r="E77" s="29" t="s">
        <v>188</v>
      </c>
      <c r="F77" s="27" t="s">
        <v>189</v>
      </c>
      <c r="G77" s="265">
        <v>0</v>
      </c>
      <c r="H77" s="111"/>
    </row>
    <row r="78" spans="1:8" ht="18.75">
      <c r="A78" s="305" t="s">
        <v>269</v>
      </c>
      <c r="B78" s="306"/>
      <c r="C78" s="306"/>
      <c r="D78" s="306"/>
      <c r="E78" s="306"/>
      <c r="F78" s="306"/>
      <c r="G78" s="306"/>
      <c r="H78" s="307"/>
    </row>
    <row r="79" spans="1:8" s="19" customFormat="1" ht="47.25" customHeight="1">
      <c r="A79" s="109" t="str">
        <f>IF('Main Methodology'!H102="Yes","Yes","No")</f>
        <v>Yes</v>
      </c>
      <c r="B79" s="52"/>
      <c r="C79" s="266" t="s">
        <v>118</v>
      </c>
      <c r="D79" s="52" t="s">
        <v>119</v>
      </c>
      <c r="E79" s="29" t="s">
        <v>217</v>
      </c>
      <c r="F79" s="27" t="s">
        <v>218</v>
      </c>
      <c r="G79" s="28">
        <v>0</v>
      </c>
      <c r="H79" s="110"/>
    </row>
    <row r="80" spans="1:8" s="19" customFormat="1" ht="47.25" customHeight="1" thickBot="1">
      <c r="A80" s="112" t="str">
        <f>IF('Main Methodology'!H102="Yes","Yes","No")</f>
        <v>Yes</v>
      </c>
      <c r="B80" s="113"/>
      <c r="C80" s="141" t="s">
        <v>10</v>
      </c>
      <c r="D80" s="113" t="s">
        <v>119</v>
      </c>
      <c r="E80" s="114" t="s">
        <v>250</v>
      </c>
      <c r="F80" s="115" t="s">
        <v>251</v>
      </c>
      <c r="G80" s="117">
        <v>0</v>
      </c>
      <c r="H80" s="118"/>
    </row>
  </sheetData>
  <mergeCells count="20">
    <mergeCell ref="A6:H6"/>
    <mergeCell ref="A2:H2"/>
    <mergeCell ref="A18:H18"/>
    <mergeCell ref="A39:H39"/>
    <mergeCell ref="A24:H24"/>
    <mergeCell ref="A10:H10"/>
    <mergeCell ref="A31:H31"/>
    <mergeCell ref="A34:H34"/>
    <mergeCell ref="A76:H76"/>
    <mergeCell ref="A13:H13"/>
    <mergeCell ref="A36:H36"/>
    <mergeCell ref="A57:H57"/>
    <mergeCell ref="A78:H78"/>
    <mergeCell ref="A15:H15"/>
    <mergeCell ref="A45:H45"/>
    <mergeCell ref="A60:H60"/>
    <mergeCell ref="A66:H66"/>
    <mergeCell ref="A52:H52"/>
    <mergeCell ref="A73:H73"/>
    <mergeCell ref="A55:H55"/>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54BD-943C-4553-A86A-53E899680044}">
  <dimension ref="A1:H31"/>
  <sheetViews>
    <sheetView workbookViewId="0">
      <selection activeCell="I3" sqref="I3"/>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128" t="s">
        <v>0</v>
      </c>
      <c r="B1" s="128" t="s">
        <v>1</v>
      </c>
      <c r="C1" s="128" t="s">
        <v>1458</v>
      </c>
      <c r="D1" s="128" t="s">
        <v>3</v>
      </c>
      <c r="E1" s="128" t="s">
        <v>5</v>
      </c>
      <c r="F1" s="128" t="s">
        <v>6</v>
      </c>
      <c r="G1" s="128" t="s">
        <v>7</v>
      </c>
      <c r="H1" s="128" t="s">
        <v>8</v>
      </c>
    </row>
    <row r="2" spans="1:8" ht="18.75">
      <c r="A2" s="319" t="s">
        <v>1746</v>
      </c>
      <c r="B2" s="319"/>
      <c r="C2" s="319"/>
      <c r="D2" s="319"/>
      <c r="E2" s="319"/>
      <c r="F2" s="319"/>
      <c r="G2" s="319"/>
      <c r="H2" s="319"/>
    </row>
    <row r="3" spans="1:8">
      <c r="A3" t="s">
        <v>10</v>
      </c>
      <c r="C3" t="s">
        <v>11</v>
      </c>
      <c r="D3" t="s">
        <v>1369</v>
      </c>
      <c r="E3" t="s">
        <v>1139</v>
      </c>
      <c r="F3" t="s">
        <v>1747</v>
      </c>
      <c r="G3" s="4" t="s">
        <v>11</v>
      </c>
    </row>
    <row r="4" spans="1:8">
      <c r="A4" t="s">
        <v>10</v>
      </c>
      <c r="C4" t="s">
        <v>11</v>
      </c>
      <c r="D4" t="s">
        <v>1369</v>
      </c>
      <c r="E4" t="s">
        <v>1139</v>
      </c>
      <c r="F4" t="s">
        <v>1748</v>
      </c>
      <c r="G4" s="4" t="s">
        <v>1749</v>
      </c>
    </row>
    <row r="5" spans="1:8">
      <c r="A5" t="s">
        <v>10</v>
      </c>
      <c r="C5" t="s">
        <v>11</v>
      </c>
      <c r="D5" t="s">
        <v>1369</v>
      </c>
      <c r="E5" t="s">
        <v>1139</v>
      </c>
      <c r="F5" t="s">
        <v>1750</v>
      </c>
      <c r="G5" s="4" t="s">
        <v>10</v>
      </c>
    </row>
    <row r="6" spans="1:8">
      <c r="A6" t="s">
        <v>10</v>
      </c>
      <c r="C6" t="s">
        <v>11</v>
      </c>
      <c r="D6" t="s">
        <v>1369</v>
      </c>
      <c r="E6" t="s">
        <v>1139</v>
      </c>
      <c r="F6" t="s">
        <v>1751</v>
      </c>
      <c r="G6" s="4" t="s">
        <v>1752</v>
      </c>
    </row>
    <row r="7" spans="1:8" ht="18.75">
      <c r="A7" s="319" t="s">
        <v>1753</v>
      </c>
      <c r="B7" s="319"/>
      <c r="C7" s="319"/>
      <c r="D7" s="319"/>
      <c r="E7" s="319"/>
      <c r="F7" s="319"/>
      <c r="G7" s="319"/>
      <c r="H7" s="319"/>
    </row>
    <row r="8" spans="1:8">
      <c r="A8" s="17" t="s">
        <v>10</v>
      </c>
      <c r="B8" s="17"/>
      <c r="C8" s="17" t="s">
        <v>11</v>
      </c>
      <c r="D8" s="17" t="s">
        <v>91</v>
      </c>
      <c r="E8" s="17" t="s">
        <v>1754</v>
      </c>
      <c r="F8" s="17" t="s">
        <v>1755</v>
      </c>
      <c r="G8" s="16">
        <f>IF(AND(G3="Yes"),G10,IF(AND(G3="No",G4="Grid is located in LDC/SIDs/URC"),G15,IF(AND(G3="No",G4="Isolated System"),G24,IF(AND(G3="No",G4="Neither"),G15))))</f>
        <v>0.68500000000000005</v>
      </c>
      <c r="H8" s="17"/>
    </row>
    <row r="9" spans="1:8" ht="18.75">
      <c r="A9" s="319" t="s">
        <v>1756</v>
      </c>
      <c r="B9" s="319"/>
      <c r="C9" s="319"/>
      <c r="D9" s="319"/>
      <c r="E9" s="319"/>
      <c r="F9" s="319"/>
      <c r="G9" s="319"/>
      <c r="H9" s="319"/>
    </row>
    <row r="10" spans="1:8">
      <c r="A10" s="17" t="s">
        <v>10</v>
      </c>
      <c r="B10" s="17"/>
      <c r="C10" s="17" t="s">
        <v>11</v>
      </c>
      <c r="D10" s="17" t="s">
        <v>91</v>
      </c>
      <c r="E10" s="17" t="s">
        <v>1754</v>
      </c>
      <c r="F10" s="17" t="s">
        <v>1757</v>
      </c>
      <c r="G10" s="16">
        <f>G11*G12+'Tool 07 Build Margin'!G3*G13</f>
        <v>0</v>
      </c>
      <c r="H10" s="17"/>
    </row>
    <row r="11" spans="1:8">
      <c r="A11" s="17" t="s">
        <v>10</v>
      </c>
      <c r="B11" s="17"/>
      <c r="C11" s="17" t="s">
        <v>11</v>
      </c>
      <c r="D11" s="17" t="s">
        <v>1369</v>
      </c>
      <c r="E11" s="17" t="s">
        <v>1758</v>
      </c>
      <c r="F11" s="17" t="s">
        <v>1759</v>
      </c>
      <c r="G11" s="16">
        <f>'Tool 07 Average OM'!G4</f>
        <v>0.5164879</v>
      </c>
      <c r="H11" s="17"/>
    </row>
    <row r="12" spans="1:8">
      <c r="A12" s="17" t="s">
        <v>10</v>
      </c>
      <c r="B12" s="17"/>
      <c r="C12" s="17" t="s">
        <v>11</v>
      </c>
      <c r="D12" s="17" t="s">
        <v>1369</v>
      </c>
      <c r="E12" s="17" t="s">
        <v>1760</v>
      </c>
      <c r="F12" s="17" t="s">
        <v>1761</v>
      </c>
      <c r="G12" s="16" t="b">
        <f>IF(AND(G3="Yes",G5="Yes",G6="All Other Projects"),0.5,IF(AND(G3="Yes",G5="No",G6="All Other Projects"),0.25,IF(AND(G3="Yes",G5="Yes",G6="Wind and Solar Power Generation"),0.75,IF(AND(G3="Yes",G5="No",G6="Wind and Solar Power Generation"),0.75))))</f>
        <v>0</v>
      </c>
      <c r="H12" s="16"/>
    </row>
    <row r="13" spans="1:8">
      <c r="A13" s="17" t="s">
        <v>10</v>
      </c>
      <c r="B13" s="17"/>
      <c r="C13" s="17" t="s">
        <v>11</v>
      </c>
      <c r="D13" s="17" t="s">
        <v>1369</v>
      </c>
      <c r="E13" s="17" t="s">
        <v>1762</v>
      </c>
      <c r="F13" s="17" t="s">
        <v>1763</v>
      </c>
      <c r="G13" s="16" t="b">
        <f>IF(AND(G3="Yes",G5="Yes",G6="All Other Projects"),0.5,IF(AND(G3="Yes",G5="No",G6="All Other Projects"),0.75,IF(AND(G3="Yes",G5="Yes",G6="Wind and Solar Power Generation"),0.25,IF(AND(G3="Yes",G5="No",G6="Wind and Solar Power Generation"),0.25))))</f>
        <v>0</v>
      </c>
      <c r="H13" s="17"/>
    </row>
    <row r="14" spans="1:8" ht="18.75">
      <c r="A14" s="319" t="s">
        <v>1764</v>
      </c>
      <c r="B14" s="319"/>
      <c r="C14" s="319"/>
      <c r="D14" s="319"/>
      <c r="E14" s="319"/>
      <c r="F14" s="319"/>
      <c r="G14" s="319"/>
      <c r="H14" s="319"/>
    </row>
    <row r="15" spans="1:8">
      <c r="A15" s="17" t="s">
        <v>10</v>
      </c>
      <c r="B15" s="17"/>
      <c r="C15" s="17" t="s">
        <v>11</v>
      </c>
      <c r="D15" s="17" t="s">
        <v>91</v>
      </c>
      <c r="E15" s="17" t="s">
        <v>1754</v>
      </c>
      <c r="F15" s="17" t="s">
        <v>1757</v>
      </c>
      <c r="G15" s="16">
        <f>G22*G16+G18*G17</f>
        <v>0</v>
      </c>
      <c r="H15" s="17"/>
    </row>
    <row r="16" spans="1:8">
      <c r="A16" s="17" t="s">
        <v>10</v>
      </c>
      <c r="B16" s="17"/>
      <c r="C16" s="17" t="s">
        <v>11</v>
      </c>
      <c r="D16" s="17" t="s">
        <v>1369</v>
      </c>
      <c r="E16" s="17" t="s">
        <v>1760</v>
      </c>
      <c r="F16" s="17" t="s">
        <v>1761</v>
      </c>
      <c r="G16" s="16" t="b">
        <f>IF(G3="No",IF(AND(G4="Grid is located in LDC/SIDs/URC"),1,IF(AND(G3="No",G4="Neither",G5="Yes",G6="All Other Projects"),0.5,IF(AND(G3="No",G4="Neither",G5="No",G6="All Other Projects"),0.25,IF(AND(G3="No",G4="Neither",G5="Yes",G6="Wind and Solar Power Generation"),0.75,IF(AND(G3="No",G4="Neither",G5="No",G6="Wind and Solar Power Generation"),0.75))))))</f>
        <v>0</v>
      </c>
      <c r="H16" s="16"/>
    </row>
    <row r="17" spans="1:8">
      <c r="A17" s="17" t="s">
        <v>10</v>
      </c>
      <c r="B17" s="17"/>
      <c r="C17" s="17" t="s">
        <v>11</v>
      </c>
      <c r="D17" s="17" t="s">
        <v>1369</v>
      </c>
      <c r="E17" s="17" t="s">
        <v>1762</v>
      </c>
      <c r="F17" s="17" t="s">
        <v>1763</v>
      </c>
      <c r="G17" s="16" t="b">
        <f>IF(G3="No",IF(AND(G4="Grid is located in LDC/SIDs/URC"),1,IF(AND(G3="No",G4="Neither",G5="Yes",G6="All Other Projects"),0.5,IF(AND(G3="No",G4="Neither",G5="No",G6="All Other Projects"),0.75,IF(AND(G3="No",G4="Neither",G5="Yes",G6="Wind and Solar Power Generation"),0.25,IF(AND(G3="No",G4="Neither",G5="No",G6="Wind and Solar Power Generation"),0.25))))))</f>
        <v>0</v>
      </c>
      <c r="H17" s="17"/>
    </row>
    <row r="18" spans="1:8">
      <c r="A18" s="17" t="s">
        <v>10</v>
      </c>
      <c r="B18" s="17"/>
      <c r="C18" s="17" t="s">
        <v>11</v>
      </c>
      <c r="D18" s="17" t="s">
        <v>1369</v>
      </c>
      <c r="E18" s="17" t="s">
        <v>1728</v>
      </c>
      <c r="F18" s="17" t="s">
        <v>1729</v>
      </c>
      <c r="G18" s="16" t="b">
        <f>IF(AND(G19="Yes",G4="Neither",G20="Less than or equal",G21="Yes"),0.326,IF(AND(G19="Yes",G4="Neither",G20="Less than or equal",G21="No"),0.568,IF(AND(G19="Yes",G4="Neither",G20="More than or equal"),0,IF(AND(G19="No",G4="Grid is located in LDC/SIDs/URC"),'Tool 07 Build Margin'!G3))))</f>
        <v>0</v>
      </c>
      <c r="H18" s="17"/>
    </row>
    <row r="19" spans="1:8">
      <c r="A19" t="s">
        <v>10</v>
      </c>
      <c r="C19" t="s">
        <v>11</v>
      </c>
      <c r="D19" t="s">
        <v>1369</v>
      </c>
      <c r="E19" t="s">
        <v>1139</v>
      </c>
      <c r="F19" s="7" t="s">
        <v>1765</v>
      </c>
      <c r="G19" s="4" t="s">
        <v>11</v>
      </c>
    </row>
    <row r="20" spans="1:8" ht="45">
      <c r="A20" t="s">
        <v>10</v>
      </c>
      <c r="C20" t="s">
        <v>11</v>
      </c>
      <c r="D20" t="s">
        <v>1369</v>
      </c>
      <c r="E20" t="s">
        <v>1139</v>
      </c>
      <c r="F20" s="7" t="s">
        <v>1766</v>
      </c>
      <c r="G20" s="4" t="s">
        <v>1767</v>
      </c>
    </row>
    <row r="21" spans="1:8" ht="30">
      <c r="A21" t="s">
        <v>10</v>
      </c>
      <c r="C21" t="s">
        <v>11</v>
      </c>
      <c r="D21" t="s">
        <v>1369</v>
      </c>
      <c r="E21" t="s">
        <v>1139</v>
      </c>
      <c r="F21" s="7" t="s">
        <v>1768</v>
      </c>
      <c r="G21" s="4" t="s">
        <v>10</v>
      </c>
    </row>
    <row r="22" spans="1:8">
      <c r="A22" s="17" t="s">
        <v>10</v>
      </c>
      <c r="B22" s="17"/>
      <c r="C22" s="17" t="s">
        <v>11</v>
      </c>
      <c r="D22" s="17" t="s">
        <v>1369</v>
      </c>
      <c r="E22" s="17" t="s">
        <v>1758</v>
      </c>
      <c r="F22" s="17" t="s">
        <v>1759</v>
      </c>
      <c r="G22" s="16">
        <f>IF(AND('Tool 07 Average OM'!G3="Option A"),'Tool 07 Average OM'!G6,IF('Tool 07 Average OM'!G3="Option B",'Tool 07 Average OM'!G30))</f>
        <v>0.5164879</v>
      </c>
      <c r="H22" s="17"/>
    </row>
    <row r="23" spans="1:8" ht="18.75">
      <c r="A23" s="319" t="s">
        <v>1769</v>
      </c>
      <c r="B23" s="319"/>
      <c r="C23" s="319"/>
      <c r="D23" s="319"/>
      <c r="E23" s="319"/>
      <c r="F23" s="319"/>
      <c r="G23" s="319"/>
      <c r="H23" s="319"/>
    </row>
    <row r="24" spans="1:8">
      <c r="A24" s="17" t="s">
        <v>10</v>
      </c>
      <c r="B24" s="17"/>
      <c r="C24" s="17" t="s">
        <v>11</v>
      </c>
      <c r="D24" s="17" t="s">
        <v>1369</v>
      </c>
      <c r="E24" s="17" t="s">
        <v>1754</v>
      </c>
      <c r="F24" s="17" t="s">
        <v>1757</v>
      </c>
      <c r="G24" s="16">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17"/>
    </row>
    <row r="25" spans="1:8">
      <c r="A25" s="17" t="s">
        <v>10</v>
      </c>
      <c r="B25" s="17"/>
      <c r="C25" s="17" t="s">
        <v>11</v>
      </c>
      <c r="D25" s="17" t="s">
        <v>1369</v>
      </c>
      <c r="E25" s="17" t="s">
        <v>1760</v>
      </c>
      <c r="F25" s="17" t="s">
        <v>1761</v>
      </c>
      <c r="G25" s="16">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16"/>
    </row>
    <row r="26" spans="1:8">
      <c r="A26" s="17" t="s">
        <v>10</v>
      </c>
      <c r="B26" s="17"/>
      <c r="C26" s="17" t="s">
        <v>11</v>
      </c>
      <c r="D26" s="17" t="s">
        <v>1369</v>
      </c>
      <c r="E26" s="17" t="s">
        <v>1762</v>
      </c>
      <c r="F26" s="17" t="s">
        <v>1763</v>
      </c>
      <c r="G26" s="16">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17"/>
    </row>
    <row r="27" spans="1:8">
      <c r="A27" s="17" t="s">
        <v>10</v>
      </c>
      <c r="B27" s="17"/>
      <c r="C27" s="17" t="s">
        <v>11</v>
      </c>
      <c r="D27" s="17" t="s">
        <v>1369</v>
      </c>
      <c r="E27" s="17" t="s">
        <v>1758</v>
      </c>
      <c r="F27" s="17" t="s">
        <v>1759</v>
      </c>
      <c r="G27" s="16">
        <f>IF(AND(G29="Single"),0.79,IF(AND(G29="Multiple",G30="Isolated grid system with only liquid fuel power plant"),0.79))</f>
        <v>0.79</v>
      </c>
      <c r="H27" s="17"/>
    </row>
    <row r="28" spans="1:8">
      <c r="A28" s="17" t="s">
        <v>10</v>
      </c>
      <c r="B28" s="17"/>
      <c r="C28" s="17" t="s">
        <v>11</v>
      </c>
      <c r="D28" s="17" t="s">
        <v>1369</v>
      </c>
      <c r="E28" s="17" t="s">
        <v>1728</v>
      </c>
      <c r="F28" s="17" t="s">
        <v>1729</v>
      </c>
      <c r="G28" s="16">
        <f>IF(AND(G29="Single"),0.58,IF(AND(G29="Multiple",G30="Isolated grid system with only liquid fuel power plant"),0.58))</f>
        <v>0.57999999999999996</v>
      </c>
      <c r="H28" s="17"/>
    </row>
    <row r="29" spans="1:8" ht="30">
      <c r="A29" t="s">
        <v>10</v>
      </c>
      <c r="C29" t="s">
        <v>11</v>
      </c>
      <c r="E29" t="s">
        <v>1139</v>
      </c>
      <c r="F29" s="7" t="s">
        <v>1770</v>
      </c>
      <c r="G29" s="4" t="s">
        <v>1771</v>
      </c>
      <c r="H29" s="7" t="s">
        <v>1772</v>
      </c>
    </row>
    <row r="30" spans="1:8" ht="75">
      <c r="A30" t="s">
        <v>10</v>
      </c>
      <c r="C30" t="s">
        <v>11</v>
      </c>
      <c r="E30" t="s">
        <v>1139</v>
      </c>
      <c r="F30" t="s">
        <v>1773</v>
      </c>
      <c r="G30" s="137" t="s">
        <v>1774</v>
      </c>
      <c r="H30" s="7" t="s">
        <v>1775</v>
      </c>
    </row>
    <row r="31" spans="1:8">
      <c r="A31" t="s">
        <v>10</v>
      </c>
      <c r="C31" t="s">
        <v>11</v>
      </c>
      <c r="E31" t="s">
        <v>1139</v>
      </c>
      <c r="F31" t="s">
        <v>1776</v>
      </c>
      <c r="G31" s="4" t="s">
        <v>10</v>
      </c>
    </row>
  </sheetData>
  <mergeCells count="5">
    <mergeCell ref="A2:H2"/>
    <mergeCell ref="A7:H7"/>
    <mergeCell ref="A9:H9"/>
    <mergeCell ref="A14:H14"/>
    <mergeCell ref="A23:H23"/>
  </mergeCells>
  <dataValidations count="7">
    <dataValidation type="list" allowBlank="1" showInputMessage="1" showErrorMessage="1" sqref="G4" xr:uid="{968867A2-4B8E-4FC3-A60E-EECF79D525DC}">
      <formula1>"Grid is located in LDC/SIDs/URC, Isolated System,Neither"</formula1>
    </dataValidation>
    <dataValidation type="list" allowBlank="1" showInputMessage="1" showErrorMessage="1" sqref="G30" xr:uid="{17E54AAC-477B-4ABF-BD68-3BB7CF0F4F01}">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6CD3F771-5FE7-4CC1-8750-572024CCC004}">
      <formula1>"Single, Multiple"</formula1>
    </dataValidation>
    <dataValidation type="list" allowBlank="1" showInputMessage="1" showErrorMessage="1" sqref="G20" xr:uid="{043D9DD1-E2A1-4162-8D13-8D6573779408}">
      <formula1>"Less than or equal, More than or equal"</formula1>
    </dataValidation>
    <dataValidation type="list" allowBlank="1" showInputMessage="1" showErrorMessage="1" sqref="G6" xr:uid="{3FBFD03B-7317-47DC-8AE4-F5394D928410}">
      <formula1>"Wind and Solar Power Generation,All Other Projects"</formula1>
    </dataValidation>
    <dataValidation type="list" allowBlank="1" showInputMessage="1" showErrorMessage="1" sqref="D10:D13 D3:D6 D8 D24:D31 D15:D22" xr:uid="{2840129F-B330-4840-B43D-C23987BC1BA1}">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0B33A203-63CF-4EC9-843B-A13E2FC9C369}">
      <formula1>"Yes,No"</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8474-0966-4729-8CC3-D3436E051394}">
  <sheetPr codeName="Sheet20"/>
  <dimension ref="A1:H27"/>
  <sheetViews>
    <sheetView workbookViewId="0">
      <selection activeCell="B10" sqref="B10"/>
    </sheetView>
  </sheetViews>
  <sheetFormatPr defaultRowHeight="15"/>
  <cols>
    <col min="1" max="1" width="3.140625" customWidth="1"/>
    <col min="2" max="2" width="87.5703125" style="7" customWidth="1"/>
    <col min="3" max="3" width="5" customWidth="1"/>
    <col min="4" max="4" width="5.28515625" customWidth="1"/>
    <col min="5" max="5" width="11" customWidth="1"/>
    <col min="6" max="6" width="29.7109375" customWidth="1"/>
    <col min="7" max="7" width="16.28515625" customWidth="1"/>
    <col min="8" max="8" width="18.5703125" customWidth="1"/>
  </cols>
  <sheetData>
    <row r="1" spans="1:8">
      <c r="A1" t="s">
        <v>5</v>
      </c>
      <c r="B1" t="s">
        <v>6</v>
      </c>
      <c r="C1" t="s">
        <v>7</v>
      </c>
      <c r="D1" t="s">
        <v>1135</v>
      </c>
      <c r="E1" t="s">
        <v>3</v>
      </c>
      <c r="F1" t="s">
        <v>8</v>
      </c>
      <c r="G1" t="s">
        <v>2</v>
      </c>
      <c r="H1" t="s">
        <v>1</v>
      </c>
    </row>
    <row r="2" spans="1:8" ht="30">
      <c r="B2" s="7" t="s">
        <v>1777</v>
      </c>
      <c r="C2" t="s">
        <v>10</v>
      </c>
      <c r="D2" t="s">
        <v>10</v>
      </c>
      <c r="E2" t="s">
        <v>1139</v>
      </c>
      <c r="F2" t="s">
        <v>1778</v>
      </c>
      <c r="G2" t="s">
        <v>11</v>
      </c>
    </row>
    <row r="3" spans="1:8">
      <c r="B3" s="7" t="s">
        <v>1779</v>
      </c>
      <c r="C3" t="s">
        <v>1780</v>
      </c>
      <c r="D3" t="s">
        <v>10</v>
      </c>
      <c r="E3" t="s">
        <v>1139</v>
      </c>
      <c r="G3" t="s">
        <v>11</v>
      </c>
    </row>
    <row r="4" spans="1:8">
      <c r="B4" s="7" t="s">
        <v>1781</v>
      </c>
      <c r="C4" t="s">
        <v>10</v>
      </c>
      <c r="D4" t="str">
        <f>IF(OR(C3="Option A: Use the manufacturer’s load-efficiency function",C3="Option E: Determine the efficiency based on measurements and use a conservative value"),"Yes","No")</f>
        <v>No</v>
      </c>
      <c r="E4" t="s">
        <v>1139</v>
      </c>
    </row>
    <row r="5" spans="1:8" ht="30">
      <c r="B5" s="7" t="s">
        <v>1782</v>
      </c>
      <c r="D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Yes</v>
      </c>
      <c r="E5" t="s">
        <v>12</v>
      </c>
      <c r="F5" t="s">
        <v>1783</v>
      </c>
      <c r="G5" t="s">
        <v>11</v>
      </c>
    </row>
    <row r="6" spans="1:8">
      <c r="B6" s="7" t="s">
        <v>1784</v>
      </c>
      <c r="C6" t="s">
        <v>11</v>
      </c>
      <c r="D6" t="s">
        <v>10</v>
      </c>
      <c r="E6" t="s">
        <v>1139</v>
      </c>
      <c r="G6" t="s">
        <v>11</v>
      </c>
    </row>
    <row r="7" spans="1:8" ht="30">
      <c r="B7" s="7" t="s">
        <v>1785</v>
      </c>
      <c r="C7" t="s">
        <v>10</v>
      </c>
      <c r="D7" t="str">
        <f>IF(OR(C3="Option A: Use the manufacturer’s load-efficiency function",C3="Option D: Use the manufacturer’s efficiency values"),"Yes","No")</f>
        <v>No</v>
      </c>
      <c r="E7" t="s">
        <v>1139</v>
      </c>
      <c r="F7" t="s">
        <v>1786</v>
      </c>
      <c r="G7" t="s">
        <v>11</v>
      </c>
    </row>
    <row r="8" spans="1:8" ht="30">
      <c r="B8" s="7" t="s">
        <v>1787</v>
      </c>
      <c r="C8" t="s">
        <v>10</v>
      </c>
      <c r="D8" t="str">
        <f>IF(C3="Option A: Use the manufacturer’s load-efficiency function","Yes","No")</f>
        <v>No</v>
      </c>
      <c r="E8" t="s">
        <v>1139</v>
      </c>
      <c r="G8" t="s">
        <v>11</v>
      </c>
    </row>
    <row r="9" spans="1:8">
      <c r="B9" s="7" t="s">
        <v>1788</v>
      </c>
      <c r="C9" t="s">
        <v>10</v>
      </c>
      <c r="D9" t="str">
        <f>IF(C3="Option A: Use the manufacturer’s load-efficiency function","Yes","No")</f>
        <v>No</v>
      </c>
      <c r="E9" t="s">
        <v>1139</v>
      </c>
      <c r="G9" t="s">
        <v>11</v>
      </c>
    </row>
    <row r="10" spans="1:8" ht="30">
      <c r="B10" s="7" t="s">
        <v>1789</v>
      </c>
      <c r="C10" t="s">
        <v>11</v>
      </c>
      <c r="D10" t="str">
        <f>IF(OR(C3="Option A: Use the manufacturer’s load-efficiency function",C3="Option C: Establish the efficiency based on historical data and a regression analysis"),"Yes","No")</f>
        <v>Yes</v>
      </c>
      <c r="E10" t="s">
        <v>1139</v>
      </c>
      <c r="G10" t="s">
        <v>11</v>
      </c>
    </row>
    <row r="11" spans="1:8" ht="45">
      <c r="B11" s="7" t="s">
        <v>1790</v>
      </c>
      <c r="C11" t="s">
        <v>10</v>
      </c>
      <c r="D11" t="str">
        <f>IF(AND(C3="Option C: Establish the efficiency based on historical data and a regression analysis",C6="No"),"Yes","No")</f>
        <v>Yes</v>
      </c>
      <c r="E11" t="s">
        <v>1139</v>
      </c>
      <c r="G11" t="s">
        <v>11</v>
      </c>
    </row>
    <row r="12" spans="1:8" ht="30">
      <c r="B12" s="7" t="s">
        <v>1791</v>
      </c>
      <c r="C12" t="s">
        <v>10</v>
      </c>
      <c r="D12" t="str">
        <f>IF(AND(C3="Option C: Establish the efficiency based on historical data and a regression analysis",C6="Yes"),"Yes","No")</f>
        <v>No</v>
      </c>
      <c r="E12" t="s">
        <v>1139</v>
      </c>
      <c r="G12" t="s">
        <v>11</v>
      </c>
    </row>
    <row r="13" spans="1:8" s="215" customFormat="1">
      <c r="B13" s="257" t="s">
        <v>1792</v>
      </c>
      <c r="D13" s="215" t="str">
        <f>IF(AND(C2="Yes",C3="Option A: Use the manufacturer’s load-efficiency function",C4="Yes",C6="No",C7="Yes",C8="Yes",C9="Yes",C10="No"),"Yes","NA")</f>
        <v>NA</v>
      </c>
    </row>
    <row r="14" spans="1:8" ht="30">
      <c r="A14" t="s">
        <v>1793</v>
      </c>
      <c r="B14" s="7" t="s">
        <v>1794</v>
      </c>
      <c r="D14" t="str">
        <f>IF(AND(C2="Yes",C3="Option A: Use the manufacturer’s load-efficiency function",C4="Yes",C6="No",C7="Yes",C8="Yes",C9="Yes",C10="No"),"Yes","NA")</f>
        <v>NA</v>
      </c>
      <c r="E14" t="s">
        <v>1795</v>
      </c>
      <c r="G14" t="s">
        <v>1796</v>
      </c>
    </row>
    <row r="15" spans="1:8" s="215" customFormat="1">
      <c r="B15" s="257" t="s">
        <v>1797</v>
      </c>
      <c r="D15" s="215" t="str">
        <f>IF(AND(C2="Yes",C3="Option B: Establish a load-efficiency function based on measurements and a regression analysis",C6="No"),"Yes","NA")</f>
        <v>NA</v>
      </c>
    </row>
    <row r="16" spans="1:8" ht="30">
      <c r="A16" t="s">
        <v>1793</v>
      </c>
      <c r="B16" s="7" t="s">
        <v>1794</v>
      </c>
      <c r="D16" t="str">
        <f>IF(AND(C2="Yes",C3="Option B: Establish a load-efficiency function based on measurements and a regression analysis",C6="No"),"Yes","NA")</f>
        <v>NA</v>
      </c>
      <c r="E16" t="s">
        <v>1795</v>
      </c>
      <c r="F16" t="s">
        <v>1798</v>
      </c>
      <c r="G16" t="s">
        <v>11</v>
      </c>
    </row>
    <row r="17" spans="1:7" s="258" customFormat="1">
      <c r="B17" s="257" t="s">
        <v>1799</v>
      </c>
      <c r="D17" s="215" t="str">
        <f>IF(AND(C2="Yes",C3="Option C: Establish the efficiency based on historical data and a regression analysis"),"Yes","NA")</f>
        <v>Yes</v>
      </c>
    </row>
    <row r="18" spans="1:7">
      <c r="A18" t="s">
        <v>1800</v>
      </c>
      <c r="B18" s="7" t="s">
        <v>1801</v>
      </c>
      <c r="D18" t="str">
        <f>IF(AND(C2="Yes",C3="Option C: Establish the efficiency based on historical data and a regression analysis",C6="Yes",C10="No",C12="Yes"),"Yes","NA")</f>
        <v>NA</v>
      </c>
      <c r="E18" t="s">
        <v>119</v>
      </c>
      <c r="F18" t="s">
        <v>1802</v>
      </c>
      <c r="G18" t="s">
        <v>11</v>
      </c>
    </row>
    <row r="19" spans="1:7" ht="30">
      <c r="A19" t="s">
        <v>1793</v>
      </c>
      <c r="B19" s="7" t="s">
        <v>1794</v>
      </c>
      <c r="D19" t="str">
        <f>IF(AND(C2="Yes",C3="Option C: Establish the efficiency based on historical data and a regression analysis",C6="No",C10="No",C11="Yes"),"Yes","NA")</f>
        <v>Yes</v>
      </c>
      <c r="E19" t="s">
        <v>1795</v>
      </c>
      <c r="F19" t="s">
        <v>1803</v>
      </c>
      <c r="G19" t="s">
        <v>11</v>
      </c>
    </row>
    <row r="20" spans="1:7" s="258" customFormat="1">
      <c r="B20" s="257" t="s">
        <v>1804</v>
      </c>
      <c r="D20" s="215" t="str">
        <f>IF(AND(C2="Yes",C3="Option D: Use the manufacturer’s efficiency values",C6="Yes",C7="No",C10="No"),"Yes","NA")</f>
        <v>NA</v>
      </c>
    </row>
    <row r="21" spans="1:7">
      <c r="A21" t="s">
        <v>1800</v>
      </c>
      <c r="B21" s="7" t="s">
        <v>1801</v>
      </c>
      <c r="D21" t="str">
        <f>IF(AND(C2="Yes",C3="Option D: Use the manufacturer’s efficiency values",C6="Yes",C7="No",C10="No"),"Yes","NA")</f>
        <v>NA</v>
      </c>
      <c r="E21" t="s">
        <v>119</v>
      </c>
      <c r="G21" t="s">
        <v>11</v>
      </c>
    </row>
    <row r="22" spans="1:7" s="258" customFormat="1">
      <c r="B22" s="257" t="s">
        <v>1805</v>
      </c>
      <c r="D22" s="215" t="str">
        <f>IF(AND(C2="Yes",C3="Option E: Determine the efficiency based on measurements and use a conservative value",C4="Yes",C6="Yes"),"Yes","NA")</f>
        <v>NA</v>
      </c>
    </row>
    <row r="23" spans="1:7">
      <c r="A23" t="s">
        <v>1800</v>
      </c>
      <c r="B23" s="7" t="s">
        <v>1801</v>
      </c>
      <c r="D23" t="str">
        <f>IF(AND(C2="Yes",C3="Option E: Determine the efficiency based on measurements and use a conservative value",C4="Yes",C6="Yes"),"Yes","NA")</f>
        <v>NA</v>
      </c>
      <c r="E23" t="s">
        <v>119</v>
      </c>
      <c r="F23" t="s">
        <v>1806</v>
      </c>
      <c r="G23" t="s">
        <v>11</v>
      </c>
    </row>
    <row r="24" spans="1:7" s="258" customFormat="1">
      <c r="B24" s="257" t="s">
        <v>1807</v>
      </c>
      <c r="D24" s="215" t="str">
        <f>IF(AND(C2="Yes",C3="Option F: Use a default value",C6="Yes"),"Yes","NA")</f>
        <v>NA</v>
      </c>
    </row>
    <row r="25" spans="1:7" ht="15.75" thickBot="1">
      <c r="A25" t="s">
        <v>1800</v>
      </c>
      <c r="B25" s="7" t="s">
        <v>1801</v>
      </c>
      <c r="D25" t="str">
        <f>IF(AND(C2="Yes",C3="Option F: Use a default value",C6="Yes"),"Yes","NA")</f>
        <v>NA</v>
      </c>
      <c r="E25" t="s">
        <v>119</v>
      </c>
      <c r="F25" t="s">
        <v>1808</v>
      </c>
      <c r="G25" t="s">
        <v>11</v>
      </c>
    </row>
    <row r="26" spans="1:7" s="262" customFormat="1" ht="20.25" thickBot="1">
      <c r="A26" s="259"/>
      <c r="B26" s="260" t="s">
        <v>1809</v>
      </c>
      <c r="C26" s="261">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v>
      </c>
      <c r="E26" s="262" t="s">
        <v>1810</v>
      </c>
      <c r="G26" s="262" t="s">
        <v>11</v>
      </c>
    </row>
    <row r="27" spans="1:7">
      <c r="B27" s="263"/>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95DA0D-B35C-48CE-A33B-C288BB754FDA}">
          <x14:formula1>
            <xm:f>'Tool 09 - Dropdown Items'!$D$2:$D$3</xm:f>
          </x14:formula1>
          <xm:sqref>C6:C12 C2 C4</xm:sqref>
        </x14:dataValidation>
        <x14:dataValidation type="list" allowBlank="1" showInputMessage="1" showErrorMessage="1" xr:uid="{7823750A-5C1E-4F17-B285-DB74E3739751}">
          <x14:formula1>
            <xm:f>'Tool 09 - Dropdown Items'!$A$2:$A$7</xm:f>
          </x14:formula1>
          <xm:sqref>C3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30F8-4480-4B53-B758-60402BA5BAFA}">
  <sheetPr codeName="Sheet21"/>
  <dimension ref="A1"/>
  <sheetViews>
    <sheetView topLeftCell="I10" workbookViewId="0">
      <selection activeCell="I10" sqref="I10"/>
    </sheetView>
  </sheetViews>
  <sheetFormatPr defaultRowHeight="1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E5007-DB2B-498F-B67C-D9732FC95E94}">
  <sheetPr codeName="Sheet22"/>
  <dimension ref="A1:D7"/>
  <sheetViews>
    <sheetView workbookViewId="0">
      <selection activeCell="F11" sqref="F11"/>
    </sheetView>
  </sheetViews>
  <sheetFormatPr defaultRowHeight="15"/>
  <sheetData>
    <row r="1" spans="1:4" s="212" customFormat="1">
      <c r="A1" s="212" t="s">
        <v>1811</v>
      </c>
      <c r="D1" s="212" t="s">
        <v>1812</v>
      </c>
    </row>
    <row r="2" spans="1:4">
      <c r="A2" t="s">
        <v>1792</v>
      </c>
      <c r="D2" t="s">
        <v>10</v>
      </c>
    </row>
    <row r="3" spans="1:4">
      <c r="A3" t="s">
        <v>1797</v>
      </c>
      <c r="D3" t="s">
        <v>11</v>
      </c>
    </row>
    <row r="4" spans="1:4">
      <c r="A4" t="s">
        <v>1780</v>
      </c>
    </row>
    <row r="5" spans="1:4">
      <c r="A5" t="s">
        <v>1804</v>
      </c>
    </row>
    <row r="6" spans="1:4">
      <c r="A6" t="s">
        <v>1805</v>
      </c>
    </row>
    <row r="7" spans="1:4">
      <c r="A7" t="s">
        <v>1807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C0BE-E2DE-4936-9566-80EE7104D68C}">
  <sheetPr codeName="Sheet23"/>
  <dimension ref="A1:H30"/>
  <sheetViews>
    <sheetView workbookViewId="0">
      <pane ySplit="1" topLeftCell="A2" activePane="bottomLeft" state="frozen"/>
      <selection pane="bottomLeft" activeCell="G19" sqref="G19"/>
      <selection activeCell="G19" sqref="G19"/>
    </sheetView>
  </sheetViews>
  <sheetFormatPr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13" bestFit="1" customWidth="1"/>
    <col min="8" max="8" width="87.85546875" customWidth="1"/>
    <col min="12" max="12" width="49.42578125" customWidth="1"/>
    <col min="13" max="13" width="17.42578125" customWidth="1"/>
  </cols>
  <sheetData>
    <row r="1" spans="1:8" ht="39.75" customHeight="1">
      <c r="A1" s="6" t="s">
        <v>0</v>
      </c>
      <c r="B1" s="6" t="s">
        <v>1</v>
      </c>
      <c r="C1" s="5" t="s">
        <v>2</v>
      </c>
      <c r="D1" s="6" t="s">
        <v>3</v>
      </c>
      <c r="E1" s="6" t="s">
        <v>5</v>
      </c>
      <c r="F1" s="1" t="s">
        <v>6</v>
      </c>
      <c r="G1" s="70" t="s">
        <v>7</v>
      </c>
      <c r="H1" s="5" t="s">
        <v>8</v>
      </c>
    </row>
    <row r="2" spans="1:8" ht="36.75" customHeight="1">
      <c r="A2" s="303" t="s">
        <v>1813</v>
      </c>
      <c r="B2" s="303"/>
      <c r="C2" s="303"/>
      <c r="D2" s="303"/>
      <c r="E2" s="303"/>
      <c r="F2" s="303"/>
      <c r="G2" s="303"/>
      <c r="H2" s="303"/>
    </row>
    <row r="3" spans="1:8" ht="78.75">
      <c r="A3" s="49" t="s">
        <v>118</v>
      </c>
      <c r="B3" s="49"/>
      <c r="C3" s="49" t="s">
        <v>118</v>
      </c>
      <c r="D3" s="48" t="s">
        <v>91</v>
      </c>
      <c r="E3" s="47" t="s">
        <v>1814</v>
      </c>
      <c r="F3" s="24" t="s">
        <v>1815</v>
      </c>
      <c r="G3" s="26">
        <f>G14</f>
        <v>15</v>
      </c>
      <c r="H3" s="22" t="s">
        <v>1816</v>
      </c>
    </row>
    <row r="4" spans="1:8" ht="33.75" customHeight="1">
      <c r="A4" s="33" t="s">
        <v>1817</v>
      </c>
      <c r="B4" s="33"/>
      <c r="C4" s="33" t="s">
        <v>118</v>
      </c>
      <c r="D4" s="33" t="s">
        <v>12</v>
      </c>
      <c r="E4" s="10"/>
      <c r="F4" s="9" t="s">
        <v>1818</v>
      </c>
      <c r="G4" s="13" t="s">
        <v>1819</v>
      </c>
    </row>
    <row r="5" spans="1:8" ht="39" customHeight="1">
      <c r="A5" s="303" t="s">
        <v>1820</v>
      </c>
      <c r="B5" s="303"/>
      <c r="C5" s="303"/>
      <c r="D5" s="303"/>
      <c r="E5" s="303"/>
      <c r="F5" s="303"/>
      <c r="G5" s="303"/>
      <c r="H5" s="303"/>
    </row>
    <row r="6" spans="1:8" ht="45" customHeight="1">
      <c r="A6" s="53" t="s">
        <v>118</v>
      </c>
      <c r="B6" s="33"/>
      <c r="C6" s="53" t="s">
        <v>118</v>
      </c>
      <c r="D6" s="33" t="s">
        <v>1821</v>
      </c>
      <c r="E6" s="45" t="s">
        <v>1814</v>
      </c>
      <c r="F6" s="27" t="s">
        <v>1822</v>
      </c>
      <c r="G6" s="46"/>
      <c r="H6" s="9" t="s">
        <v>1823</v>
      </c>
    </row>
    <row r="7" spans="1:8" ht="149.25" customHeight="1">
      <c r="A7" s="64" t="s">
        <v>1817</v>
      </c>
      <c r="B7" s="64"/>
      <c r="C7" s="64" t="s">
        <v>118</v>
      </c>
      <c r="D7" s="64" t="s">
        <v>84</v>
      </c>
      <c r="E7" s="56"/>
      <c r="F7" s="57" t="s">
        <v>1824</v>
      </c>
      <c r="G7" s="58" t="s">
        <v>118</v>
      </c>
      <c r="H7" s="59" t="s">
        <v>1825</v>
      </c>
    </row>
    <row r="8" spans="1:8" ht="26.25">
      <c r="A8" s="33" t="s">
        <v>1817</v>
      </c>
      <c r="B8" s="33"/>
      <c r="C8" s="33" t="s">
        <v>118</v>
      </c>
      <c r="D8" s="33" t="s">
        <v>12</v>
      </c>
      <c r="E8" s="10"/>
      <c r="F8" s="9" t="s">
        <v>1826</v>
      </c>
      <c r="G8" s="46" t="s">
        <v>1827</v>
      </c>
      <c r="H8" s="9" t="s">
        <v>1040</v>
      </c>
    </row>
    <row r="9" spans="1:8" ht="46.5" customHeight="1">
      <c r="A9" s="303" t="s">
        <v>1828</v>
      </c>
      <c r="B9" s="303"/>
      <c r="C9" s="303"/>
      <c r="D9" s="303"/>
      <c r="E9" s="303"/>
      <c r="F9" s="303"/>
      <c r="G9" s="303"/>
      <c r="H9" s="303"/>
    </row>
    <row r="10" spans="1:8" ht="48.75" customHeight="1">
      <c r="A10" s="53" t="s">
        <v>118</v>
      </c>
      <c r="B10" s="33"/>
      <c r="C10" s="53" t="s">
        <v>118</v>
      </c>
      <c r="D10" s="33" t="s">
        <v>1821</v>
      </c>
      <c r="E10" s="45" t="s">
        <v>1814</v>
      </c>
      <c r="F10" s="27" t="s">
        <v>1829</v>
      </c>
      <c r="G10" s="46"/>
      <c r="H10" s="9" t="s">
        <v>1823</v>
      </c>
    </row>
    <row r="11" spans="1:8" ht="103.5" customHeight="1">
      <c r="A11" s="64" t="s">
        <v>1817</v>
      </c>
      <c r="B11" s="64"/>
      <c r="C11" s="64" t="s">
        <v>118</v>
      </c>
      <c r="D11" s="64" t="s">
        <v>84</v>
      </c>
      <c r="E11" s="56"/>
      <c r="F11" s="57" t="s">
        <v>1830</v>
      </c>
      <c r="G11" s="58" t="s">
        <v>118</v>
      </c>
      <c r="H11" s="59" t="s">
        <v>1831</v>
      </c>
    </row>
    <row r="12" spans="1:8" ht="18.75" customHeight="1">
      <c r="A12" s="33" t="s">
        <v>1817</v>
      </c>
      <c r="B12" s="33"/>
      <c r="C12" s="33" t="s">
        <v>118</v>
      </c>
      <c r="D12" s="33" t="s">
        <v>12</v>
      </c>
      <c r="E12" s="10"/>
      <c r="F12" s="9" t="s">
        <v>1832</v>
      </c>
      <c r="G12" s="46" t="s">
        <v>1827</v>
      </c>
      <c r="H12" s="9" t="s">
        <v>1040</v>
      </c>
    </row>
    <row r="13" spans="1:8" ht="39" customHeight="1">
      <c r="A13" s="303" t="s">
        <v>1833</v>
      </c>
      <c r="B13" s="303"/>
      <c r="C13" s="303"/>
      <c r="D13" s="303"/>
      <c r="E13" s="303"/>
      <c r="F13" s="303"/>
      <c r="G13" s="303"/>
      <c r="H13" s="303"/>
    </row>
    <row r="14" spans="1:8" ht="48.75" customHeight="1">
      <c r="A14" s="51" t="s">
        <v>118</v>
      </c>
      <c r="B14" s="55"/>
      <c r="C14" s="51" t="s">
        <v>118</v>
      </c>
      <c r="D14" s="48" t="s">
        <v>91</v>
      </c>
      <c r="E14" s="47" t="s">
        <v>1814</v>
      </c>
      <c r="F14" s="24" t="s">
        <v>1834</v>
      </c>
      <c r="G14" s="71">
        <f>G19-G20</f>
        <v>15</v>
      </c>
      <c r="H14" s="17"/>
    </row>
    <row r="15" spans="1:8" ht="120" customHeight="1">
      <c r="A15" s="65" t="s">
        <v>1817</v>
      </c>
      <c r="B15" s="63"/>
      <c r="C15" s="65" t="s">
        <v>118</v>
      </c>
      <c r="D15" s="65" t="s">
        <v>84</v>
      </c>
      <c r="E15" s="61"/>
      <c r="F15" s="57" t="s">
        <v>1824</v>
      </c>
      <c r="G15" s="58" t="s">
        <v>118</v>
      </c>
      <c r="H15" s="59" t="s">
        <v>1835</v>
      </c>
    </row>
    <row r="16" spans="1:8">
      <c r="A16" s="32" t="s">
        <v>1817</v>
      </c>
      <c r="B16" s="35"/>
      <c r="C16" s="32" t="s">
        <v>118</v>
      </c>
      <c r="D16" s="32" t="s">
        <v>12</v>
      </c>
      <c r="F16" s="9" t="s">
        <v>1826</v>
      </c>
      <c r="G16" s="46" t="s">
        <v>1827</v>
      </c>
      <c r="H16" s="9" t="s">
        <v>1040</v>
      </c>
    </row>
    <row r="17" spans="1:8" ht="32.25" customHeight="1">
      <c r="A17" s="65" t="s">
        <v>1817</v>
      </c>
      <c r="B17" s="63"/>
      <c r="C17" s="65" t="s">
        <v>118</v>
      </c>
      <c r="D17" s="65" t="s">
        <v>84</v>
      </c>
      <c r="E17" s="61"/>
      <c r="F17" s="62" t="s">
        <v>1836</v>
      </c>
      <c r="G17" s="58" t="s">
        <v>1837</v>
      </c>
      <c r="H17" s="62"/>
    </row>
    <row r="18" spans="1:8" ht="32.25" customHeight="1">
      <c r="A18" s="65"/>
      <c r="B18" s="63"/>
      <c r="C18" s="65" t="s">
        <v>118</v>
      </c>
      <c r="D18" s="65" t="s">
        <v>84</v>
      </c>
      <c r="E18" s="61"/>
      <c r="F18" s="62" t="s">
        <v>1838</v>
      </c>
      <c r="G18" s="58" t="s">
        <v>1839</v>
      </c>
      <c r="H18" s="62"/>
    </row>
    <row r="19" spans="1:8" ht="23.25">
      <c r="A19" s="35" t="s">
        <v>1817</v>
      </c>
      <c r="B19" s="35"/>
      <c r="C19" s="35" t="s">
        <v>118</v>
      </c>
      <c r="D19" s="35" t="s">
        <v>119</v>
      </c>
      <c r="E19" s="45" t="s">
        <v>1840</v>
      </c>
      <c r="F19" t="s">
        <v>1841</v>
      </c>
      <c r="G19" s="13">
        <f>IF(G17="","",VLOOKUP(G17,F24:G30,2,FALSE))</f>
        <v>25</v>
      </c>
    </row>
    <row r="20" spans="1:8" ht="23.25">
      <c r="A20" s="52" t="s">
        <v>1817</v>
      </c>
      <c r="B20" s="35"/>
      <c r="C20" s="52" t="s">
        <v>118</v>
      </c>
      <c r="D20" s="52" t="s">
        <v>119</v>
      </c>
      <c r="E20" s="45" t="s">
        <v>1842</v>
      </c>
      <c r="F20" t="s">
        <v>1843</v>
      </c>
      <c r="G20" s="13">
        <v>10</v>
      </c>
      <c r="H20" t="s">
        <v>1844</v>
      </c>
    </row>
    <row r="21" spans="1:8" ht="50.25" customHeight="1">
      <c r="A21" s="303" t="s">
        <v>1845</v>
      </c>
      <c r="B21" s="303"/>
      <c r="C21" s="303"/>
      <c r="D21" s="303"/>
      <c r="E21" s="303"/>
      <c r="F21" s="303"/>
      <c r="G21" s="303"/>
      <c r="H21" s="303"/>
    </row>
    <row r="23" spans="1:8" ht="30">
      <c r="F23" s="39" t="s">
        <v>1846</v>
      </c>
      <c r="G23" s="72" t="s">
        <v>1847</v>
      </c>
      <c r="H23" s="44" t="s">
        <v>1848</v>
      </c>
    </row>
    <row r="24" spans="1:8">
      <c r="F24" s="40" t="s">
        <v>1837</v>
      </c>
      <c r="G24" s="73">
        <v>25</v>
      </c>
      <c r="H24" s="41" t="s">
        <v>1849</v>
      </c>
    </row>
    <row r="25" spans="1:8">
      <c r="F25" s="40" t="s">
        <v>1850</v>
      </c>
      <c r="G25" s="74">
        <v>150000</v>
      </c>
      <c r="H25" s="41" t="s">
        <v>1851</v>
      </c>
    </row>
    <row r="26" spans="1:8">
      <c r="F26" s="40" t="s">
        <v>1852</v>
      </c>
      <c r="G26" s="74">
        <v>200000</v>
      </c>
      <c r="H26" s="41" t="s">
        <v>1851</v>
      </c>
    </row>
    <row r="27" spans="1:8">
      <c r="F27" s="40" t="s">
        <v>1853</v>
      </c>
      <c r="G27" s="73">
        <v>25</v>
      </c>
      <c r="H27" s="41" t="s">
        <v>1849</v>
      </c>
    </row>
    <row r="28" spans="1:8">
      <c r="F28" s="40" t="s">
        <v>1854</v>
      </c>
      <c r="G28" s="73">
        <v>20</v>
      </c>
      <c r="H28" s="41" t="s">
        <v>1849</v>
      </c>
    </row>
    <row r="29" spans="1:8">
      <c r="F29" s="40" t="s">
        <v>1855</v>
      </c>
      <c r="G29" s="74">
        <v>50000</v>
      </c>
      <c r="H29" s="41" t="s">
        <v>1851</v>
      </c>
    </row>
    <row r="30" spans="1:8">
      <c r="F30" s="42" t="s">
        <v>1856</v>
      </c>
      <c r="G30" s="75">
        <v>15</v>
      </c>
      <c r="H30" s="43" t="s">
        <v>1849</v>
      </c>
    </row>
  </sheetData>
  <mergeCells count="5">
    <mergeCell ref="A5:H5"/>
    <mergeCell ref="A13:H13"/>
    <mergeCell ref="A21:H21"/>
    <mergeCell ref="A2:H2"/>
    <mergeCell ref="A9:H9"/>
  </mergeCells>
  <dataValidations count="4">
    <dataValidation type="list" allowBlank="1" showInputMessage="1" showErrorMessage="1" sqref="G4" xr:uid="{1F1788F0-92AD-460F-A944-BF0A6A16AD97}">
      <formula1>"(A) Use manufacturers information,(B) Obtain Expert evaluation,(C) Use default values"</formula1>
    </dataValidation>
    <dataValidation type="list" allowBlank="1" showInputMessage="1" showErrorMessage="1" sqref="G7 G11 G15" xr:uid="{E6820DCD-4628-4D95-ABC9-0ABD752232F5}">
      <formula1>"yes,no"</formula1>
    </dataValidation>
    <dataValidation type="list" allowBlank="1" showInputMessage="1" showErrorMessage="1" sqref="G17" xr:uid="{02506E40-C5EF-44EA-AEBA-18F90CD3933A}">
      <formula1>$F$24:$F$30</formula1>
    </dataValidation>
    <dataValidation type="list" allowBlank="1" showInputMessage="1" showErrorMessage="1" sqref="G18" xr:uid="{D62301A6-F4A1-4786-BFBB-05CF6574A424}">
      <formula1>"Hours,Years"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A491-38B0-4983-8D96-0FEB26DDCA5F}">
  <sheetPr codeName="Sheet24"/>
  <dimension ref="A1:H24"/>
  <sheetViews>
    <sheetView topLeftCell="A12" workbookViewId="0">
      <selection activeCell="C107" sqref="C107"/>
    </sheetView>
  </sheetViews>
  <sheetFormatPr defaultRowHeight="15"/>
  <cols>
    <col min="1" max="1" width="12.140625" customWidth="1"/>
    <col min="2" max="2" width="65.7109375" style="7" customWidth="1"/>
    <col min="3" max="3" width="38.28515625" style="4" customWidth="1"/>
    <col min="4" max="4" width="31.140625" customWidth="1"/>
    <col min="5" max="5" width="20.140625" customWidth="1"/>
    <col min="7" max="7" width="17.85546875" customWidth="1"/>
    <col min="8" max="8" width="21" customWidth="1"/>
  </cols>
  <sheetData>
    <row r="1" spans="1:8">
      <c r="A1" t="s">
        <v>5</v>
      </c>
      <c r="B1" s="7" t="s">
        <v>1711</v>
      </c>
      <c r="C1" s="4" t="s">
        <v>1857</v>
      </c>
      <c r="D1" t="s">
        <v>1135</v>
      </c>
      <c r="E1" t="s">
        <v>3</v>
      </c>
      <c r="F1" t="s">
        <v>8</v>
      </c>
      <c r="G1" t="s">
        <v>1858</v>
      </c>
      <c r="H1" t="s">
        <v>1859</v>
      </c>
    </row>
    <row r="2" spans="1:8" s="190" customFormat="1">
      <c r="B2" s="241" t="s">
        <v>1136</v>
      </c>
      <c r="C2" s="242"/>
    </row>
    <row r="3" spans="1:8">
      <c r="B3" s="7" t="s">
        <v>1860</v>
      </c>
      <c r="C3" s="4" t="s">
        <v>1796</v>
      </c>
      <c r="D3" t="s">
        <v>10</v>
      </c>
      <c r="E3" t="s">
        <v>1861</v>
      </c>
      <c r="G3" t="s">
        <v>11</v>
      </c>
    </row>
    <row r="4" spans="1:8" ht="30">
      <c r="B4" s="7" t="s">
        <v>1862</v>
      </c>
      <c r="C4" s="4" t="s">
        <v>1863</v>
      </c>
      <c r="D4" t="s">
        <v>10</v>
      </c>
      <c r="E4" t="s">
        <v>1861</v>
      </c>
      <c r="G4" t="s">
        <v>11</v>
      </c>
    </row>
    <row r="5" spans="1:8" ht="30">
      <c r="A5" t="s">
        <v>1864</v>
      </c>
      <c r="B5" s="7" t="s">
        <v>1865</v>
      </c>
      <c r="C5" s="4" t="s">
        <v>1866</v>
      </c>
      <c r="D5" t="s">
        <v>10</v>
      </c>
      <c r="E5" t="s">
        <v>12</v>
      </c>
      <c r="G5" t="s">
        <v>11</v>
      </c>
    </row>
    <row r="6" spans="1:8">
      <c r="B6" s="321" t="s">
        <v>1867</v>
      </c>
      <c r="C6" s="321"/>
      <c r="D6" s="321"/>
      <c r="E6" s="243"/>
      <c r="F6" t="s">
        <v>1868</v>
      </c>
    </row>
    <row r="7" spans="1:8" ht="30">
      <c r="B7" s="7" t="s">
        <v>1869</v>
      </c>
      <c r="C7" s="4" t="s">
        <v>1870</v>
      </c>
      <c r="D7" t="s">
        <v>10</v>
      </c>
      <c r="E7" t="s">
        <v>12</v>
      </c>
      <c r="G7" t="s">
        <v>11</v>
      </c>
    </row>
    <row r="8" spans="1:8" ht="30">
      <c r="B8" s="7" t="s">
        <v>1871</v>
      </c>
      <c r="C8" s="4" t="s">
        <v>1872</v>
      </c>
      <c r="D8" t="s">
        <v>10</v>
      </c>
      <c r="E8" t="s">
        <v>12</v>
      </c>
      <c r="G8" t="s">
        <v>11</v>
      </c>
    </row>
    <row r="9" spans="1:8" ht="30">
      <c r="B9" s="7" t="s">
        <v>1873</v>
      </c>
      <c r="C9" s="4" t="s">
        <v>1874</v>
      </c>
      <c r="D9" t="s">
        <v>10</v>
      </c>
      <c r="E9" t="s">
        <v>12</v>
      </c>
      <c r="G9" t="s">
        <v>11</v>
      </c>
    </row>
    <row r="10" spans="1:8" ht="30">
      <c r="B10" s="7" t="s">
        <v>1875</v>
      </c>
      <c r="C10" s="4">
        <v>1</v>
      </c>
      <c r="D10" t="s">
        <v>10</v>
      </c>
      <c r="E10" t="s">
        <v>119</v>
      </c>
      <c r="G10" t="s">
        <v>11</v>
      </c>
    </row>
    <row r="11" spans="1:8" ht="30">
      <c r="A11" t="s">
        <v>1876</v>
      </c>
      <c r="B11" s="7" t="s">
        <v>1877</v>
      </c>
      <c r="C11" s="4">
        <v>2</v>
      </c>
      <c r="D11" t="s">
        <v>10</v>
      </c>
      <c r="E11" t="s">
        <v>119</v>
      </c>
      <c r="F11" t="s">
        <v>1878</v>
      </c>
      <c r="G11" t="s">
        <v>11</v>
      </c>
    </row>
    <row r="12" spans="1:8" ht="45">
      <c r="B12" s="7" t="s">
        <v>1879</v>
      </c>
      <c r="C12" s="4" t="s">
        <v>1880</v>
      </c>
      <c r="D12" t="s">
        <v>10</v>
      </c>
      <c r="E12" t="s">
        <v>1861</v>
      </c>
      <c r="G12" t="s">
        <v>11</v>
      </c>
    </row>
    <row r="13" spans="1:8" ht="28.9" customHeight="1">
      <c r="B13" s="7" t="s">
        <v>1881</v>
      </c>
      <c r="C13" s="4" t="s">
        <v>1882</v>
      </c>
      <c r="D13" t="s">
        <v>10</v>
      </c>
      <c r="E13" t="s">
        <v>1861</v>
      </c>
      <c r="G13" t="s">
        <v>11</v>
      </c>
    </row>
    <row r="14" spans="1:8">
      <c r="B14" s="7" t="s">
        <v>1883</v>
      </c>
      <c r="C14" s="4" t="s">
        <v>1884</v>
      </c>
      <c r="D14" t="str">
        <f>IF(C13="Road Vehicle","Yes","No")</f>
        <v>Yes</v>
      </c>
      <c r="E14" t="s">
        <v>1861</v>
      </c>
      <c r="G14" t="s">
        <v>11</v>
      </c>
    </row>
    <row r="15" spans="1:8" s="190" customFormat="1">
      <c r="B15" s="241" t="s">
        <v>1880</v>
      </c>
      <c r="C15" s="242"/>
      <c r="D15" s="190" t="str">
        <f>IF(C3="Yes","NA",IF(C13="Rail","NA",IF(C12="Option A: Monitoring fuel consumption","Yes","NA")))</f>
        <v>Yes</v>
      </c>
    </row>
    <row r="16" spans="1:8" ht="30">
      <c r="B16" s="7" t="s">
        <v>1885</v>
      </c>
      <c r="D16" t="str">
        <f>IF(C3="Yes","NA",IF(C13="Rail","NA",IF(C12="Option A: Monitoring fuel consumption","Yes","NA")))</f>
        <v>Yes</v>
      </c>
      <c r="E16" t="s">
        <v>12</v>
      </c>
      <c r="F16" t="s">
        <v>1886</v>
      </c>
    </row>
    <row r="17" spans="1:7" ht="45">
      <c r="A17" t="s">
        <v>1887</v>
      </c>
      <c r="B17" s="7" t="s">
        <v>1888</v>
      </c>
      <c r="C17" s="4" t="s">
        <v>1889</v>
      </c>
      <c r="D17" t="str">
        <f>IF(C3="Yes","NA",IF(C13="Rail","NA",IF(C12="Option A: Monitoring fuel consumption","Yes","NA")))</f>
        <v>Yes</v>
      </c>
      <c r="E17" t="s">
        <v>1890</v>
      </c>
      <c r="F17" t="s">
        <v>1891</v>
      </c>
      <c r="G17" t="s">
        <v>11</v>
      </c>
    </row>
    <row r="18" spans="1:7" s="190" customFormat="1">
      <c r="B18" s="241" t="s">
        <v>1892</v>
      </c>
      <c r="C18" s="242"/>
      <c r="D18" s="190" t="str">
        <f>IF(C3="Yes","NA",IF(OR(C12="Option B: Using conservative default values",C13="Rail"),"Yes","NA"))</f>
        <v>NA</v>
      </c>
    </row>
    <row r="19" spans="1:7">
      <c r="A19" t="s">
        <v>1893</v>
      </c>
      <c r="B19" s="7" t="s">
        <v>1894</v>
      </c>
      <c r="C19" s="4">
        <v>100</v>
      </c>
      <c r="D19" t="str">
        <f>IF(C3="Yes","NA",IF(OR(C12="Option B: Using conservative default values",C13="Rail"),"Yes","NA"))</f>
        <v>NA</v>
      </c>
      <c r="E19" t="s">
        <v>119</v>
      </c>
      <c r="F19" t="s">
        <v>1895</v>
      </c>
      <c r="G19" t="s">
        <v>11</v>
      </c>
    </row>
    <row r="20" spans="1:7" ht="30">
      <c r="A20" t="s">
        <v>1896</v>
      </c>
      <c r="B20" s="7" t="s">
        <v>1897</v>
      </c>
      <c r="C20" s="244" t="str">
        <f>IF(OR(C14="Heavy",C13="Rail"),"129","245")</f>
        <v>129</v>
      </c>
      <c r="D20" t="str">
        <f>IF(C3="Yes","NA",IF(OR(C12="Option B: Using conservative default values",C13="Rail"),"Yes","NA"))</f>
        <v>NA</v>
      </c>
      <c r="E20" t="s">
        <v>1898</v>
      </c>
      <c r="G20" t="s">
        <v>11</v>
      </c>
    </row>
    <row r="21" spans="1:7" ht="45">
      <c r="A21" t="s">
        <v>1887</v>
      </c>
      <c r="B21" s="7" t="s">
        <v>1899</v>
      </c>
      <c r="C21" s="244">
        <f>C19*C11*C20*(10^-6)</f>
        <v>2.58E-2</v>
      </c>
      <c r="D21" t="str">
        <f>IF(C3="Yes","NA",IF(OR(C12="Option B: Using conservative default values",C13="Rail"),"Yes","NA"))</f>
        <v>NA</v>
      </c>
      <c r="E21" t="s">
        <v>1898</v>
      </c>
      <c r="G21" t="s">
        <v>11</v>
      </c>
    </row>
    <row r="24" spans="1:7">
      <c r="C24" s="245"/>
    </row>
  </sheetData>
  <mergeCells count="1">
    <mergeCell ref="B6: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85D02961-BB66-43B7-B271-BDF52927D48C}">
          <x14:formula1>
            <xm:f>'Tool 12 - Dropdown Items'!$E$2:$E$3</xm:f>
          </x14:formula1>
          <xm:sqref>C4</xm:sqref>
        </x14:dataValidation>
        <x14:dataValidation type="list" allowBlank="1" showInputMessage="1" showErrorMessage="1" xr:uid="{53283D24-DA62-490F-805F-7D377DEADAB7}">
          <x14:formula1>
            <xm:f>'Tool 12 - Dropdown Items'!$D$2:$D$3</xm:f>
          </x14:formula1>
          <xm:sqref>C14</xm:sqref>
        </x14:dataValidation>
        <x14:dataValidation type="list" allowBlank="1" showInputMessage="1" showErrorMessage="1" xr:uid="{874BB2E6-34DD-4111-9A3F-E7ED3B515A12}">
          <x14:formula1>
            <xm:f>'Tool 12 - Dropdown Items'!$C$2:$C$3</xm:f>
          </x14:formula1>
          <xm:sqref>C13</xm:sqref>
        </x14:dataValidation>
        <x14:dataValidation type="list" allowBlank="1" showInputMessage="1" showErrorMessage="1" xr:uid="{3385B603-E634-4EF9-A3C4-16F2548171B6}">
          <x14:formula1>
            <xm:f>'Tool 12 - Dropdown Items'!$A$2:$A$3</xm:f>
          </x14:formula1>
          <xm:sqref>C12</xm:sqref>
        </x14:dataValidation>
        <x14:dataValidation type="list" allowBlank="1" showInputMessage="1" showErrorMessage="1" xr:uid="{13666BB1-8600-499B-980F-80022D14031C}">
          <x14:formula1>
            <xm:f>'Tool 12 - Dropdown Items'!$B$2:$B$3</xm:f>
          </x14:formula1>
          <xm:sqref>C3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B748-7807-45D2-9F42-04B4F232835A}">
  <sheetPr codeName="Sheet25"/>
  <dimension ref="A1:I17"/>
  <sheetViews>
    <sheetView workbookViewId="0">
      <selection activeCell="D25" sqref="D25"/>
    </sheetView>
  </sheetViews>
  <sheetFormatPr defaultRowHeight="15"/>
  <cols>
    <col min="1" max="1" width="10.28515625" style="4" customWidth="1"/>
    <col min="2" max="2" width="16.7109375" customWidth="1"/>
    <col min="3" max="3" width="10.28515625" customWidth="1"/>
    <col min="4" max="4" width="8.28515625" customWidth="1"/>
    <col min="5" max="5" width="11.5703125" customWidth="1"/>
    <col min="6" max="6" width="17.7109375" customWidth="1"/>
    <col min="7" max="7" width="20.28515625" customWidth="1"/>
    <col min="8" max="8" width="12.7109375" customWidth="1"/>
  </cols>
  <sheetData>
    <row r="1" spans="1:9" s="209" customFormat="1" ht="19.5" thickBot="1">
      <c r="A1" s="316" t="s">
        <v>1900</v>
      </c>
      <c r="B1" s="317"/>
      <c r="C1" s="317"/>
      <c r="D1" s="317"/>
      <c r="E1" s="317"/>
      <c r="F1" s="317"/>
      <c r="G1" s="317"/>
      <c r="H1" s="317"/>
      <c r="I1" s="318"/>
    </row>
    <row r="2" spans="1:9" s="212" customFormat="1">
      <c r="A2" s="246" t="s">
        <v>1901</v>
      </c>
      <c r="B2" s="212" t="s">
        <v>1902</v>
      </c>
      <c r="C2" s="212" t="s">
        <v>1903</v>
      </c>
      <c r="D2" s="212" t="s">
        <v>1904</v>
      </c>
      <c r="E2" s="212" t="s">
        <v>1905</v>
      </c>
      <c r="F2" s="212" t="s">
        <v>1906</v>
      </c>
      <c r="G2" s="212" t="s">
        <v>1907</v>
      </c>
      <c r="H2" s="212" t="s">
        <v>1908</v>
      </c>
      <c r="I2" s="247" t="s">
        <v>1909</v>
      </c>
    </row>
    <row r="3" spans="1:9">
      <c r="A3" s="248" t="str">
        <f>IF('Tool 12 - Freight Trans'!C4="Project emissions (PEtr,m)",'Tool 12 - Freight Trans'!C5)</f>
        <v>Activity 1</v>
      </c>
      <c r="B3" s="17" t="str">
        <f>IF('Tool 12 - Freight Trans'!C4="Project emissions (PEtr,m)",'Tool 12 - Freight Trans'!C9)</f>
        <v>Sugar cane bagasse</v>
      </c>
      <c r="C3" s="17">
        <f>IF('Tool 12 - Freight Trans'!C4="Project emissions (PEtr,m)",'Tool 12 - Freight Trans'!C11)</f>
        <v>2</v>
      </c>
      <c r="D3" s="17" t="str">
        <f>IF('Tool 12 - Freight Trans'!C4="Project emissions (PEtr,m)",'Tool 12 - Freight Trans'!C7)</f>
        <v>Source 1</v>
      </c>
      <c r="E3" s="17" t="str">
        <f>IF('Tool 12 - Freight Trans'!C4="Project emissions (PEtr,m)",'Tool 12 - Freight Trans'!C8)</f>
        <v>Facility 1</v>
      </c>
      <c r="F3" s="17" t="b">
        <f>IF(AND('Tool 12 - Freight Trans'!C4="Project emissions (PEtr,m)",'Tool 12 - Freight Trans'!C12="Option B: Using conservative default values"),'Tool 12 - Freight Trans'!C19)</f>
        <v>0</v>
      </c>
      <c r="G3" s="17" t="str">
        <f>IF('Tool 12 - Freight Trans'!C4="Project emissions (PEtr,m)",'Tool 12 - Freight Trans'!C13)</f>
        <v>Road Vehicle</v>
      </c>
      <c r="H3" s="17" t="str">
        <f>IF('Tool 12 - Freight Trans'!C4="Project emissions (PEtr,m)",'Tool 12 - Freight Trans'!C14)</f>
        <v>Heavy</v>
      </c>
      <c r="I3" s="249" t="str">
        <f>IF(AND('Tool 12 - Freight Trans'!C4="Project emissions (PEtr,m)",'Tool 12 - Freight Trans'!C12="Option B: Using conservative default values"),'Tool 12 - Freight Trans'!C21,IF(AND('Tool 12 - Freight Trans'!C4="Project emissions (PEtr,m)",'Tool 12 - Freight Trans'!C12="Option A: Monitoring fuel consumption"),'Tool 12 - Freight Trans'!C17))</f>
        <v>[Tool  03] Parameter = PEFC,j,y</v>
      </c>
    </row>
    <row r="4" spans="1:9">
      <c r="A4" s="250">
        <v>2</v>
      </c>
      <c r="I4" s="177"/>
    </row>
    <row r="5" spans="1:9">
      <c r="A5" s="250">
        <v>3</v>
      </c>
      <c r="I5" s="177"/>
    </row>
    <row r="6" spans="1:9" ht="15.75" thickBot="1">
      <c r="A6" s="250">
        <v>4</v>
      </c>
      <c r="I6" s="177"/>
    </row>
    <row r="7" spans="1:9" s="212" customFormat="1" ht="15.75" thickBot="1">
      <c r="A7" s="251" t="s">
        <v>1257</v>
      </c>
      <c r="B7" s="252"/>
      <c r="C7" s="252"/>
      <c r="D7" s="252"/>
      <c r="E7" s="252"/>
      <c r="F7" s="252"/>
      <c r="G7" s="252"/>
      <c r="H7" s="252"/>
      <c r="I7" s="253">
        <f>SUM(I3:I6)</f>
        <v>0</v>
      </c>
    </row>
    <row r="10" spans="1:9" ht="15.75" thickBot="1"/>
    <row r="11" spans="1:9" ht="19.5" thickBot="1">
      <c r="A11" s="316" t="s">
        <v>1910</v>
      </c>
      <c r="B11" s="317"/>
      <c r="C11" s="317"/>
      <c r="D11" s="317"/>
      <c r="E11" s="317"/>
      <c r="F11" s="317"/>
      <c r="G11" s="317"/>
      <c r="H11" s="317"/>
      <c r="I11" s="318"/>
    </row>
    <row r="12" spans="1:9">
      <c r="A12" s="246" t="s">
        <v>1901</v>
      </c>
      <c r="B12" s="212" t="s">
        <v>1902</v>
      </c>
      <c r="C12" s="212" t="s">
        <v>1903</v>
      </c>
      <c r="D12" s="212" t="s">
        <v>1904</v>
      </c>
      <c r="E12" s="212" t="s">
        <v>1905</v>
      </c>
      <c r="F12" s="212" t="s">
        <v>1906</v>
      </c>
      <c r="G12" s="212" t="s">
        <v>1907</v>
      </c>
      <c r="H12" s="212" t="s">
        <v>1908</v>
      </c>
      <c r="I12" s="247" t="s">
        <v>1909</v>
      </c>
    </row>
    <row r="13" spans="1:9">
      <c r="A13" s="250">
        <v>1</v>
      </c>
      <c r="B13" s="17" t="b">
        <f>IF('Tool 12 - Freight Trans'!C4="Leakage emissions (LEtr,m)",'Tool 12 - Freight Trans'!C9)</f>
        <v>0</v>
      </c>
      <c r="C13" s="17" t="b">
        <f>IF('Tool 12 - Freight Trans'!C4="Leakage emissions (LEtr,m)",'Tool 12 - Freight Trans'!C11)</f>
        <v>0</v>
      </c>
      <c r="D13" s="17" t="b">
        <f>IF('Tool 12 - Freight Trans'!C4="Leakage emissions (LEtr,m)",'Tool 12 - Freight Trans'!C7)</f>
        <v>0</v>
      </c>
      <c r="E13" s="17" t="b">
        <f>IF('Tool 12 - Freight Trans'!C4="Leakage emissions (LEtr,m)",'Tool 12 - Freight Trans'!C8)</f>
        <v>0</v>
      </c>
      <c r="F13" s="17" t="b">
        <f>IF(AND('Tool 12 - Freight Trans'!C4="Leakage emissions (LEtr,m)",'Tool 12 - Freight Trans'!C12="Option B: Using conservative default values"),'Tool 12 - Freight Trans'!C19)</f>
        <v>0</v>
      </c>
      <c r="G13" s="17" t="b">
        <f>IF('Tool 12 - Freight Trans'!C4="Leakage emissions (LEtr,m)",'Tool 12 - Freight Trans'!C13)</f>
        <v>0</v>
      </c>
      <c r="H13" s="17" t="b">
        <f>IF('Tool 12 - Freight Trans'!C4="Leakage emissions (LEtr,m)",'Tool 12 - Freight Trans'!C14)</f>
        <v>0</v>
      </c>
      <c r="I13" s="249" t="b">
        <f>IF(AND('Tool 12 - Freight Trans'!C4="Leakage emissions (LEtr,m)",'Tool 12 - Freight Trans'!C12="Option B: Using conservative default values"),'Tool 12 - Freight Trans'!C21,IF(AND('Tool 12 - Freight Trans'!C4="Leakage emissions (LEtr,m)",'Tool 12 - Freight Trans'!C12="Option A: Monitoring fuel consumption"),'Tool 12 - Freight Trans'!C17))</f>
        <v>0</v>
      </c>
    </row>
    <row r="14" spans="1:9">
      <c r="A14" s="250">
        <v>2</v>
      </c>
      <c r="I14" s="177"/>
    </row>
    <row r="15" spans="1:9">
      <c r="A15" s="250">
        <v>3</v>
      </c>
      <c r="I15" s="177"/>
    </row>
    <row r="16" spans="1:9">
      <c r="A16" s="250">
        <v>4</v>
      </c>
      <c r="I16" s="177"/>
    </row>
    <row r="17" spans="1:9" ht="15.75" thickBot="1">
      <c r="A17" s="254" t="s">
        <v>1257</v>
      </c>
      <c r="B17" s="255"/>
      <c r="C17" s="255"/>
      <c r="D17" s="255"/>
      <c r="E17" s="255"/>
      <c r="F17" s="255"/>
      <c r="G17" s="255"/>
      <c r="H17" s="255"/>
      <c r="I17" s="256">
        <f>SUM(I13:I16)</f>
        <v>0</v>
      </c>
    </row>
  </sheetData>
  <mergeCells count="2">
    <mergeCell ref="A1:I1"/>
    <mergeCell ref="A11:I11"/>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0AA5-E3A8-4577-A73E-302B28EDB37C}">
  <sheetPr codeName="Sheet26"/>
  <dimension ref="A1:E3"/>
  <sheetViews>
    <sheetView workbookViewId="0">
      <selection activeCell="D25" sqref="D25"/>
    </sheetView>
  </sheetViews>
  <sheetFormatPr defaultRowHeight="15"/>
  <cols>
    <col min="1" max="1" width="38.28515625" customWidth="1"/>
    <col min="2" max="2" width="13.85546875" customWidth="1"/>
    <col min="3" max="3" width="23.140625" customWidth="1"/>
    <col min="4" max="4" width="18.140625" customWidth="1"/>
  </cols>
  <sheetData>
    <row r="1" spans="1:5" s="212" customFormat="1">
      <c r="A1" s="212" t="s">
        <v>1911</v>
      </c>
      <c r="B1" s="212" t="s">
        <v>1812</v>
      </c>
      <c r="C1" s="212" t="s">
        <v>1912</v>
      </c>
      <c r="D1" s="212" t="s">
        <v>1908</v>
      </c>
      <c r="E1" s="212" t="s">
        <v>1913</v>
      </c>
    </row>
    <row r="2" spans="1:5">
      <c r="A2" t="s">
        <v>1880</v>
      </c>
      <c r="B2" t="s">
        <v>10</v>
      </c>
      <c r="C2" t="s">
        <v>1914</v>
      </c>
      <c r="D2" t="s">
        <v>1915</v>
      </c>
      <c r="E2" t="s">
        <v>1863</v>
      </c>
    </row>
    <row r="3" spans="1:5">
      <c r="A3" t="s">
        <v>1892</v>
      </c>
      <c r="B3" t="s">
        <v>1796</v>
      </c>
      <c r="C3" t="s">
        <v>1882</v>
      </c>
      <c r="D3" t="s">
        <v>1884</v>
      </c>
      <c r="E3" t="s">
        <v>1916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1C4D-8FEB-42B8-9520-253EE1DEFB3C}">
  <sheetPr codeName="Sheet27"/>
  <dimension ref="A1:I65"/>
  <sheetViews>
    <sheetView topLeftCell="B59" workbookViewId="0">
      <selection activeCell="G66" sqref="G66"/>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6" t="s">
        <v>0</v>
      </c>
      <c r="B1" s="6" t="s">
        <v>1</v>
      </c>
      <c r="C1" s="5" t="s">
        <v>2</v>
      </c>
      <c r="D1" s="5" t="s">
        <v>3</v>
      </c>
      <c r="E1" s="6" t="s">
        <v>5</v>
      </c>
      <c r="F1" s="1" t="s">
        <v>6</v>
      </c>
      <c r="G1" s="1" t="s">
        <v>7</v>
      </c>
      <c r="H1" s="5" t="s">
        <v>8</v>
      </c>
      <c r="I1" s="2"/>
    </row>
    <row r="2" spans="1:9" ht="21">
      <c r="A2" s="303" t="s">
        <v>1917</v>
      </c>
      <c r="B2" s="303"/>
      <c r="C2" s="303"/>
      <c r="D2" s="303"/>
      <c r="E2" s="303"/>
      <c r="F2" s="303"/>
      <c r="G2" s="303"/>
      <c r="H2" s="303"/>
      <c r="I2" s="2"/>
    </row>
    <row r="3" spans="1:9" ht="18.75">
      <c r="A3" s="221" t="s">
        <v>11</v>
      </c>
      <c r="B3" s="222"/>
      <c r="C3" s="223" t="s">
        <v>11</v>
      </c>
      <c r="D3" s="223" t="s">
        <v>91</v>
      </c>
      <c r="E3" s="221" t="s">
        <v>1918</v>
      </c>
      <c r="F3" s="17" t="s">
        <v>1919</v>
      </c>
      <c r="G3" s="224">
        <f>G16+(IF(AND(G18="Option 1"),G20,IF(AND(G18="Option 2"),G22)))+G27+G43+G49</f>
        <v>95.130333333333326</v>
      </c>
      <c r="H3" s="225"/>
      <c r="I3" s="2"/>
    </row>
    <row r="4" spans="1:9" ht="21">
      <c r="A4" s="303" t="s">
        <v>1920</v>
      </c>
      <c r="B4" s="303"/>
      <c r="C4" s="303"/>
      <c r="D4" s="303"/>
      <c r="E4" s="303"/>
      <c r="F4" s="303"/>
      <c r="G4" s="303"/>
      <c r="H4" s="303"/>
      <c r="I4" s="3"/>
    </row>
    <row r="5" spans="1:9" ht="60">
      <c r="A5" t="s">
        <v>10</v>
      </c>
      <c r="C5" t="s">
        <v>10</v>
      </c>
      <c r="D5" t="s">
        <v>1369</v>
      </c>
      <c r="E5" t="s">
        <v>6</v>
      </c>
      <c r="F5" s="7" t="s">
        <v>1921</v>
      </c>
      <c r="G5" t="s">
        <v>1713</v>
      </c>
    </row>
    <row r="6" spans="1:9" ht="21">
      <c r="A6" s="303" t="s">
        <v>1922</v>
      </c>
      <c r="B6" s="303"/>
      <c r="C6" s="303"/>
      <c r="D6" s="303"/>
      <c r="E6" s="303"/>
      <c r="F6" s="303"/>
      <c r="G6" s="303"/>
      <c r="H6" s="303"/>
      <c r="I6" s="3"/>
    </row>
    <row r="7" spans="1:9">
      <c r="A7" t="s">
        <v>10</v>
      </c>
      <c r="C7" t="s">
        <v>10</v>
      </c>
      <c r="D7" t="s">
        <v>119</v>
      </c>
      <c r="E7" t="s">
        <v>1923</v>
      </c>
      <c r="F7" t="s">
        <v>1924</v>
      </c>
      <c r="G7">
        <v>1</v>
      </c>
    </row>
    <row r="8" spans="1:9" ht="21">
      <c r="A8" s="303" t="s">
        <v>1925</v>
      </c>
      <c r="B8" s="303"/>
      <c r="C8" s="303"/>
      <c r="D8" s="303"/>
      <c r="E8" s="303"/>
      <c r="F8" s="303"/>
      <c r="G8" s="303"/>
      <c r="H8" s="303"/>
      <c r="I8" s="3"/>
    </row>
    <row r="9" spans="1:9">
      <c r="A9" s="221" t="s">
        <v>11</v>
      </c>
      <c r="B9" s="17"/>
      <c r="C9" s="17" t="s">
        <v>11</v>
      </c>
      <c r="D9" s="223" t="s">
        <v>91</v>
      </c>
      <c r="E9" s="17" t="s">
        <v>1923</v>
      </c>
      <c r="F9" s="17" t="s">
        <v>1924</v>
      </c>
      <c r="G9" s="17">
        <f>SUM(G11,G13)</f>
        <v>2</v>
      </c>
      <c r="H9" s="17"/>
    </row>
    <row r="10" spans="1:9" ht="29.25" customHeight="1">
      <c r="A10" s="322" t="s">
        <v>1926</v>
      </c>
      <c r="B10" s="322"/>
      <c r="C10" s="322"/>
      <c r="D10" s="322"/>
      <c r="E10" s="322"/>
      <c r="F10" s="322"/>
      <c r="G10" s="322"/>
      <c r="H10" s="322"/>
      <c r="I10" s="3"/>
    </row>
    <row r="11" spans="1:9" ht="29.25" customHeight="1">
      <c r="A11" t="s">
        <v>10</v>
      </c>
      <c r="C11" t="s">
        <v>10</v>
      </c>
      <c r="D11" t="s">
        <v>119</v>
      </c>
      <c r="E11" t="s">
        <v>1927</v>
      </c>
      <c r="F11" s="7" t="s">
        <v>1928</v>
      </c>
      <c r="G11">
        <v>1</v>
      </c>
    </row>
    <row r="12" spans="1:9" ht="29.25" customHeight="1">
      <c r="A12" s="322" t="s">
        <v>1926</v>
      </c>
      <c r="B12" s="322"/>
      <c r="C12" s="322"/>
      <c r="D12" s="322"/>
      <c r="E12" s="322"/>
      <c r="F12" s="322"/>
      <c r="G12" s="322"/>
      <c r="H12" s="322"/>
      <c r="I12" s="3"/>
    </row>
    <row r="13" spans="1:9" ht="29.25" customHeight="1">
      <c r="A13" t="s">
        <v>10</v>
      </c>
      <c r="C13" t="s">
        <v>10</v>
      </c>
      <c r="D13" t="s">
        <v>119</v>
      </c>
      <c r="E13" t="s">
        <v>1927</v>
      </c>
      <c r="F13" s="7" t="s">
        <v>1928</v>
      </c>
      <c r="G13">
        <v>1</v>
      </c>
    </row>
    <row r="14" spans="1:9" ht="21">
      <c r="A14" s="303" t="s">
        <v>1929</v>
      </c>
      <c r="B14" s="303"/>
      <c r="C14" s="303"/>
      <c r="D14" s="303"/>
      <c r="E14" s="303"/>
      <c r="F14" s="303"/>
      <c r="G14" s="303"/>
      <c r="H14" s="303"/>
    </row>
    <row r="15" spans="1:9" ht="90">
      <c r="A15" t="s">
        <v>10</v>
      </c>
      <c r="C15" t="s">
        <v>10</v>
      </c>
      <c r="D15" t="s">
        <v>1369</v>
      </c>
      <c r="E15" t="s">
        <v>6</v>
      </c>
      <c r="F15" s="7" t="s">
        <v>1930</v>
      </c>
      <c r="G15" t="s">
        <v>10</v>
      </c>
    </row>
    <row r="16" spans="1:9" ht="30">
      <c r="A16" s="221" t="s">
        <v>11</v>
      </c>
      <c r="B16" s="17"/>
      <c r="C16" s="17" t="s">
        <v>11</v>
      </c>
      <c r="D16" s="223" t="s">
        <v>91</v>
      </c>
      <c r="E16" s="17" t="s">
        <v>1931</v>
      </c>
      <c r="F16" s="18" t="s">
        <v>1932</v>
      </c>
      <c r="G16" s="17">
        <f>'[1]Tool 05.1'!G6</f>
        <v>0.73499999999999999</v>
      </c>
      <c r="H16" s="17"/>
    </row>
    <row r="17" spans="1:8" ht="21">
      <c r="A17" s="303" t="s">
        <v>1933</v>
      </c>
      <c r="B17" s="303"/>
      <c r="C17" s="303"/>
      <c r="D17" s="303"/>
      <c r="E17" s="303"/>
      <c r="F17" s="303"/>
      <c r="G17" s="303"/>
      <c r="H17" s="303"/>
    </row>
    <row r="18" spans="1:8" ht="60">
      <c r="A18" t="s">
        <v>10</v>
      </c>
      <c r="C18" t="s">
        <v>10</v>
      </c>
      <c r="D18" t="s">
        <v>1369</v>
      </c>
      <c r="E18" t="s">
        <v>6</v>
      </c>
      <c r="F18" s="7" t="s">
        <v>1934</v>
      </c>
      <c r="G18" t="s">
        <v>1713</v>
      </c>
    </row>
    <row r="19" spans="1:8" ht="21">
      <c r="A19" s="303" t="s">
        <v>1935</v>
      </c>
      <c r="B19" s="303"/>
      <c r="C19" s="303"/>
      <c r="D19" s="303"/>
      <c r="E19" s="303"/>
      <c r="F19" s="303"/>
      <c r="G19" s="303"/>
      <c r="H19" s="303"/>
    </row>
    <row r="20" spans="1:8" ht="30">
      <c r="A20" s="221" t="s">
        <v>11</v>
      </c>
      <c r="B20" s="17"/>
      <c r="C20" s="17" t="s">
        <v>11</v>
      </c>
      <c r="D20" s="223" t="s">
        <v>91</v>
      </c>
      <c r="E20" s="17" t="s">
        <v>1936</v>
      </c>
      <c r="F20" s="18" t="s">
        <v>1937</v>
      </c>
      <c r="G20" s="17">
        <f>'[1](Revised) Tool 03'!G3</f>
        <v>73.333333333333329</v>
      </c>
      <c r="H20" s="17"/>
    </row>
    <row r="21" spans="1:8" ht="21">
      <c r="A21" s="303" t="s">
        <v>1938</v>
      </c>
      <c r="B21" s="303"/>
      <c r="C21" s="303"/>
      <c r="D21" s="303"/>
      <c r="E21" s="303"/>
      <c r="F21" s="303"/>
      <c r="G21" s="303"/>
      <c r="H21" s="303"/>
    </row>
    <row r="22" spans="1:8" ht="30">
      <c r="A22" s="221" t="s">
        <v>11</v>
      </c>
      <c r="B22" s="17"/>
      <c r="C22" s="17" t="s">
        <v>11</v>
      </c>
      <c r="D22" s="223" t="s">
        <v>91</v>
      </c>
      <c r="E22" s="17" t="s">
        <v>1936</v>
      </c>
      <c r="F22" s="18" t="s">
        <v>1937</v>
      </c>
      <c r="G22" s="17">
        <f>G23*G24</f>
        <v>2.07E-2</v>
      </c>
      <c r="H22" s="17"/>
    </row>
    <row r="23" spans="1:8">
      <c r="A23" t="s">
        <v>10</v>
      </c>
      <c r="C23" t="s">
        <v>10</v>
      </c>
      <c r="D23" t="s">
        <v>119</v>
      </c>
      <c r="E23" t="s">
        <v>1923</v>
      </c>
      <c r="F23" t="s">
        <v>1939</v>
      </c>
      <c r="G23">
        <v>1</v>
      </c>
    </row>
    <row r="24" spans="1:8" ht="30">
      <c r="A24" s="221" t="s">
        <v>11</v>
      </c>
      <c r="B24" s="17"/>
      <c r="C24" s="17" t="s">
        <v>11</v>
      </c>
      <c r="D24" s="223" t="s">
        <v>91</v>
      </c>
      <c r="E24" s="17" t="s">
        <v>1940</v>
      </c>
      <c r="F24" s="18" t="s">
        <v>1941</v>
      </c>
      <c r="G24" s="17">
        <f>0.0207</f>
        <v>2.07E-2</v>
      </c>
      <c r="H24" s="17"/>
    </row>
    <row r="25" spans="1:8" ht="21">
      <c r="A25" s="303" t="s">
        <v>1942</v>
      </c>
      <c r="B25" s="303"/>
      <c r="C25" s="303"/>
      <c r="D25" s="303"/>
      <c r="E25" s="303"/>
      <c r="F25" s="303"/>
      <c r="G25" s="303"/>
      <c r="H25" s="303"/>
    </row>
    <row r="26" spans="1:8" ht="60">
      <c r="A26" t="s">
        <v>10</v>
      </c>
      <c r="C26" t="s">
        <v>10</v>
      </c>
      <c r="D26" t="s">
        <v>1369</v>
      </c>
      <c r="E26" t="s">
        <v>6</v>
      </c>
      <c r="F26" s="7" t="s">
        <v>1943</v>
      </c>
      <c r="G26" s="226" t="s">
        <v>1713</v>
      </c>
    </row>
    <row r="27" spans="1:8" ht="30">
      <c r="A27" s="221" t="s">
        <v>11</v>
      </c>
      <c r="B27" s="17"/>
      <c r="C27" s="17" t="s">
        <v>11</v>
      </c>
      <c r="D27" s="223" t="s">
        <v>91</v>
      </c>
      <c r="E27" s="17" t="s">
        <v>1944</v>
      </c>
      <c r="F27" s="18" t="s">
        <v>1945</v>
      </c>
      <c r="G27" s="227">
        <f>(IF(AND(G5="Option 1"),G7,IF(AND(G5="Option 2"),G9)))*G28*G55</f>
        <v>21</v>
      </c>
      <c r="H27" s="17"/>
    </row>
    <row r="28" spans="1:8" ht="30">
      <c r="A28" s="221" t="s">
        <v>11</v>
      </c>
      <c r="B28" s="17"/>
      <c r="C28" s="17" t="s">
        <v>11</v>
      </c>
      <c r="D28" s="223" t="s">
        <v>91</v>
      </c>
      <c r="E28" s="17" t="s">
        <v>1946</v>
      </c>
      <c r="F28" s="18" t="s">
        <v>1947</v>
      </c>
      <c r="G28" s="227">
        <f>IF(AND(G26="Option 1"),(SUM((G33/G35),(G38/G40))/G30),IF(AND(G26="Option 2"),0.002))</f>
        <v>1</v>
      </c>
      <c r="H28" s="17"/>
    </row>
    <row r="29" spans="1:8" ht="21">
      <c r="A29" s="303" t="s">
        <v>1948</v>
      </c>
      <c r="B29" s="303"/>
      <c r="C29" s="303"/>
      <c r="D29" s="303"/>
      <c r="E29" s="303"/>
      <c r="F29" s="303"/>
      <c r="G29" s="303"/>
      <c r="H29" s="303"/>
    </row>
    <row r="30" spans="1:8" ht="30">
      <c r="A30" t="s">
        <v>10</v>
      </c>
      <c r="C30" t="s">
        <v>10</v>
      </c>
      <c r="D30" t="s">
        <v>119</v>
      </c>
      <c r="E30" t="s">
        <v>276</v>
      </c>
      <c r="F30" s="7" t="s">
        <v>1949</v>
      </c>
      <c r="G30">
        <v>2</v>
      </c>
    </row>
    <row r="31" spans="1:8" ht="21">
      <c r="A31" s="322" t="s">
        <v>1950</v>
      </c>
      <c r="B31" s="322"/>
      <c r="C31" s="322"/>
      <c r="D31" s="322"/>
      <c r="E31" s="322"/>
      <c r="F31" s="322"/>
      <c r="G31" s="322"/>
      <c r="H31" s="322"/>
    </row>
    <row r="32" spans="1:8">
      <c r="A32" t="s">
        <v>10</v>
      </c>
      <c r="C32" t="s">
        <v>10</v>
      </c>
      <c r="E32" t="s">
        <v>1951</v>
      </c>
      <c r="F32" t="s">
        <v>1952</v>
      </c>
      <c r="G32" s="226" t="s">
        <v>1953</v>
      </c>
    </row>
    <row r="33" spans="1:8">
      <c r="A33" t="s">
        <v>10</v>
      </c>
      <c r="C33" t="s">
        <v>10</v>
      </c>
      <c r="D33" t="s">
        <v>119</v>
      </c>
      <c r="E33" t="s">
        <v>1954</v>
      </c>
      <c r="F33" t="s">
        <v>1955</v>
      </c>
      <c r="G33">
        <v>1</v>
      </c>
    </row>
    <row r="34" spans="1:8" ht="30">
      <c r="A34" t="s">
        <v>10</v>
      </c>
      <c r="C34" t="s">
        <v>10</v>
      </c>
      <c r="D34" t="s">
        <v>119</v>
      </c>
      <c r="E34" t="s">
        <v>1956</v>
      </c>
      <c r="F34" s="7" t="s">
        <v>1957</v>
      </c>
      <c r="G34">
        <v>1</v>
      </c>
    </row>
    <row r="35" spans="1:8">
      <c r="A35" t="s">
        <v>10</v>
      </c>
      <c r="C35" t="s">
        <v>10</v>
      </c>
      <c r="D35" t="s">
        <v>119</v>
      </c>
      <c r="E35" t="s">
        <v>1958</v>
      </c>
      <c r="F35" t="s">
        <v>1959</v>
      </c>
      <c r="G35">
        <v>1</v>
      </c>
    </row>
    <row r="36" spans="1:8" ht="21">
      <c r="A36" s="322" t="s">
        <v>1950</v>
      </c>
      <c r="B36" s="322"/>
      <c r="C36" s="322"/>
      <c r="D36" s="322"/>
      <c r="E36" s="322"/>
      <c r="F36" s="322"/>
      <c r="G36" s="322"/>
      <c r="H36" s="322"/>
    </row>
    <row r="37" spans="1:8">
      <c r="A37" t="s">
        <v>10</v>
      </c>
      <c r="C37" t="s">
        <v>10</v>
      </c>
      <c r="E37" t="s">
        <v>1960</v>
      </c>
      <c r="F37" t="s">
        <v>1952</v>
      </c>
      <c r="G37" s="226" t="s">
        <v>1961</v>
      </c>
    </row>
    <row r="38" spans="1:8">
      <c r="A38" t="s">
        <v>10</v>
      </c>
      <c r="C38" t="s">
        <v>10</v>
      </c>
      <c r="D38" t="s">
        <v>119</v>
      </c>
      <c r="E38" t="s">
        <v>1954</v>
      </c>
      <c r="F38" t="s">
        <v>1955</v>
      </c>
      <c r="G38">
        <v>1</v>
      </c>
    </row>
    <row r="39" spans="1:8" ht="30">
      <c r="A39" t="s">
        <v>10</v>
      </c>
      <c r="C39" t="s">
        <v>10</v>
      </c>
      <c r="D39" t="s">
        <v>119</v>
      </c>
      <c r="E39" t="s">
        <v>1956</v>
      </c>
      <c r="F39" s="7" t="s">
        <v>1957</v>
      </c>
      <c r="G39">
        <v>1</v>
      </c>
    </row>
    <row r="40" spans="1:8">
      <c r="A40" t="s">
        <v>10</v>
      </c>
      <c r="C40" t="s">
        <v>10</v>
      </c>
      <c r="D40" t="s">
        <v>119</v>
      </c>
      <c r="E40" t="s">
        <v>1958</v>
      </c>
      <c r="F40" t="s">
        <v>1959</v>
      </c>
      <c r="G40">
        <v>1</v>
      </c>
    </row>
    <row r="41" spans="1:8" ht="21">
      <c r="A41" s="303" t="s">
        <v>1962</v>
      </c>
      <c r="B41" s="303"/>
      <c r="C41" s="303"/>
      <c r="D41" s="303"/>
      <c r="E41" s="303"/>
      <c r="F41" s="303"/>
      <c r="G41" s="303"/>
      <c r="H41" s="303"/>
    </row>
    <row r="42" spans="1:8" ht="60">
      <c r="A42" t="s">
        <v>10</v>
      </c>
      <c r="C42" t="s">
        <v>10</v>
      </c>
      <c r="D42" t="s">
        <v>1369</v>
      </c>
      <c r="E42" t="s">
        <v>6</v>
      </c>
      <c r="F42" s="7" t="s">
        <v>1963</v>
      </c>
      <c r="G42" s="226" t="s">
        <v>1964</v>
      </c>
    </row>
    <row r="43" spans="1:8">
      <c r="A43" s="221" t="s">
        <v>11</v>
      </c>
      <c r="B43" s="17"/>
      <c r="C43" s="17" t="s">
        <v>11</v>
      </c>
      <c r="D43" s="223" t="s">
        <v>91</v>
      </c>
      <c r="E43" s="17" t="s">
        <v>1965</v>
      </c>
      <c r="F43" s="17" t="s">
        <v>1966</v>
      </c>
      <c r="G43" s="227">
        <f>(IF(AND(G5="Option 1"),G7,IF(AND(G5="Option 2"),G9)))*G44*G45</f>
        <v>6.2E-2</v>
      </c>
      <c r="H43" s="17"/>
    </row>
    <row r="44" spans="1:8" ht="30">
      <c r="A44" s="221" t="s">
        <v>11</v>
      </c>
      <c r="B44" s="17"/>
      <c r="C44" s="17" t="s">
        <v>11</v>
      </c>
      <c r="D44" s="223" t="s">
        <v>91</v>
      </c>
      <c r="E44" s="17" t="s">
        <v>1967</v>
      </c>
      <c r="F44" s="18" t="s">
        <v>1968</v>
      </c>
      <c r="G44" s="227">
        <f>IF(AND(G42="Option 1"),(SUM((G34/G35),(G39/G40))/G30),IF(AND(G42="Option 2"),0.0002))</f>
        <v>2.0000000000000001E-4</v>
      </c>
      <c r="H44" s="17"/>
    </row>
    <row r="45" spans="1:8">
      <c r="A45" s="221" t="s">
        <v>11</v>
      </c>
      <c r="B45" s="17"/>
      <c r="C45" s="17" t="s">
        <v>11</v>
      </c>
      <c r="D45" s="223" t="s">
        <v>91</v>
      </c>
      <c r="E45" s="17" t="s">
        <v>1969</v>
      </c>
      <c r="F45" s="17" t="s">
        <v>1970</v>
      </c>
      <c r="G45" s="227">
        <v>310</v>
      </c>
      <c r="H45" s="17"/>
    </row>
    <row r="46" spans="1:8" ht="21" customHeight="1">
      <c r="A46" s="303" t="s">
        <v>1971</v>
      </c>
      <c r="B46" s="303"/>
      <c r="C46" s="303"/>
      <c r="D46" s="303"/>
      <c r="E46" s="303"/>
      <c r="F46" s="303"/>
      <c r="G46" s="303"/>
      <c r="H46" s="303"/>
    </row>
    <row r="47" spans="1:8">
      <c r="A47" t="s">
        <v>10</v>
      </c>
      <c r="C47" t="s">
        <v>10</v>
      </c>
      <c r="D47" t="s">
        <v>1369</v>
      </c>
      <c r="E47" t="s">
        <v>6</v>
      </c>
      <c r="F47" t="s">
        <v>1972</v>
      </c>
      <c r="G47" s="226" t="s">
        <v>10</v>
      </c>
    </row>
    <row r="48" spans="1:8" ht="165">
      <c r="A48" t="s">
        <v>10</v>
      </c>
      <c r="C48" t="s">
        <v>10</v>
      </c>
      <c r="D48" t="s">
        <v>1369</v>
      </c>
      <c r="E48" t="s">
        <v>6</v>
      </c>
      <c r="F48" s="7" t="s">
        <v>1973</v>
      </c>
      <c r="G48" s="226" t="s">
        <v>1713</v>
      </c>
    </row>
    <row r="49" spans="1:8" ht="30">
      <c r="A49" s="221" t="s">
        <v>11</v>
      </c>
      <c r="B49" s="17"/>
      <c r="C49" s="17" t="s">
        <v>11</v>
      </c>
      <c r="D49" s="223" t="s">
        <v>91</v>
      </c>
      <c r="E49" s="17" t="s">
        <v>1974</v>
      </c>
      <c r="F49" s="18" t="s">
        <v>1975</v>
      </c>
      <c r="G49" s="227">
        <f>IF(AND(G47="Yes"),0,IF(AND(G47="No"),G50*G51*G53*G54*G55))</f>
        <v>0</v>
      </c>
      <c r="H49" s="17"/>
    </row>
    <row r="50" spans="1:8" ht="30">
      <c r="A50" s="221" t="s">
        <v>11</v>
      </c>
      <c r="B50" s="17"/>
      <c r="C50" s="17" t="s">
        <v>11</v>
      </c>
      <c r="D50" s="223" t="s">
        <v>91</v>
      </c>
      <c r="E50" s="17" t="s">
        <v>1976</v>
      </c>
      <c r="F50" s="18" t="s">
        <v>1977</v>
      </c>
      <c r="G50" s="17">
        <f>IF(AND(G48="Option 1"),G57*G58,IF(AND(G48="Option 2"),G60*G61*G62))</f>
        <v>1</v>
      </c>
      <c r="H50" s="17"/>
    </row>
    <row r="51" spans="1:8">
      <c r="A51" s="221" t="s">
        <v>11</v>
      </c>
      <c r="B51" s="17"/>
      <c r="C51" s="17" t="s">
        <v>11</v>
      </c>
      <c r="D51" s="223" t="s">
        <v>91</v>
      </c>
      <c r="E51" s="17" t="s">
        <v>1978</v>
      </c>
      <c r="F51" s="17" t="s">
        <v>1979</v>
      </c>
      <c r="G51" s="17">
        <f>0.25</f>
        <v>0.25</v>
      </c>
      <c r="H51" s="17"/>
    </row>
    <row r="52" spans="1:8" ht="30">
      <c r="A52" t="s">
        <v>10</v>
      </c>
      <c r="C52" t="s">
        <v>10</v>
      </c>
      <c r="D52" t="s">
        <v>1369</v>
      </c>
      <c r="E52" t="s">
        <v>1861</v>
      </c>
      <c r="F52" s="7" t="s">
        <v>1980</v>
      </c>
      <c r="G52" s="7" t="s">
        <v>1981</v>
      </c>
    </row>
    <row r="53" spans="1:8" ht="30">
      <c r="A53" s="221" t="s">
        <v>11</v>
      </c>
      <c r="B53" s="17"/>
      <c r="C53" s="17" t="s">
        <v>11</v>
      </c>
      <c r="D53" s="223" t="s">
        <v>91</v>
      </c>
      <c r="E53" s="17" t="s">
        <v>1982</v>
      </c>
      <c r="F53" s="18" t="s">
        <v>1983</v>
      </c>
      <c r="G53" s="17">
        <f>IF(G52="","",VLOOKUP(G52,'Tool 13 - MCF Defaults'!B3:C10,2,FALSE))</f>
        <v>0.2</v>
      </c>
      <c r="H53" s="17"/>
    </row>
    <row r="54" spans="1:8" ht="30">
      <c r="A54" s="221" t="s">
        <v>11</v>
      </c>
      <c r="B54" s="17"/>
      <c r="C54" s="17" t="s">
        <v>11</v>
      </c>
      <c r="D54" s="223" t="s">
        <v>91</v>
      </c>
      <c r="E54" s="17"/>
      <c r="F54" s="18" t="s">
        <v>1984</v>
      </c>
      <c r="G54" s="17">
        <f>1.12</f>
        <v>1.1200000000000001</v>
      </c>
      <c r="H54" s="17"/>
    </row>
    <row r="55" spans="1:8">
      <c r="A55" s="221" t="s">
        <v>11</v>
      </c>
      <c r="B55" s="17"/>
      <c r="C55" s="17" t="s">
        <v>11</v>
      </c>
      <c r="D55" s="223" t="s">
        <v>91</v>
      </c>
      <c r="E55" s="17" t="s">
        <v>1491</v>
      </c>
      <c r="F55" s="17" t="s">
        <v>1985</v>
      </c>
      <c r="G55" s="17">
        <f>21</f>
        <v>21</v>
      </c>
      <c r="H55" s="17"/>
    </row>
    <row r="56" spans="1:8" ht="21">
      <c r="A56" s="303" t="s">
        <v>1986</v>
      </c>
      <c r="B56" s="303"/>
      <c r="C56" s="303"/>
      <c r="D56" s="303"/>
      <c r="E56" s="303"/>
      <c r="F56" s="303"/>
      <c r="G56" s="303"/>
      <c r="H56" s="303"/>
    </row>
    <row r="57" spans="1:8" ht="30">
      <c r="A57" t="s">
        <v>10</v>
      </c>
      <c r="C57" t="s">
        <v>10</v>
      </c>
      <c r="D57" s="8" t="s">
        <v>119</v>
      </c>
      <c r="E57" t="s">
        <v>1987</v>
      </c>
      <c r="F57" s="7" t="s">
        <v>1988</v>
      </c>
      <c r="G57">
        <v>1</v>
      </c>
    </row>
    <row r="58" spans="1:8" ht="30">
      <c r="A58" t="s">
        <v>10</v>
      </c>
      <c r="C58" t="s">
        <v>10</v>
      </c>
      <c r="D58" s="8" t="s">
        <v>119</v>
      </c>
      <c r="E58" t="s">
        <v>1989</v>
      </c>
      <c r="F58" s="7" t="s">
        <v>1990</v>
      </c>
      <c r="G58">
        <v>1</v>
      </c>
    </row>
    <row r="59" spans="1:8" ht="21">
      <c r="A59" s="303" t="s">
        <v>1991</v>
      </c>
      <c r="B59" s="303"/>
      <c r="C59" s="303"/>
      <c r="D59" s="303"/>
      <c r="E59" s="303"/>
      <c r="F59" s="303"/>
      <c r="G59" s="303"/>
      <c r="H59" s="303"/>
    </row>
    <row r="60" spans="1:8">
      <c r="A60" t="s">
        <v>10</v>
      </c>
      <c r="C60" t="s">
        <v>10</v>
      </c>
      <c r="D60" s="8" t="s">
        <v>119</v>
      </c>
      <c r="E60" t="s">
        <v>1992</v>
      </c>
      <c r="F60" t="s">
        <v>1993</v>
      </c>
      <c r="G60">
        <v>1</v>
      </c>
    </row>
    <row r="61" spans="1:8">
      <c r="A61" t="s">
        <v>10</v>
      </c>
      <c r="C61" t="s">
        <v>10</v>
      </c>
      <c r="D61" s="8" t="s">
        <v>119</v>
      </c>
      <c r="E61" t="s">
        <v>1994</v>
      </c>
      <c r="F61" t="s">
        <v>1995</v>
      </c>
      <c r="G61">
        <v>1</v>
      </c>
    </row>
    <row r="62" spans="1:8" ht="30">
      <c r="A62" s="221" t="s">
        <v>11</v>
      </c>
      <c r="B62" s="17"/>
      <c r="C62" s="17" t="s">
        <v>11</v>
      </c>
      <c r="D62" s="223" t="s">
        <v>91</v>
      </c>
      <c r="E62" s="17" t="s">
        <v>1996</v>
      </c>
      <c r="F62" s="18" t="s">
        <v>1997</v>
      </c>
      <c r="G62" s="17">
        <f>0.02</f>
        <v>0.02</v>
      </c>
      <c r="H62" s="17"/>
    </row>
    <row r="63" spans="1:8" ht="21">
      <c r="A63" s="303" t="s">
        <v>1998</v>
      </c>
      <c r="B63" s="303"/>
      <c r="C63" s="303"/>
      <c r="D63" s="303"/>
      <c r="E63" s="303"/>
      <c r="F63" s="303"/>
      <c r="G63" s="303"/>
      <c r="H63" s="303"/>
    </row>
    <row r="64" spans="1:8" ht="45">
      <c r="A64" t="s">
        <v>10</v>
      </c>
      <c r="C64" t="s">
        <v>10</v>
      </c>
      <c r="D64" t="s">
        <v>1369</v>
      </c>
      <c r="E64" t="s">
        <v>6</v>
      </c>
      <c r="F64" s="7" t="s">
        <v>1999</v>
      </c>
      <c r="G64" s="226" t="s">
        <v>10</v>
      </c>
    </row>
    <row r="65" spans="1:8">
      <c r="A65" s="221" t="s">
        <v>11</v>
      </c>
      <c r="B65" s="17"/>
      <c r="C65" s="17" t="s">
        <v>11</v>
      </c>
      <c r="D65" s="223" t="s">
        <v>91</v>
      </c>
      <c r="E65" s="17" t="s">
        <v>2000</v>
      </c>
      <c r="F65" s="17" t="s">
        <v>2001</v>
      </c>
      <c r="G65" s="17">
        <f>IF(AND(G64="No"),0,IF(AND(G64="Yes"),'Tool 04 - SWDS-Yearly'!C86))</f>
        <v>10.136870643302116</v>
      </c>
      <c r="H65" s="17"/>
    </row>
  </sheetData>
  <mergeCells count="19">
    <mergeCell ref="A29:H29"/>
    <mergeCell ref="A2:H2"/>
    <mergeCell ref="A4:H4"/>
    <mergeCell ref="A6:H6"/>
    <mergeCell ref="A8:H8"/>
    <mergeCell ref="A10:H10"/>
    <mergeCell ref="A12:H12"/>
    <mergeCell ref="A14:H14"/>
    <mergeCell ref="A17:H17"/>
    <mergeCell ref="A19:H19"/>
    <mergeCell ref="A21:H21"/>
    <mergeCell ref="A25:H25"/>
    <mergeCell ref="A63:H63"/>
    <mergeCell ref="A31:H31"/>
    <mergeCell ref="A36:H36"/>
    <mergeCell ref="A41:H41"/>
    <mergeCell ref="A46:H46"/>
    <mergeCell ref="A56:H56"/>
    <mergeCell ref="A59:H59"/>
  </mergeCells>
  <dataValidations count="3">
    <dataValidation type="list" allowBlank="1" showInputMessage="1" showErrorMessage="1" sqref="G18 G48 G26 G42" xr:uid="{FBCA0F54-B518-4F6C-83FD-FAE95A6CB6C5}">
      <formula1>"Option 1,Option 2"</formula1>
    </dataValidation>
    <dataValidation type="list" allowBlank="1" showInputMessage="1" showErrorMessage="1" sqref="G5" xr:uid="{80863437-2BBE-4A6C-AE6C-E3D73EB221F2}">
      <formula1>"Option 1, Option 2"</formula1>
    </dataValidation>
    <dataValidation type="list" allowBlank="1" showInputMessage="1" showErrorMessage="1" sqref="G15 G47 G64" xr:uid="{DC704BB1-154D-4867-8320-A2D98A22670C}">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90323E-63CC-47F4-B61B-39F6F09CFBE4}">
          <x14:formula1>
            <xm:f>'Tool 13 - MCF Defaults'!$B$3:$B$10</xm:f>
          </x14:formula1>
          <xm:sqref>G52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ADB95-99B4-48DF-ABE1-9EE73EBF5FAB}">
  <sheetPr codeName="Sheet28"/>
  <dimension ref="A1:G10"/>
  <sheetViews>
    <sheetView workbookViewId="0">
      <selection activeCell="G3" sqref="G3"/>
    </sheetView>
  </sheetViews>
  <sheetFormatPr defaultRowHeight="15"/>
  <cols>
    <col min="1" max="1" width="9.28515625" customWidth="1"/>
    <col min="2" max="2" width="50.140625" customWidth="1"/>
    <col min="3" max="3" width="15.5703125" customWidth="1"/>
  </cols>
  <sheetData>
    <row r="1" spans="1:7" ht="21.75" customHeight="1" thickBot="1">
      <c r="A1" s="228"/>
      <c r="B1" s="323" t="s">
        <v>2002</v>
      </c>
      <c r="C1" s="323"/>
      <c r="D1" s="228"/>
      <c r="E1" s="228"/>
      <c r="F1" s="228"/>
      <c r="G1" s="228"/>
    </row>
    <row r="2" spans="1:7" ht="38.25" thickBot="1">
      <c r="B2" s="229" t="s">
        <v>2003</v>
      </c>
      <c r="C2" s="180" t="s">
        <v>2004</v>
      </c>
    </row>
    <row r="3" spans="1:7">
      <c r="B3" s="230" t="s">
        <v>2005</v>
      </c>
      <c r="C3" s="231">
        <v>0.1</v>
      </c>
    </row>
    <row r="4" spans="1:7">
      <c r="B4" s="94" t="s">
        <v>2006</v>
      </c>
      <c r="C4" s="232">
        <v>0</v>
      </c>
    </row>
    <row r="5" spans="1:7">
      <c r="B5" s="97" t="s">
        <v>2007</v>
      </c>
      <c r="C5" s="232">
        <v>0.3</v>
      </c>
    </row>
    <row r="6" spans="1:7" ht="30">
      <c r="B6" s="97" t="s">
        <v>2008</v>
      </c>
      <c r="C6" s="232">
        <v>0.8</v>
      </c>
    </row>
    <row r="7" spans="1:7">
      <c r="B7" s="97" t="s">
        <v>2009</v>
      </c>
      <c r="C7" s="232">
        <v>0.8</v>
      </c>
    </row>
    <row r="8" spans="1:7">
      <c r="B8" s="97" t="s">
        <v>1981</v>
      </c>
      <c r="C8" s="232">
        <v>0.2</v>
      </c>
    </row>
    <row r="9" spans="1:7">
      <c r="B9" s="97" t="s">
        <v>2010</v>
      </c>
      <c r="C9" s="232">
        <v>0.8</v>
      </c>
    </row>
    <row r="10" spans="1:7" ht="15.75" thickBot="1">
      <c r="B10" s="98" t="s">
        <v>2011</v>
      </c>
      <c r="C10" s="233">
        <v>0.5</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51A7-5E14-40C8-9957-0486658FFC6D}">
  <sheetPr codeName="Sheet34"/>
  <dimension ref="A1:B481"/>
  <sheetViews>
    <sheetView zoomScale="120" zoomScaleNormal="120" workbookViewId="0">
      <selection activeCell="B45" sqref="B45"/>
    </sheetView>
  </sheetViews>
  <sheetFormatPr defaultColWidth="8.85546875" defaultRowHeight="15"/>
  <cols>
    <col min="1" max="1" width="53.28515625" bestFit="1" customWidth="1"/>
    <col min="2" max="2" width="150.5703125" customWidth="1"/>
  </cols>
  <sheetData>
    <row r="1" spans="1:2">
      <c r="A1" s="276" t="s">
        <v>292</v>
      </c>
      <c r="B1" s="277" t="s">
        <v>293</v>
      </c>
    </row>
    <row r="2" spans="1:2">
      <c r="A2" t="s">
        <v>294</v>
      </c>
      <c r="B2" t="s">
        <v>295</v>
      </c>
    </row>
    <row r="3" spans="1:2">
      <c r="A3" t="s">
        <v>296</v>
      </c>
      <c r="B3" t="s">
        <v>297</v>
      </c>
    </row>
    <row r="4" spans="1:2">
      <c r="A4" t="s">
        <v>298</v>
      </c>
      <c r="B4" t="s">
        <v>299</v>
      </c>
    </row>
    <row r="5" spans="1:2">
      <c r="A5" t="s">
        <v>47</v>
      </c>
      <c r="B5" t="s">
        <v>300</v>
      </c>
    </row>
    <row r="6" spans="1:2">
      <c r="A6" t="s">
        <v>56</v>
      </c>
      <c r="B6" t="s">
        <v>301</v>
      </c>
    </row>
    <row r="7" spans="1:2">
      <c r="A7" t="s">
        <v>302</v>
      </c>
      <c r="B7" t="s">
        <v>303</v>
      </c>
    </row>
    <row r="8" spans="1:2">
      <c r="A8" t="s">
        <v>304</v>
      </c>
      <c r="B8" t="s">
        <v>305</v>
      </c>
    </row>
    <row r="9" spans="1:2">
      <c r="A9" t="s">
        <v>306</v>
      </c>
      <c r="B9" t="s">
        <v>307</v>
      </c>
    </row>
    <row r="10" spans="1:2">
      <c r="A10" t="s">
        <v>308</v>
      </c>
      <c r="B10" t="s">
        <v>309</v>
      </c>
    </row>
    <row r="11" spans="1:2">
      <c r="A11" t="s">
        <v>38</v>
      </c>
      <c r="B11" t="s">
        <v>310</v>
      </c>
    </row>
    <row r="12" spans="1:2">
      <c r="A12" t="s">
        <v>311</v>
      </c>
      <c r="B12" t="s">
        <v>312</v>
      </c>
    </row>
    <row r="13" spans="1:2">
      <c r="A13" t="s">
        <v>313</v>
      </c>
      <c r="B13" t="s">
        <v>314</v>
      </c>
    </row>
    <row r="14" spans="1:2">
      <c r="A14" t="s">
        <v>315</v>
      </c>
      <c r="B14" t="s">
        <v>316</v>
      </c>
    </row>
    <row r="15" spans="1:2">
      <c r="A15" t="s">
        <v>317</v>
      </c>
      <c r="B15" t="s">
        <v>318</v>
      </c>
    </row>
    <row r="16" spans="1:2">
      <c r="A16" t="s">
        <v>319</v>
      </c>
      <c r="B16" t="s">
        <v>320</v>
      </c>
    </row>
    <row r="17" spans="1:2">
      <c r="A17" t="s">
        <v>321</v>
      </c>
      <c r="B17" t="s">
        <v>322</v>
      </c>
    </row>
    <row r="18" spans="1:2">
      <c r="A18" t="s">
        <v>323</v>
      </c>
      <c r="B18" t="s">
        <v>324</v>
      </c>
    </row>
    <row r="19" spans="1:2">
      <c r="A19" t="s">
        <v>16</v>
      </c>
      <c r="B19" t="s">
        <v>325</v>
      </c>
    </row>
    <row r="20" spans="1:2">
      <c r="A20" t="s">
        <v>19</v>
      </c>
      <c r="B20" t="s">
        <v>326</v>
      </c>
    </row>
    <row r="21" spans="1:2">
      <c r="A21" t="s">
        <v>24</v>
      </c>
      <c r="B21" t="s">
        <v>327</v>
      </c>
    </row>
    <row r="22" spans="1:2">
      <c r="A22" t="s">
        <v>328</v>
      </c>
      <c r="B22" t="s">
        <v>329</v>
      </c>
    </row>
    <row r="23" spans="1:2">
      <c r="A23" t="s">
        <v>330</v>
      </c>
      <c r="B23" t="s">
        <v>331</v>
      </c>
    </row>
    <row r="24" spans="1:2">
      <c r="A24" t="s">
        <v>332</v>
      </c>
      <c r="B24" t="s">
        <v>333</v>
      </c>
    </row>
    <row r="25" spans="1:2">
      <c r="A25" t="s">
        <v>334</v>
      </c>
      <c r="B25" t="s">
        <v>335</v>
      </c>
    </row>
    <row r="26" spans="1:2">
      <c r="A26" t="s">
        <v>336</v>
      </c>
      <c r="B26" t="s">
        <v>337</v>
      </c>
    </row>
    <row r="27" spans="1:2">
      <c r="A27" t="s">
        <v>338</v>
      </c>
      <c r="B27" t="s">
        <v>339</v>
      </c>
    </row>
    <row r="28" spans="1:2">
      <c r="A28" t="s">
        <v>340</v>
      </c>
      <c r="B28" t="s">
        <v>341</v>
      </c>
    </row>
    <row r="29" spans="1:2">
      <c r="A29" t="s">
        <v>342</v>
      </c>
      <c r="B29" t="s">
        <v>343</v>
      </c>
    </row>
    <row r="30" spans="1:2">
      <c r="A30" t="s">
        <v>344</v>
      </c>
      <c r="B30" t="s">
        <v>345</v>
      </c>
    </row>
    <row r="31" spans="1:2">
      <c r="A31" t="s">
        <v>346</v>
      </c>
      <c r="B31" t="s">
        <v>347</v>
      </c>
    </row>
    <row r="32" spans="1:2">
      <c r="A32" t="s">
        <v>348</v>
      </c>
      <c r="B32" t="s">
        <v>349</v>
      </c>
    </row>
    <row r="33" spans="1:2">
      <c r="A33" t="s">
        <v>350</v>
      </c>
      <c r="B33" t="s">
        <v>351</v>
      </c>
    </row>
    <row r="34" spans="1:2">
      <c r="A34" s="278" t="s">
        <v>65</v>
      </c>
      <c r="B34" t="s">
        <v>352</v>
      </c>
    </row>
    <row r="35" spans="1:2">
      <c r="A35" s="278" t="s">
        <v>68</v>
      </c>
      <c r="B35" t="s">
        <v>353</v>
      </c>
    </row>
    <row r="36" spans="1:2">
      <c r="A36" s="278" t="s">
        <v>71</v>
      </c>
      <c r="B36" t="s">
        <v>354</v>
      </c>
    </row>
    <row r="37" spans="1:2">
      <c r="A37" s="278" t="s">
        <v>355</v>
      </c>
      <c r="B37" t="s">
        <v>356</v>
      </c>
    </row>
    <row r="38" spans="1:2">
      <c r="A38" s="278" t="s">
        <v>357</v>
      </c>
      <c r="B38" t="s">
        <v>358</v>
      </c>
    </row>
    <row r="39" spans="1:2">
      <c r="A39" s="278" t="s">
        <v>359</v>
      </c>
      <c r="B39" t="s">
        <v>360</v>
      </c>
    </row>
    <row r="40" spans="1:2">
      <c r="A40" t="s">
        <v>361</v>
      </c>
      <c r="B40" t="s">
        <v>362</v>
      </c>
    </row>
    <row r="41" spans="1:2">
      <c r="A41" t="s">
        <v>363</v>
      </c>
      <c r="B41" t="s">
        <v>364</v>
      </c>
    </row>
    <row r="42" spans="1:2">
      <c r="A42" t="s">
        <v>365</v>
      </c>
      <c r="B42" t="s">
        <v>366</v>
      </c>
    </row>
    <row r="43" spans="1:2">
      <c r="A43" t="s">
        <v>367</v>
      </c>
      <c r="B43" t="s">
        <v>368</v>
      </c>
    </row>
    <row r="44" spans="1:2">
      <c r="A44" t="s">
        <v>369</v>
      </c>
      <c r="B44" t="s">
        <v>370</v>
      </c>
    </row>
    <row r="45" spans="1:2">
      <c r="A45" t="s">
        <v>371</v>
      </c>
      <c r="B45" t="s">
        <v>372</v>
      </c>
    </row>
    <row r="46" spans="1:2">
      <c r="A46" t="s">
        <v>373</v>
      </c>
      <c r="B46" t="s">
        <v>374</v>
      </c>
    </row>
    <row r="47" spans="1:2">
      <c r="A47" t="s">
        <v>375</v>
      </c>
      <c r="B47" t="s">
        <v>376</v>
      </c>
    </row>
    <row r="48" spans="1:2">
      <c r="A48" t="s">
        <v>377</v>
      </c>
      <c r="B48" t="s">
        <v>378</v>
      </c>
    </row>
    <row r="49" spans="1:2">
      <c r="A49" t="s">
        <v>379</v>
      </c>
      <c r="B49" t="s">
        <v>380</v>
      </c>
    </row>
    <row r="50" spans="1:2">
      <c r="A50" t="s">
        <v>381</v>
      </c>
      <c r="B50" t="s">
        <v>382</v>
      </c>
    </row>
    <row r="51" spans="1:2">
      <c r="A51" t="s">
        <v>383</v>
      </c>
      <c r="B51" t="s">
        <v>384</v>
      </c>
    </row>
    <row r="52" spans="1:2">
      <c r="A52" t="s">
        <v>385</v>
      </c>
      <c r="B52" t="s">
        <v>386</v>
      </c>
    </row>
    <row r="53" spans="1:2">
      <c r="A53" t="s">
        <v>387</v>
      </c>
      <c r="B53" t="s">
        <v>388</v>
      </c>
    </row>
    <row r="54" spans="1:2">
      <c r="A54" t="s">
        <v>389</v>
      </c>
      <c r="B54" t="s">
        <v>390</v>
      </c>
    </row>
    <row r="55" spans="1:2">
      <c r="A55" t="s">
        <v>391</v>
      </c>
      <c r="B55" t="s">
        <v>392</v>
      </c>
    </row>
    <row r="56" spans="1:2">
      <c r="A56" t="s">
        <v>393</v>
      </c>
      <c r="B56" t="s">
        <v>394</v>
      </c>
    </row>
    <row r="57" spans="1:2">
      <c r="A57" t="s">
        <v>395</v>
      </c>
      <c r="B57" t="s">
        <v>396</v>
      </c>
    </row>
    <row r="58" spans="1:2">
      <c r="A58" t="s">
        <v>397</v>
      </c>
      <c r="B58" t="s">
        <v>398</v>
      </c>
    </row>
    <row r="59" spans="1:2">
      <c r="A59" t="s">
        <v>399</v>
      </c>
      <c r="B59" t="s">
        <v>400</v>
      </c>
    </row>
    <row r="60" spans="1:2">
      <c r="A60" t="s">
        <v>401</v>
      </c>
      <c r="B60" t="s">
        <v>402</v>
      </c>
    </row>
    <row r="61" spans="1:2">
      <c r="A61" t="s">
        <v>403</v>
      </c>
      <c r="B61" t="s">
        <v>404</v>
      </c>
    </row>
    <row r="62" spans="1:2">
      <c r="A62" t="s">
        <v>405</v>
      </c>
      <c r="B62" t="s">
        <v>406</v>
      </c>
    </row>
    <row r="63" spans="1:2">
      <c r="A63" t="s">
        <v>407</v>
      </c>
      <c r="B63" t="s">
        <v>408</v>
      </c>
    </row>
    <row r="64" spans="1:2">
      <c r="A64" t="s">
        <v>409</v>
      </c>
      <c r="B64" t="s">
        <v>410</v>
      </c>
    </row>
    <row r="65" spans="1:2">
      <c r="A65" t="s">
        <v>411</v>
      </c>
      <c r="B65" t="s">
        <v>412</v>
      </c>
    </row>
    <row r="66" spans="1:2">
      <c r="A66" t="s">
        <v>413</v>
      </c>
      <c r="B66" t="s">
        <v>414</v>
      </c>
    </row>
    <row r="67" spans="1:2">
      <c r="A67" t="s">
        <v>415</v>
      </c>
      <c r="B67" t="s">
        <v>416</v>
      </c>
    </row>
    <row r="68" spans="1:2">
      <c r="A68" t="s">
        <v>417</v>
      </c>
      <c r="B68" t="s">
        <v>418</v>
      </c>
    </row>
    <row r="69" spans="1:2">
      <c r="A69" t="s">
        <v>419</v>
      </c>
      <c r="B69" t="s">
        <v>420</v>
      </c>
    </row>
    <row r="70" spans="1:2">
      <c r="A70" t="s">
        <v>421</v>
      </c>
      <c r="B70" t="s">
        <v>422</v>
      </c>
    </row>
    <row r="71" spans="1:2">
      <c r="A71" t="s">
        <v>423</v>
      </c>
      <c r="B71" t="s">
        <v>424</v>
      </c>
    </row>
    <row r="72" spans="1:2">
      <c r="A72" t="s">
        <v>425</v>
      </c>
      <c r="B72" t="s">
        <v>426</v>
      </c>
    </row>
    <row r="73" spans="1:2">
      <c r="A73" t="s">
        <v>427</v>
      </c>
      <c r="B73" t="s">
        <v>428</v>
      </c>
    </row>
    <row r="74" spans="1:2">
      <c r="A74" t="s">
        <v>429</v>
      </c>
      <c r="B74" t="s">
        <v>430</v>
      </c>
    </row>
    <row r="75" spans="1:2">
      <c r="A75" t="s">
        <v>431</v>
      </c>
      <c r="B75" t="s">
        <v>432</v>
      </c>
    </row>
    <row r="76" spans="1:2">
      <c r="A76" t="s">
        <v>433</v>
      </c>
      <c r="B76" t="s">
        <v>434</v>
      </c>
    </row>
    <row r="77" spans="1:2">
      <c r="A77" t="s">
        <v>435</v>
      </c>
      <c r="B77" t="s">
        <v>436</v>
      </c>
    </row>
    <row r="78" spans="1:2">
      <c r="A78" t="s">
        <v>437</v>
      </c>
      <c r="B78" t="s">
        <v>438</v>
      </c>
    </row>
    <row r="79" spans="1:2">
      <c r="A79" t="s">
        <v>439</v>
      </c>
      <c r="B79" t="s">
        <v>440</v>
      </c>
    </row>
    <row r="80" spans="1:2">
      <c r="A80" t="s">
        <v>441</v>
      </c>
      <c r="B80" t="s">
        <v>442</v>
      </c>
    </row>
    <row r="81" spans="1:2">
      <c r="A81" t="s">
        <v>443</v>
      </c>
      <c r="B81" t="s">
        <v>444</v>
      </c>
    </row>
    <row r="82" spans="1:2">
      <c r="A82" t="s">
        <v>445</v>
      </c>
      <c r="B82" t="s">
        <v>446</v>
      </c>
    </row>
    <row r="83" spans="1:2">
      <c r="A83" t="s">
        <v>447</v>
      </c>
      <c r="B83" t="s">
        <v>448</v>
      </c>
    </row>
    <row r="84" spans="1:2">
      <c r="A84" t="s">
        <v>449</v>
      </c>
      <c r="B84" t="s">
        <v>450</v>
      </c>
    </row>
    <row r="85" spans="1:2">
      <c r="A85" t="s">
        <v>451</v>
      </c>
      <c r="B85" t="s">
        <v>452</v>
      </c>
    </row>
    <row r="86" spans="1:2">
      <c r="A86" t="s">
        <v>453</v>
      </c>
      <c r="B86" t="s">
        <v>454</v>
      </c>
    </row>
    <row r="87" spans="1:2">
      <c r="A87" t="s">
        <v>77</v>
      </c>
      <c r="B87" t="s">
        <v>455</v>
      </c>
    </row>
    <row r="88" spans="1:2">
      <c r="A88" t="s">
        <v>456</v>
      </c>
      <c r="B88" t="s">
        <v>457</v>
      </c>
    </row>
    <row r="89" spans="1:2">
      <c r="A89" t="s">
        <v>458</v>
      </c>
      <c r="B89" t="s">
        <v>459</v>
      </c>
    </row>
    <row r="90" spans="1:2">
      <c r="A90" t="s">
        <v>460</v>
      </c>
      <c r="B90" t="s">
        <v>461</v>
      </c>
    </row>
    <row r="91" spans="1:2">
      <c r="A91" t="s">
        <v>462</v>
      </c>
      <c r="B91" t="s">
        <v>463</v>
      </c>
    </row>
    <row r="92" spans="1:2">
      <c r="A92" t="s">
        <v>464</v>
      </c>
      <c r="B92" t="s">
        <v>465</v>
      </c>
    </row>
    <row r="93" spans="1:2">
      <c r="A93" t="s">
        <v>466</v>
      </c>
      <c r="B93" t="s">
        <v>467</v>
      </c>
    </row>
    <row r="94" spans="1:2">
      <c r="A94" t="s">
        <v>468</v>
      </c>
      <c r="B94" t="s">
        <v>469</v>
      </c>
    </row>
    <row r="95" spans="1:2">
      <c r="A95" t="s">
        <v>470</v>
      </c>
      <c r="B95" t="s">
        <v>471</v>
      </c>
    </row>
    <row r="96" spans="1:2">
      <c r="A96" t="s">
        <v>472</v>
      </c>
      <c r="B96" t="s">
        <v>473</v>
      </c>
    </row>
    <row r="97" spans="1:2">
      <c r="A97" t="s">
        <v>474</v>
      </c>
      <c r="B97" t="s">
        <v>475</v>
      </c>
    </row>
    <row r="98" spans="1:2">
      <c r="A98" t="s">
        <v>476</v>
      </c>
      <c r="B98" t="s">
        <v>477</v>
      </c>
    </row>
    <row r="99" spans="1:2">
      <c r="A99" t="s">
        <v>478</v>
      </c>
      <c r="B99" t="s">
        <v>479</v>
      </c>
    </row>
    <row r="100" spans="1:2">
      <c r="A100" t="s">
        <v>480</v>
      </c>
      <c r="B100" t="s">
        <v>481</v>
      </c>
    </row>
    <row r="101" spans="1:2">
      <c r="A101" t="s">
        <v>482</v>
      </c>
      <c r="B101" t="s">
        <v>483</v>
      </c>
    </row>
    <row r="102" spans="1:2">
      <c r="A102" t="s">
        <v>484</v>
      </c>
      <c r="B102" t="s">
        <v>485</v>
      </c>
    </row>
    <row r="103" spans="1:2">
      <c r="A103" t="s">
        <v>486</v>
      </c>
      <c r="B103" t="s">
        <v>487</v>
      </c>
    </row>
    <row r="104" spans="1:2">
      <c r="A104" t="s">
        <v>488</v>
      </c>
      <c r="B104" t="s">
        <v>489</v>
      </c>
    </row>
    <row r="105" spans="1:2">
      <c r="A105" t="s">
        <v>490</v>
      </c>
      <c r="B105" t="s">
        <v>491</v>
      </c>
    </row>
    <row r="106" spans="1:2">
      <c r="A106" t="s">
        <v>492</v>
      </c>
      <c r="B106" t="s">
        <v>493</v>
      </c>
    </row>
    <row r="107" spans="1:2">
      <c r="A107" t="s">
        <v>494</v>
      </c>
      <c r="B107" t="s">
        <v>495</v>
      </c>
    </row>
    <row r="108" spans="1:2">
      <c r="A108" t="s">
        <v>496</v>
      </c>
      <c r="B108" t="s">
        <v>497</v>
      </c>
    </row>
    <row r="109" spans="1:2">
      <c r="A109" t="s">
        <v>498</v>
      </c>
      <c r="B109" t="s">
        <v>499</v>
      </c>
    </row>
    <row r="110" spans="1:2">
      <c r="A110" t="s">
        <v>500</v>
      </c>
      <c r="B110" t="s">
        <v>501</v>
      </c>
    </row>
    <row r="111" spans="1:2">
      <c r="A111" t="s">
        <v>502</v>
      </c>
      <c r="B111" t="s">
        <v>503</v>
      </c>
    </row>
    <row r="112" spans="1:2">
      <c r="A112" t="s">
        <v>504</v>
      </c>
      <c r="B112" t="s">
        <v>505</v>
      </c>
    </row>
    <row r="113" spans="1:2">
      <c r="A113" t="s">
        <v>506</v>
      </c>
      <c r="B113" t="s">
        <v>507</v>
      </c>
    </row>
    <row r="114" spans="1:2">
      <c r="A114" t="s">
        <v>508</v>
      </c>
      <c r="B114" t="s">
        <v>509</v>
      </c>
    </row>
    <row r="115" spans="1:2">
      <c r="A115" t="s">
        <v>510</v>
      </c>
      <c r="B115" t="s">
        <v>511</v>
      </c>
    </row>
    <row r="116" spans="1:2">
      <c r="A116" t="s">
        <v>512</v>
      </c>
      <c r="B116" t="s">
        <v>513</v>
      </c>
    </row>
    <row r="117" spans="1:2">
      <c r="A117" t="s">
        <v>514</v>
      </c>
      <c r="B117" t="s">
        <v>515</v>
      </c>
    </row>
    <row r="118" spans="1:2">
      <c r="A118" t="s">
        <v>516</v>
      </c>
      <c r="B118" t="s">
        <v>517</v>
      </c>
    </row>
    <row r="119" spans="1:2">
      <c r="A119" t="s">
        <v>518</v>
      </c>
      <c r="B119" t="s">
        <v>519</v>
      </c>
    </row>
    <row r="120" spans="1:2">
      <c r="A120" t="s">
        <v>520</v>
      </c>
      <c r="B120" t="s">
        <v>521</v>
      </c>
    </row>
    <row r="121" spans="1:2">
      <c r="A121" t="s">
        <v>522</v>
      </c>
      <c r="B121" t="s">
        <v>523</v>
      </c>
    </row>
    <row r="122" spans="1:2">
      <c r="A122" t="s">
        <v>524</v>
      </c>
      <c r="B122" t="s">
        <v>525</v>
      </c>
    </row>
    <row r="123" spans="1:2">
      <c r="A123" t="s">
        <v>526</v>
      </c>
      <c r="B123" t="s">
        <v>527</v>
      </c>
    </row>
    <row r="124" spans="1:2">
      <c r="A124" t="s">
        <v>528</v>
      </c>
      <c r="B124" t="s">
        <v>529</v>
      </c>
    </row>
    <row r="125" spans="1:2">
      <c r="A125" t="s">
        <v>530</v>
      </c>
      <c r="B125" t="s">
        <v>531</v>
      </c>
    </row>
    <row r="126" spans="1:2">
      <c r="A126" t="s">
        <v>532</v>
      </c>
      <c r="B126" t="s">
        <v>533</v>
      </c>
    </row>
    <row r="127" spans="1:2">
      <c r="A127" t="s">
        <v>534</v>
      </c>
      <c r="B127" t="s">
        <v>535</v>
      </c>
    </row>
    <row r="128" spans="1:2">
      <c r="A128" t="s">
        <v>536</v>
      </c>
      <c r="B128" t="s">
        <v>537</v>
      </c>
    </row>
    <row r="129" spans="1:2">
      <c r="A129" t="s">
        <v>30</v>
      </c>
      <c r="B129" t="s">
        <v>538</v>
      </c>
    </row>
    <row r="130" spans="1:2">
      <c r="A130" t="s">
        <v>27</v>
      </c>
      <c r="B130" t="s">
        <v>539</v>
      </c>
    </row>
    <row r="131" spans="1:2">
      <c r="A131" t="s">
        <v>33</v>
      </c>
      <c r="B131" t="s">
        <v>540</v>
      </c>
    </row>
    <row r="132" spans="1:2">
      <c r="A132" t="s">
        <v>541</v>
      </c>
      <c r="B132" t="s">
        <v>542</v>
      </c>
    </row>
    <row r="133" spans="1:2">
      <c r="A133" t="s">
        <v>543</v>
      </c>
      <c r="B133" t="s">
        <v>544</v>
      </c>
    </row>
    <row r="134" spans="1:2">
      <c r="A134" t="s">
        <v>545</v>
      </c>
      <c r="B134" t="s">
        <v>546</v>
      </c>
    </row>
    <row r="135" spans="1:2">
      <c r="A135" t="s">
        <v>547</v>
      </c>
      <c r="B135" t="s">
        <v>548</v>
      </c>
    </row>
    <row r="136" spans="1:2">
      <c r="A136" t="s">
        <v>549</v>
      </c>
      <c r="B136" t="s">
        <v>550</v>
      </c>
    </row>
    <row r="137" spans="1:2">
      <c r="A137" t="s">
        <v>92</v>
      </c>
      <c r="B137" t="s">
        <v>551</v>
      </c>
    </row>
    <row r="138" spans="1:2">
      <c r="A138" t="s">
        <v>552</v>
      </c>
      <c r="B138" t="s">
        <v>553</v>
      </c>
    </row>
    <row r="139" spans="1:2">
      <c r="A139" t="s">
        <v>554</v>
      </c>
      <c r="B139" t="s">
        <v>555</v>
      </c>
    </row>
    <row r="140" spans="1:2">
      <c r="A140" t="s">
        <v>556</v>
      </c>
      <c r="B140" t="s">
        <v>557</v>
      </c>
    </row>
    <row r="141" spans="1:2">
      <c r="A141" t="s">
        <v>558</v>
      </c>
      <c r="B141" t="s">
        <v>559</v>
      </c>
    </row>
    <row r="142" spans="1:2">
      <c r="A142" t="s">
        <v>560</v>
      </c>
      <c r="B142" t="s">
        <v>561</v>
      </c>
    </row>
    <row r="143" spans="1:2">
      <c r="A143" t="s">
        <v>562</v>
      </c>
      <c r="B143" t="s">
        <v>563</v>
      </c>
    </row>
    <row r="144" spans="1:2">
      <c r="A144" t="s">
        <v>564</v>
      </c>
      <c r="B144" t="s">
        <v>565</v>
      </c>
    </row>
    <row r="145" spans="1:2">
      <c r="A145" t="s">
        <v>566</v>
      </c>
      <c r="B145" t="s">
        <v>567</v>
      </c>
    </row>
    <row r="146" spans="1:2">
      <c r="A146" t="s">
        <v>95</v>
      </c>
      <c r="B146" t="s">
        <v>568</v>
      </c>
    </row>
    <row r="147" spans="1:2">
      <c r="A147" t="s">
        <v>98</v>
      </c>
      <c r="B147" t="s">
        <v>569</v>
      </c>
    </row>
    <row r="148" spans="1:2">
      <c r="A148" t="s">
        <v>570</v>
      </c>
      <c r="B148" t="s">
        <v>571</v>
      </c>
    </row>
    <row r="149" spans="1:2">
      <c r="A149" t="s">
        <v>572</v>
      </c>
      <c r="B149" t="s">
        <v>573</v>
      </c>
    </row>
    <row r="150" spans="1:2">
      <c r="A150" t="s">
        <v>574</v>
      </c>
      <c r="B150" t="s">
        <v>575</v>
      </c>
    </row>
    <row r="151" spans="1:2">
      <c r="A151" t="s">
        <v>576</v>
      </c>
      <c r="B151" t="s">
        <v>577</v>
      </c>
    </row>
    <row r="152" spans="1:2">
      <c r="A152" t="s">
        <v>578</v>
      </c>
      <c r="B152" t="s">
        <v>579</v>
      </c>
    </row>
    <row r="153" spans="1:2">
      <c r="A153" t="s">
        <v>580</v>
      </c>
      <c r="B153" t="s">
        <v>581</v>
      </c>
    </row>
    <row r="154" spans="1:2">
      <c r="A154" t="s">
        <v>582</v>
      </c>
      <c r="B154" t="s">
        <v>583</v>
      </c>
    </row>
    <row r="155" spans="1:2">
      <c r="A155" t="s">
        <v>584</v>
      </c>
      <c r="B155" t="s">
        <v>585</v>
      </c>
    </row>
    <row r="156" spans="1:2">
      <c r="A156" t="s">
        <v>586</v>
      </c>
      <c r="B156" t="s">
        <v>587</v>
      </c>
    </row>
    <row r="157" spans="1:2">
      <c r="A157" t="s">
        <v>588</v>
      </c>
      <c r="B157" t="s">
        <v>589</v>
      </c>
    </row>
    <row r="158" spans="1:2">
      <c r="A158" t="s">
        <v>590</v>
      </c>
      <c r="B158" t="s">
        <v>591</v>
      </c>
    </row>
    <row r="159" spans="1:2">
      <c r="A159" t="s">
        <v>592</v>
      </c>
      <c r="B159" t="s">
        <v>593</v>
      </c>
    </row>
    <row r="160" spans="1:2">
      <c r="A160" t="s">
        <v>594</v>
      </c>
      <c r="B160" t="s">
        <v>595</v>
      </c>
    </row>
    <row r="161" spans="1:2">
      <c r="A161" t="s">
        <v>596</v>
      </c>
      <c r="B161" t="s">
        <v>597</v>
      </c>
    </row>
    <row r="162" spans="1:2">
      <c r="A162" t="s">
        <v>598</v>
      </c>
      <c r="B162" t="s">
        <v>599</v>
      </c>
    </row>
    <row r="163" spans="1:2">
      <c r="A163" t="s">
        <v>600</v>
      </c>
      <c r="B163" t="s">
        <v>601</v>
      </c>
    </row>
    <row r="164" spans="1:2">
      <c r="A164" t="s">
        <v>602</v>
      </c>
      <c r="B164" t="s">
        <v>603</v>
      </c>
    </row>
    <row r="165" spans="1:2">
      <c r="A165" t="s">
        <v>604</v>
      </c>
      <c r="B165" t="s">
        <v>605</v>
      </c>
    </row>
    <row r="166" spans="1:2">
      <c r="A166" t="s">
        <v>606</v>
      </c>
      <c r="B166" t="s">
        <v>607</v>
      </c>
    </row>
    <row r="167" spans="1:2">
      <c r="A167" t="s">
        <v>608</v>
      </c>
      <c r="B167" t="s">
        <v>609</v>
      </c>
    </row>
    <row r="168" spans="1:2">
      <c r="A168" t="s">
        <v>610</v>
      </c>
      <c r="B168" t="s">
        <v>611</v>
      </c>
    </row>
    <row r="169" spans="1:2">
      <c r="A169" t="s">
        <v>612</v>
      </c>
      <c r="B169" t="s">
        <v>613</v>
      </c>
    </row>
    <row r="170" spans="1:2">
      <c r="A170" t="s">
        <v>614</v>
      </c>
      <c r="B170" t="s">
        <v>615</v>
      </c>
    </row>
    <row r="171" spans="1:2">
      <c r="A171" t="s">
        <v>616</v>
      </c>
      <c r="B171" t="s">
        <v>617</v>
      </c>
    </row>
    <row r="172" spans="1:2">
      <c r="A172" t="s">
        <v>618</v>
      </c>
      <c r="B172" t="s">
        <v>619</v>
      </c>
    </row>
    <row r="173" spans="1:2">
      <c r="A173" t="s">
        <v>620</v>
      </c>
      <c r="B173" t="s">
        <v>621</v>
      </c>
    </row>
    <row r="174" spans="1:2">
      <c r="A174" t="s">
        <v>622</v>
      </c>
      <c r="B174" t="s">
        <v>623</v>
      </c>
    </row>
    <row r="175" spans="1:2">
      <c r="A175" t="s">
        <v>624</v>
      </c>
      <c r="B175" t="s">
        <v>625</v>
      </c>
    </row>
    <row r="176" spans="1:2">
      <c r="A176" t="s">
        <v>626</v>
      </c>
      <c r="B176" t="s">
        <v>627</v>
      </c>
    </row>
    <row r="177" spans="1:2">
      <c r="A177" t="s">
        <v>628</v>
      </c>
      <c r="B177" t="s">
        <v>629</v>
      </c>
    </row>
    <row r="178" spans="1:2">
      <c r="A178" t="s">
        <v>630</v>
      </c>
      <c r="B178" t="s">
        <v>631</v>
      </c>
    </row>
    <row r="179" spans="1:2">
      <c r="A179" t="s">
        <v>632</v>
      </c>
      <c r="B179" t="s">
        <v>633</v>
      </c>
    </row>
    <row r="180" spans="1:2">
      <c r="A180" t="s">
        <v>634</v>
      </c>
      <c r="B180" t="s">
        <v>635</v>
      </c>
    </row>
    <row r="181" spans="1:2">
      <c r="A181" t="s">
        <v>636</v>
      </c>
      <c r="B181" t="s">
        <v>637</v>
      </c>
    </row>
    <row r="182" spans="1:2">
      <c r="A182" t="s">
        <v>638</v>
      </c>
      <c r="B182" t="s">
        <v>639</v>
      </c>
    </row>
    <row r="183" spans="1:2">
      <c r="A183" t="s">
        <v>640</v>
      </c>
      <c r="B183" t="s">
        <v>641</v>
      </c>
    </row>
    <row r="184" spans="1:2">
      <c r="A184" t="s">
        <v>642</v>
      </c>
      <c r="B184" t="s">
        <v>643</v>
      </c>
    </row>
    <row r="185" spans="1:2">
      <c r="A185" t="s">
        <v>644</v>
      </c>
      <c r="B185" t="s">
        <v>645</v>
      </c>
    </row>
    <row r="186" spans="1:2">
      <c r="A186" t="s">
        <v>646</v>
      </c>
      <c r="B186" t="s">
        <v>647</v>
      </c>
    </row>
    <row r="187" spans="1:2">
      <c r="A187" t="s">
        <v>648</v>
      </c>
      <c r="B187" t="s">
        <v>649</v>
      </c>
    </row>
    <row r="188" spans="1:2">
      <c r="A188" t="s">
        <v>650</v>
      </c>
      <c r="B188" t="s">
        <v>651</v>
      </c>
    </row>
    <row r="189" spans="1:2">
      <c r="A189" t="s">
        <v>652</v>
      </c>
      <c r="B189" t="s">
        <v>653</v>
      </c>
    </row>
    <row r="190" spans="1:2">
      <c r="A190" t="s">
        <v>654</v>
      </c>
      <c r="B190" t="s">
        <v>655</v>
      </c>
    </row>
    <row r="191" spans="1:2">
      <c r="A191" t="s">
        <v>656</v>
      </c>
      <c r="B191" t="s">
        <v>657</v>
      </c>
    </row>
    <row r="192" spans="1:2">
      <c r="A192" t="s">
        <v>658</v>
      </c>
      <c r="B192" t="s">
        <v>659</v>
      </c>
    </row>
    <row r="193" spans="1:2">
      <c r="A193" t="s">
        <v>660</v>
      </c>
      <c r="B193" t="s">
        <v>661</v>
      </c>
    </row>
    <row r="194" spans="1:2">
      <c r="A194" t="s">
        <v>662</v>
      </c>
      <c r="B194" t="s">
        <v>663</v>
      </c>
    </row>
    <row r="195" spans="1:2">
      <c r="A195" t="s">
        <v>664</v>
      </c>
      <c r="B195" t="s">
        <v>665</v>
      </c>
    </row>
    <row r="196" spans="1:2">
      <c r="A196" t="s">
        <v>666</v>
      </c>
      <c r="B196" t="s">
        <v>667</v>
      </c>
    </row>
    <row r="197" spans="1:2">
      <c r="A197" t="s">
        <v>668</v>
      </c>
      <c r="B197" t="s">
        <v>669</v>
      </c>
    </row>
    <row r="198" spans="1:2">
      <c r="A198" t="s">
        <v>61</v>
      </c>
      <c r="B198" t="s">
        <v>670</v>
      </c>
    </row>
    <row r="199" spans="1:2">
      <c r="A199" t="s">
        <v>671</v>
      </c>
      <c r="B199" t="s">
        <v>672</v>
      </c>
    </row>
    <row r="200" spans="1:2">
      <c r="A200" t="s">
        <v>673</v>
      </c>
      <c r="B200" t="s">
        <v>674</v>
      </c>
    </row>
    <row r="201" spans="1:2">
      <c r="A201" t="s">
        <v>675</v>
      </c>
      <c r="B201" t="s">
        <v>676</v>
      </c>
    </row>
    <row r="202" spans="1:2">
      <c r="A202" t="s">
        <v>677</v>
      </c>
      <c r="B202" t="s">
        <v>678</v>
      </c>
    </row>
    <row r="203" spans="1:2">
      <c r="A203" t="s">
        <v>679</v>
      </c>
      <c r="B203" t="s">
        <v>680</v>
      </c>
    </row>
    <row r="204" spans="1:2">
      <c r="A204" t="s">
        <v>681</v>
      </c>
      <c r="B204" t="s">
        <v>682</v>
      </c>
    </row>
    <row r="205" spans="1:2">
      <c r="A205" t="s">
        <v>683</v>
      </c>
      <c r="B205" t="s">
        <v>684</v>
      </c>
    </row>
    <row r="206" spans="1:2">
      <c r="A206" t="s">
        <v>685</v>
      </c>
      <c r="B206" t="s">
        <v>686</v>
      </c>
    </row>
    <row r="207" spans="1:2">
      <c r="A207" t="s">
        <v>687</v>
      </c>
      <c r="B207" t="s">
        <v>688</v>
      </c>
    </row>
    <row r="208" spans="1:2">
      <c r="A208" t="s">
        <v>689</v>
      </c>
      <c r="B208" t="s">
        <v>690</v>
      </c>
    </row>
    <row r="209" spans="1:2">
      <c r="A209" t="s">
        <v>691</v>
      </c>
      <c r="B209" t="s">
        <v>692</v>
      </c>
    </row>
    <row r="210" spans="1:2">
      <c r="A210" t="s">
        <v>693</v>
      </c>
      <c r="B210" t="s">
        <v>694</v>
      </c>
    </row>
    <row r="211" spans="1:2">
      <c r="A211" t="s">
        <v>695</v>
      </c>
      <c r="B211" t="s">
        <v>696</v>
      </c>
    </row>
    <row r="212" spans="1:2">
      <c r="A212" t="s">
        <v>697</v>
      </c>
      <c r="B212" t="s">
        <v>698</v>
      </c>
    </row>
    <row r="213" spans="1:2">
      <c r="A213" t="s">
        <v>699</v>
      </c>
      <c r="B213" t="s">
        <v>700</v>
      </c>
    </row>
    <row r="214" spans="1:2">
      <c r="A214" t="s">
        <v>701</v>
      </c>
      <c r="B214" t="s">
        <v>702</v>
      </c>
    </row>
    <row r="215" spans="1:2">
      <c r="A215" t="s">
        <v>703</v>
      </c>
      <c r="B215" t="s">
        <v>704</v>
      </c>
    </row>
    <row r="216" spans="1:2">
      <c r="A216" t="s">
        <v>705</v>
      </c>
      <c r="B216" t="s">
        <v>706</v>
      </c>
    </row>
    <row r="217" spans="1:2">
      <c r="A217" t="s">
        <v>707</v>
      </c>
      <c r="B217" t="s">
        <v>708</v>
      </c>
    </row>
    <row r="218" spans="1:2">
      <c r="A218" t="s">
        <v>709</v>
      </c>
      <c r="B218" t="s">
        <v>710</v>
      </c>
    </row>
    <row r="219" spans="1:2">
      <c r="A219" t="s">
        <v>711</v>
      </c>
      <c r="B219" t="s">
        <v>712</v>
      </c>
    </row>
    <row r="220" spans="1:2">
      <c r="A220" t="s">
        <v>713</v>
      </c>
      <c r="B220" t="s">
        <v>714</v>
      </c>
    </row>
    <row r="221" spans="1:2">
      <c r="A221" t="s">
        <v>715</v>
      </c>
      <c r="B221" t="s">
        <v>716</v>
      </c>
    </row>
    <row r="222" spans="1:2">
      <c r="A222" t="s">
        <v>717</v>
      </c>
      <c r="B222" t="s">
        <v>718</v>
      </c>
    </row>
    <row r="223" spans="1:2">
      <c r="A223" t="s">
        <v>719</v>
      </c>
      <c r="B223" t="s">
        <v>720</v>
      </c>
    </row>
    <row r="224" spans="1:2">
      <c r="A224" t="s">
        <v>721</v>
      </c>
      <c r="B224" t="s">
        <v>722</v>
      </c>
    </row>
    <row r="225" spans="1:2">
      <c r="A225" t="s">
        <v>723</v>
      </c>
      <c r="B225" t="s">
        <v>724</v>
      </c>
    </row>
    <row r="226" spans="1:2">
      <c r="A226" t="s">
        <v>725</v>
      </c>
      <c r="B226" t="s">
        <v>726</v>
      </c>
    </row>
    <row r="227" spans="1:2">
      <c r="A227" t="s">
        <v>727</v>
      </c>
      <c r="B227" t="s">
        <v>728</v>
      </c>
    </row>
    <row r="228" spans="1:2">
      <c r="A228" t="s">
        <v>729</v>
      </c>
      <c r="B228" t="s">
        <v>730</v>
      </c>
    </row>
    <row r="229" spans="1:2">
      <c r="A229" t="s">
        <v>731</v>
      </c>
      <c r="B229" t="s">
        <v>732</v>
      </c>
    </row>
    <row r="230" spans="1:2">
      <c r="A230" t="s">
        <v>733</v>
      </c>
      <c r="B230" t="s">
        <v>734</v>
      </c>
    </row>
    <row r="231" spans="1:2">
      <c r="A231" t="s">
        <v>735</v>
      </c>
      <c r="B231" t="s">
        <v>736</v>
      </c>
    </row>
    <row r="232" spans="1:2">
      <c r="A232" t="s">
        <v>737</v>
      </c>
      <c r="B232" t="s">
        <v>738</v>
      </c>
    </row>
    <row r="233" spans="1:2">
      <c r="A233" t="s">
        <v>739</v>
      </c>
      <c r="B233" t="s">
        <v>740</v>
      </c>
    </row>
    <row r="234" spans="1:2">
      <c r="A234" t="s">
        <v>741</v>
      </c>
      <c r="B234" s="278" t="s">
        <v>742</v>
      </c>
    </row>
    <row r="235" spans="1:2">
      <c r="A235" t="s">
        <v>743</v>
      </c>
      <c r="B235" s="278" t="s">
        <v>744</v>
      </c>
    </row>
    <row r="236" spans="1:2">
      <c r="A236" t="s">
        <v>745</v>
      </c>
      <c r="B236" s="278" t="s">
        <v>746</v>
      </c>
    </row>
    <row r="237" spans="1:2">
      <c r="A237" t="s">
        <v>747</v>
      </c>
      <c r="B237" s="278" t="s">
        <v>748</v>
      </c>
    </row>
    <row r="238" spans="1:2">
      <c r="A238" t="s">
        <v>749</v>
      </c>
      <c r="B238" s="278" t="s">
        <v>750</v>
      </c>
    </row>
    <row r="239" spans="1:2">
      <c r="A239" t="s">
        <v>751</v>
      </c>
      <c r="B239" s="278" t="s">
        <v>752</v>
      </c>
    </row>
    <row r="240" spans="1:2">
      <c r="A240" t="s">
        <v>753</v>
      </c>
      <c r="B240" s="278" t="s">
        <v>754</v>
      </c>
    </row>
    <row r="241" spans="1:2">
      <c r="A241" t="s">
        <v>755</v>
      </c>
      <c r="B241" s="278" t="s">
        <v>756</v>
      </c>
    </row>
    <row r="242" spans="1:2">
      <c r="A242" t="s">
        <v>757</v>
      </c>
      <c r="B242" s="278" t="s">
        <v>758</v>
      </c>
    </row>
    <row r="243" spans="1:2">
      <c r="A243" t="s">
        <v>759</v>
      </c>
      <c r="B243" s="278" t="s">
        <v>760</v>
      </c>
    </row>
    <row r="244" spans="1:2">
      <c r="A244" t="s">
        <v>761</v>
      </c>
      <c r="B244" s="278" t="s">
        <v>762</v>
      </c>
    </row>
    <row r="245" spans="1:2">
      <c r="A245" t="s">
        <v>763</v>
      </c>
      <c r="B245" s="278" t="s">
        <v>764</v>
      </c>
    </row>
    <row r="246" spans="1:2">
      <c r="A246" t="s">
        <v>765</v>
      </c>
      <c r="B246" s="278" t="s">
        <v>766</v>
      </c>
    </row>
    <row r="247" spans="1:2">
      <c r="A247" t="s">
        <v>767</v>
      </c>
      <c r="B247" s="278" t="s">
        <v>768</v>
      </c>
    </row>
    <row r="248" spans="1:2">
      <c r="A248" t="s">
        <v>769</v>
      </c>
      <c r="B248" s="278" t="s">
        <v>770</v>
      </c>
    </row>
    <row r="249" spans="1:2">
      <c r="A249" t="s">
        <v>771</v>
      </c>
      <c r="B249" s="278" t="s">
        <v>772</v>
      </c>
    </row>
    <row r="250" spans="1:2">
      <c r="A250" t="s">
        <v>773</v>
      </c>
      <c r="B250" s="278" t="s">
        <v>774</v>
      </c>
    </row>
    <row r="251" spans="1:2">
      <c r="A251" t="s">
        <v>775</v>
      </c>
      <c r="B251" s="278" t="s">
        <v>63</v>
      </c>
    </row>
    <row r="252" spans="1:2">
      <c r="A252" t="s">
        <v>776</v>
      </c>
      <c r="B252" s="278" t="s">
        <v>777</v>
      </c>
    </row>
    <row r="253" spans="1:2">
      <c r="A253" t="s">
        <v>778</v>
      </c>
      <c r="B253" s="278" t="s">
        <v>779</v>
      </c>
    </row>
    <row r="254" spans="1:2">
      <c r="A254" t="s">
        <v>780</v>
      </c>
      <c r="B254" s="278" t="s">
        <v>781</v>
      </c>
    </row>
    <row r="255" spans="1:2">
      <c r="A255" t="s">
        <v>782</v>
      </c>
      <c r="B255" s="278" t="s">
        <v>783</v>
      </c>
    </row>
    <row r="256" spans="1:2">
      <c r="A256" t="s">
        <v>784</v>
      </c>
      <c r="B256" s="278" t="s">
        <v>785</v>
      </c>
    </row>
    <row r="257" spans="1:2">
      <c r="A257" t="s">
        <v>786</v>
      </c>
      <c r="B257" s="278" t="s">
        <v>787</v>
      </c>
    </row>
    <row r="258" spans="1:2">
      <c r="A258" t="s">
        <v>788</v>
      </c>
      <c r="B258" s="278" t="s">
        <v>789</v>
      </c>
    </row>
    <row r="259" spans="1:2">
      <c r="A259" t="s">
        <v>790</v>
      </c>
      <c r="B259" s="278" t="s">
        <v>791</v>
      </c>
    </row>
    <row r="260" spans="1:2">
      <c r="A260" t="s">
        <v>792</v>
      </c>
      <c r="B260" s="278" t="s">
        <v>793</v>
      </c>
    </row>
    <row r="261" spans="1:2">
      <c r="A261" t="s">
        <v>794</v>
      </c>
      <c r="B261" s="278" t="s">
        <v>795</v>
      </c>
    </row>
    <row r="262" spans="1:2">
      <c r="A262" t="s">
        <v>796</v>
      </c>
      <c r="B262" s="278" t="s">
        <v>797</v>
      </c>
    </row>
    <row r="263" spans="1:2">
      <c r="A263" t="s">
        <v>798</v>
      </c>
      <c r="B263" s="278" t="s">
        <v>799</v>
      </c>
    </row>
    <row r="264" spans="1:2">
      <c r="A264" t="s">
        <v>800</v>
      </c>
      <c r="B264" s="278" t="s">
        <v>801</v>
      </c>
    </row>
    <row r="265" spans="1:2">
      <c r="A265" t="s">
        <v>802</v>
      </c>
      <c r="B265" s="278" t="s">
        <v>803</v>
      </c>
    </row>
    <row r="266" spans="1:2">
      <c r="A266" t="s">
        <v>804</v>
      </c>
      <c r="B266" s="278" t="s">
        <v>805</v>
      </c>
    </row>
    <row r="267" spans="1:2">
      <c r="A267" t="s">
        <v>806</v>
      </c>
      <c r="B267" s="278" t="s">
        <v>807</v>
      </c>
    </row>
    <row r="268" spans="1:2">
      <c r="A268" t="s">
        <v>808</v>
      </c>
      <c r="B268" s="278" t="s">
        <v>809</v>
      </c>
    </row>
    <row r="269" spans="1:2">
      <c r="A269" t="s">
        <v>810</v>
      </c>
      <c r="B269" s="278" t="s">
        <v>811</v>
      </c>
    </row>
    <row r="270" spans="1:2">
      <c r="A270" t="s">
        <v>812</v>
      </c>
      <c r="B270" s="278" t="s">
        <v>813</v>
      </c>
    </row>
    <row r="271" spans="1:2">
      <c r="A271" t="s">
        <v>814</v>
      </c>
      <c r="B271" s="278" t="s">
        <v>815</v>
      </c>
    </row>
    <row r="272" spans="1:2">
      <c r="A272" t="s">
        <v>816</v>
      </c>
      <c r="B272" s="278" t="s">
        <v>817</v>
      </c>
    </row>
    <row r="273" spans="1:2">
      <c r="A273" t="s">
        <v>818</v>
      </c>
      <c r="B273" s="278" t="s">
        <v>819</v>
      </c>
    </row>
    <row r="274" spans="1:2">
      <c r="A274" t="s">
        <v>820</v>
      </c>
      <c r="B274" s="278" t="s">
        <v>821</v>
      </c>
    </row>
    <row r="275" spans="1:2">
      <c r="A275" t="s">
        <v>822</v>
      </c>
      <c r="B275" s="278" t="s">
        <v>823</v>
      </c>
    </row>
    <row r="276" spans="1:2">
      <c r="A276" t="s">
        <v>824</v>
      </c>
      <c r="B276" s="278" t="s">
        <v>825</v>
      </c>
    </row>
    <row r="277" spans="1:2">
      <c r="A277" t="s">
        <v>826</v>
      </c>
      <c r="B277" s="278" t="s">
        <v>827</v>
      </c>
    </row>
    <row r="278" spans="1:2">
      <c r="B278" s="278" t="s">
        <v>828</v>
      </c>
    </row>
    <row r="279" spans="1:2">
      <c r="B279" s="278" t="s">
        <v>829</v>
      </c>
    </row>
    <row r="280" spans="1:2">
      <c r="B280" s="278" t="s">
        <v>830</v>
      </c>
    </row>
    <row r="281" spans="1:2">
      <c r="B281" s="278" t="s">
        <v>831</v>
      </c>
    </row>
    <row r="282" spans="1:2">
      <c r="B282" s="278" t="s">
        <v>832</v>
      </c>
    </row>
    <row r="283" spans="1:2">
      <c r="B283" s="278" t="s">
        <v>833</v>
      </c>
    </row>
    <row r="284" spans="1:2">
      <c r="B284" s="278" t="s">
        <v>834</v>
      </c>
    </row>
    <row r="285" spans="1:2">
      <c r="B285" s="278" t="s">
        <v>835</v>
      </c>
    </row>
    <row r="286" spans="1:2">
      <c r="B286" s="278" t="s">
        <v>836</v>
      </c>
    </row>
    <row r="287" spans="1:2">
      <c r="B287" s="278" t="s">
        <v>837</v>
      </c>
    </row>
    <row r="288" spans="1:2">
      <c r="B288" s="278" t="s">
        <v>838</v>
      </c>
    </row>
    <row r="289" spans="2:2">
      <c r="B289" s="278" t="s">
        <v>839</v>
      </c>
    </row>
    <row r="290" spans="2:2">
      <c r="B290" s="278" t="s">
        <v>840</v>
      </c>
    </row>
    <row r="291" spans="2:2">
      <c r="B291" s="278" t="s">
        <v>841</v>
      </c>
    </row>
    <row r="292" spans="2:2">
      <c r="B292" s="278" t="s">
        <v>842</v>
      </c>
    </row>
    <row r="293" spans="2:2">
      <c r="B293" s="278" t="s">
        <v>843</v>
      </c>
    </row>
    <row r="294" spans="2:2">
      <c r="B294" s="278" t="s">
        <v>844</v>
      </c>
    </row>
    <row r="295" spans="2:2">
      <c r="B295" s="278" t="s">
        <v>845</v>
      </c>
    </row>
    <row r="296" spans="2:2">
      <c r="B296" s="278" t="s">
        <v>846</v>
      </c>
    </row>
    <row r="297" spans="2:2">
      <c r="B297" s="278" t="s">
        <v>847</v>
      </c>
    </row>
    <row r="298" spans="2:2">
      <c r="B298" s="278" t="s">
        <v>848</v>
      </c>
    </row>
    <row r="299" spans="2:2">
      <c r="B299" s="278" t="s">
        <v>849</v>
      </c>
    </row>
    <row r="300" spans="2:2">
      <c r="B300" s="278" t="s">
        <v>850</v>
      </c>
    </row>
    <row r="301" spans="2:2">
      <c r="B301" s="278" t="s">
        <v>851</v>
      </c>
    </row>
    <row r="302" spans="2:2">
      <c r="B302" s="278" t="s">
        <v>852</v>
      </c>
    </row>
    <row r="303" spans="2:2">
      <c r="B303" t="s">
        <v>853</v>
      </c>
    </row>
    <row r="304" spans="2:2">
      <c r="B304" t="s">
        <v>854</v>
      </c>
    </row>
    <row r="305" spans="2:2">
      <c r="B305" t="s">
        <v>855</v>
      </c>
    </row>
    <row r="306" spans="2:2">
      <c r="B306" t="s">
        <v>856</v>
      </c>
    </row>
    <row r="307" spans="2:2">
      <c r="B307" t="s">
        <v>857</v>
      </c>
    </row>
    <row r="308" spans="2:2">
      <c r="B308" t="s">
        <v>858</v>
      </c>
    </row>
    <row r="309" spans="2:2">
      <c r="B309" t="s">
        <v>859</v>
      </c>
    </row>
    <row r="310" spans="2:2">
      <c r="B310" t="s">
        <v>860</v>
      </c>
    </row>
    <row r="311" spans="2:2">
      <c r="B311" t="s">
        <v>861</v>
      </c>
    </row>
    <row r="312" spans="2:2">
      <c r="B312" t="s">
        <v>862</v>
      </c>
    </row>
    <row r="313" spans="2:2">
      <c r="B313" t="s">
        <v>863</v>
      </c>
    </row>
    <row r="314" spans="2:2">
      <c r="B314" t="s">
        <v>864</v>
      </c>
    </row>
    <row r="315" spans="2:2">
      <c r="B315" t="s">
        <v>865</v>
      </c>
    </row>
    <row r="316" spans="2:2">
      <c r="B316" t="s">
        <v>866</v>
      </c>
    </row>
    <row r="317" spans="2:2">
      <c r="B317" t="s">
        <v>867</v>
      </c>
    </row>
    <row r="318" spans="2:2">
      <c r="B318" t="s">
        <v>868</v>
      </c>
    </row>
    <row r="319" spans="2:2">
      <c r="B319" t="s">
        <v>869</v>
      </c>
    </row>
    <row r="320" spans="2:2">
      <c r="B320" t="s">
        <v>870</v>
      </c>
    </row>
    <row r="321" spans="2:2">
      <c r="B321" t="s">
        <v>871</v>
      </c>
    </row>
    <row r="322" spans="2:2">
      <c r="B322" t="s">
        <v>872</v>
      </c>
    </row>
    <row r="323" spans="2:2">
      <c r="B323" t="s">
        <v>873</v>
      </c>
    </row>
    <row r="324" spans="2:2">
      <c r="B324" t="s">
        <v>874</v>
      </c>
    </row>
    <row r="325" spans="2:2">
      <c r="B325" t="s">
        <v>875</v>
      </c>
    </row>
    <row r="326" spans="2:2">
      <c r="B326" t="s">
        <v>876</v>
      </c>
    </row>
    <row r="327" spans="2:2">
      <c r="B327" t="s">
        <v>877</v>
      </c>
    </row>
    <row r="328" spans="2:2">
      <c r="B328" t="s">
        <v>878</v>
      </c>
    </row>
    <row r="329" spans="2:2">
      <c r="B329" t="s">
        <v>879</v>
      </c>
    </row>
    <row r="330" spans="2:2">
      <c r="B330" t="s">
        <v>880</v>
      </c>
    </row>
    <row r="331" spans="2:2">
      <c r="B331" t="s">
        <v>881</v>
      </c>
    </row>
    <row r="332" spans="2:2">
      <c r="B332" t="s">
        <v>882</v>
      </c>
    </row>
    <row r="333" spans="2:2">
      <c r="B333" t="s">
        <v>883</v>
      </c>
    </row>
    <row r="334" spans="2:2">
      <c r="B334" t="s">
        <v>884</v>
      </c>
    </row>
    <row r="335" spans="2:2">
      <c r="B335" t="s">
        <v>885</v>
      </c>
    </row>
    <row r="336" spans="2:2">
      <c r="B336" t="s">
        <v>886</v>
      </c>
    </row>
    <row r="337" spans="2:2">
      <c r="B337" t="s">
        <v>887</v>
      </c>
    </row>
    <row r="338" spans="2:2">
      <c r="B338" t="s">
        <v>888</v>
      </c>
    </row>
    <row r="339" spans="2:2">
      <c r="B339" t="s">
        <v>889</v>
      </c>
    </row>
    <row r="340" spans="2:2">
      <c r="B340" t="s">
        <v>890</v>
      </c>
    </row>
    <row r="341" spans="2:2">
      <c r="B341" t="s">
        <v>891</v>
      </c>
    </row>
    <row r="342" spans="2:2">
      <c r="B342" t="s">
        <v>892</v>
      </c>
    </row>
    <row r="343" spans="2:2">
      <c r="B343" t="s">
        <v>893</v>
      </c>
    </row>
    <row r="344" spans="2:2">
      <c r="B344" t="s">
        <v>894</v>
      </c>
    </row>
    <row r="345" spans="2:2">
      <c r="B345" t="s">
        <v>895</v>
      </c>
    </row>
    <row r="346" spans="2:2">
      <c r="B346" t="s">
        <v>896</v>
      </c>
    </row>
    <row r="347" spans="2:2">
      <c r="B347" t="s">
        <v>897</v>
      </c>
    </row>
    <row r="348" spans="2:2">
      <c r="B348" t="s">
        <v>898</v>
      </c>
    </row>
    <row r="349" spans="2:2">
      <c r="B349" t="s">
        <v>899</v>
      </c>
    </row>
    <row r="350" spans="2:2">
      <c r="B350" t="s">
        <v>900</v>
      </c>
    </row>
    <row r="351" spans="2:2">
      <c r="B351" s="278" t="s">
        <v>901</v>
      </c>
    </row>
    <row r="352" spans="2:2">
      <c r="B352" s="278" t="s">
        <v>902</v>
      </c>
    </row>
    <row r="353" spans="2:2">
      <c r="B353" s="278" t="s">
        <v>903</v>
      </c>
    </row>
    <row r="354" spans="2:2">
      <c r="B354" s="278" t="s">
        <v>904</v>
      </c>
    </row>
    <row r="355" spans="2:2">
      <c r="B355" s="278" t="s">
        <v>905</v>
      </c>
    </row>
    <row r="356" spans="2:2">
      <c r="B356" s="278" t="s">
        <v>906</v>
      </c>
    </row>
    <row r="357" spans="2:2">
      <c r="B357" s="278" t="s">
        <v>907</v>
      </c>
    </row>
    <row r="358" spans="2:2">
      <c r="B358" s="278" t="s">
        <v>908</v>
      </c>
    </row>
    <row r="359" spans="2:2">
      <c r="B359" s="278" t="s">
        <v>909</v>
      </c>
    </row>
    <row r="360" spans="2:2">
      <c r="B360" s="278" t="s">
        <v>910</v>
      </c>
    </row>
    <row r="361" spans="2:2">
      <c r="B361" s="278" t="s">
        <v>911</v>
      </c>
    </row>
    <row r="362" spans="2:2">
      <c r="B362" t="s">
        <v>912</v>
      </c>
    </row>
    <row r="363" spans="2:2">
      <c r="B363" t="s">
        <v>913</v>
      </c>
    </row>
    <row r="364" spans="2:2">
      <c r="B364" t="s">
        <v>914</v>
      </c>
    </row>
    <row r="365" spans="2:2">
      <c r="B365" t="s">
        <v>915</v>
      </c>
    </row>
    <row r="366" spans="2:2">
      <c r="B366" t="s">
        <v>916</v>
      </c>
    </row>
    <row r="367" spans="2:2">
      <c r="B367" t="s">
        <v>917</v>
      </c>
    </row>
    <row r="368" spans="2:2">
      <c r="B368" t="s">
        <v>918</v>
      </c>
    </row>
    <row r="369" spans="2:2">
      <c r="B369" t="s">
        <v>919</v>
      </c>
    </row>
    <row r="370" spans="2:2">
      <c r="B370" t="s">
        <v>920</v>
      </c>
    </row>
    <row r="371" spans="2:2">
      <c r="B371" t="s">
        <v>921</v>
      </c>
    </row>
    <row r="372" spans="2:2">
      <c r="B372" t="s">
        <v>922</v>
      </c>
    </row>
    <row r="373" spans="2:2">
      <c r="B373" t="s">
        <v>923</v>
      </c>
    </row>
    <row r="374" spans="2:2">
      <c r="B374" t="s">
        <v>924</v>
      </c>
    </row>
    <row r="375" spans="2:2">
      <c r="B375" t="s">
        <v>925</v>
      </c>
    </row>
    <row r="376" spans="2:2">
      <c r="B376" t="s">
        <v>926</v>
      </c>
    </row>
    <row r="377" spans="2:2">
      <c r="B377" t="s">
        <v>927</v>
      </c>
    </row>
    <row r="378" spans="2:2">
      <c r="B378" t="s">
        <v>928</v>
      </c>
    </row>
    <row r="379" spans="2:2">
      <c r="B379" t="s">
        <v>929</v>
      </c>
    </row>
    <row r="380" spans="2:2">
      <c r="B380" t="s">
        <v>930</v>
      </c>
    </row>
    <row r="381" spans="2:2">
      <c r="B381" t="s">
        <v>931</v>
      </c>
    </row>
    <row r="382" spans="2:2">
      <c r="B382" t="s">
        <v>932</v>
      </c>
    </row>
    <row r="383" spans="2:2">
      <c r="B383" t="s">
        <v>933</v>
      </c>
    </row>
    <row r="384" spans="2:2">
      <c r="B384" t="s">
        <v>934</v>
      </c>
    </row>
    <row r="385" spans="2:2">
      <c r="B385" t="s">
        <v>935</v>
      </c>
    </row>
    <row r="386" spans="2:2">
      <c r="B386" t="s">
        <v>936</v>
      </c>
    </row>
    <row r="387" spans="2:2">
      <c r="B387" t="s">
        <v>937</v>
      </c>
    </row>
    <row r="388" spans="2:2">
      <c r="B388" t="s">
        <v>938</v>
      </c>
    </row>
    <row r="389" spans="2:2">
      <c r="B389" t="s">
        <v>939</v>
      </c>
    </row>
    <row r="390" spans="2:2">
      <c r="B390" t="s">
        <v>940</v>
      </c>
    </row>
    <row r="391" spans="2:2">
      <c r="B391" t="s">
        <v>941</v>
      </c>
    </row>
    <row r="392" spans="2:2">
      <c r="B392" t="s">
        <v>942</v>
      </c>
    </row>
    <row r="393" spans="2:2">
      <c r="B393" t="s">
        <v>943</v>
      </c>
    </row>
    <row r="394" spans="2:2">
      <c r="B394" t="s">
        <v>944</v>
      </c>
    </row>
    <row r="395" spans="2:2">
      <c r="B395" t="s">
        <v>945</v>
      </c>
    </row>
    <row r="396" spans="2:2">
      <c r="B396" t="s">
        <v>946</v>
      </c>
    </row>
    <row r="397" spans="2:2">
      <c r="B397" t="s">
        <v>947</v>
      </c>
    </row>
    <row r="398" spans="2:2">
      <c r="B398" t="s">
        <v>948</v>
      </c>
    </row>
    <row r="399" spans="2:2">
      <c r="B399" t="s">
        <v>949</v>
      </c>
    </row>
    <row r="400" spans="2:2">
      <c r="B400" t="s">
        <v>950</v>
      </c>
    </row>
    <row r="401" spans="2:2">
      <c r="B401" t="s">
        <v>951</v>
      </c>
    </row>
    <row r="402" spans="2:2">
      <c r="B402" t="s">
        <v>952</v>
      </c>
    </row>
    <row r="403" spans="2:2">
      <c r="B403" t="s">
        <v>953</v>
      </c>
    </row>
    <row r="404" spans="2:2">
      <c r="B404" t="s">
        <v>954</v>
      </c>
    </row>
    <row r="405" spans="2:2">
      <c r="B405" t="s">
        <v>955</v>
      </c>
    </row>
    <row r="406" spans="2:2">
      <c r="B406" t="s">
        <v>956</v>
      </c>
    </row>
    <row r="407" spans="2:2">
      <c r="B407" t="s">
        <v>957</v>
      </c>
    </row>
    <row r="408" spans="2:2">
      <c r="B408" t="s">
        <v>958</v>
      </c>
    </row>
    <row r="409" spans="2:2">
      <c r="B409" t="s">
        <v>959</v>
      </c>
    </row>
    <row r="410" spans="2:2">
      <c r="B410" t="s">
        <v>960</v>
      </c>
    </row>
    <row r="411" spans="2:2">
      <c r="B411" t="s">
        <v>961</v>
      </c>
    </row>
    <row r="412" spans="2:2">
      <c r="B412" t="s">
        <v>962</v>
      </c>
    </row>
    <row r="413" spans="2:2">
      <c r="B413" t="s">
        <v>963</v>
      </c>
    </row>
    <row r="414" spans="2:2">
      <c r="B414" t="s">
        <v>964</v>
      </c>
    </row>
    <row r="415" spans="2:2">
      <c r="B415" t="s">
        <v>965</v>
      </c>
    </row>
    <row r="416" spans="2:2">
      <c r="B416" t="s">
        <v>966</v>
      </c>
    </row>
    <row r="417" spans="2:2">
      <c r="B417" t="s">
        <v>967</v>
      </c>
    </row>
    <row r="418" spans="2:2">
      <c r="B418" t="s">
        <v>968</v>
      </c>
    </row>
    <row r="419" spans="2:2">
      <c r="B419" t="s">
        <v>969</v>
      </c>
    </row>
    <row r="420" spans="2:2">
      <c r="B420" t="s">
        <v>970</v>
      </c>
    </row>
    <row r="421" spans="2:2">
      <c r="B421" t="s">
        <v>971</v>
      </c>
    </row>
    <row r="422" spans="2:2">
      <c r="B422" t="s">
        <v>972</v>
      </c>
    </row>
    <row r="423" spans="2:2">
      <c r="B423" t="s">
        <v>973</v>
      </c>
    </row>
    <row r="424" spans="2:2">
      <c r="B424" t="s">
        <v>974</v>
      </c>
    </row>
    <row r="425" spans="2:2">
      <c r="B425" t="s">
        <v>975</v>
      </c>
    </row>
    <row r="426" spans="2:2">
      <c r="B426" t="s">
        <v>976</v>
      </c>
    </row>
    <row r="427" spans="2:2">
      <c r="B427" t="s">
        <v>977</v>
      </c>
    </row>
    <row r="428" spans="2:2">
      <c r="B428" t="s">
        <v>978</v>
      </c>
    </row>
    <row r="429" spans="2:2">
      <c r="B429" t="s">
        <v>979</v>
      </c>
    </row>
    <row r="430" spans="2:2">
      <c r="B430" t="s">
        <v>980</v>
      </c>
    </row>
    <row r="431" spans="2:2">
      <c r="B431" t="s">
        <v>981</v>
      </c>
    </row>
    <row r="432" spans="2:2">
      <c r="B432" t="s">
        <v>982</v>
      </c>
    </row>
    <row r="433" spans="2:2">
      <c r="B433" t="s">
        <v>983</v>
      </c>
    </row>
    <row r="434" spans="2:2">
      <c r="B434" t="s">
        <v>984</v>
      </c>
    </row>
    <row r="435" spans="2:2">
      <c r="B435" t="s">
        <v>985</v>
      </c>
    </row>
    <row r="436" spans="2:2">
      <c r="B436" t="s">
        <v>986</v>
      </c>
    </row>
    <row r="437" spans="2:2">
      <c r="B437" t="s">
        <v>987</v>
      </c>
    </row>
    <row r="438" spans="2:2">
      <c r="B438" t="s">
        <v>988</v>
      </c>
    </row>
    <row r="439" spans="2:2">
      <c r="B439" t="s">
        <v>989</v>
      </c>
    </row>
    <row r="440" spans="2:2">
      <c r="B440" t="s">
        <v>990</v>
      </c>
    </row>
    <row r="441" spans="2:2">
      <c r="B441" t="s">
        <v>991</v>
      </c>
    </row>
    <row r="442" spans="2:2">
      <c r="B442" t="s">
        <v>992</v>
      </c>
    </row>
    <row r="443" spans="2:2">
      <c r="B443" t="s">
        <v>993</v>
      </c>
    </row>
    <row r="444" spans="2:2">
      <c r="B444" t="s">
        <v>994</v>
      </c>
    </row>
    <row r="445" spans="2:2">
      <c r="B445" t="s">
        <v>995</v>
      </c>
    </row>
    <row r="446" spans="2:2">
      <c r="B446" t="s">
        <v>996</v>
      </c>
    </row>
    <row r="447" spans="2:2">
      <c r="B447" t="s">
        <v>997</v>
      </c>
    </row>
    <row r="448" spans="2:2">
      <c r="B448" t="s">
        <v>998</v>
      </c>
    </row>
    <row r="449" spans="2:2">
      <c r="B449" t="s">
        <v>999</v>
      </c>
    </row>
    <row r="450" spans="2:2">
      <c r="B450" t="s">
        <v>1000</v>
      </c>
    </row>
    <row r="451" spans="2:2">
      <c r="B451" t="s">
        <v>1001</v>
      </c>
    </row>
    <row r="452" spans="2:2">
      <c r="B452" t="s">
        <v>1002</v>
      </c>
    </row>
    <row r="453" spans="2:2">
      <c r="B453" t="s">
        <v>1003</v>
      </c>
    </row>
    <row r="454" spans="2:2">
      <c r="B454" t="s">
        <v>1004</v>
      </c>
    </row>
    <row r="455" spans="2:2">
      <c r="B455" t="s">
        <v>1005</v>
      </c>
    </row>
    <row r="456" spans="2:2">
      <c r="B456" t="s">
        <v>1006</v>
      </c>
    </row>
    <row r="457" spans="2:2">
      <c r="B457" t="s">
        <v>1007</v>
      </c>
    </row>
    <row r="458" spans="2:2">
      <c r="B458" t="s">
        <v>1008</v>
      </c>
    </row>
    <row r="459" spans="2:2">
      <c r="B459" t="s">
        <v>1009</v>
      </c>
    </row>
    <row r="460" spans="2:2">
      <c r="B460" t="s">
        <v>1010</v>
      </c>
    </row>
    <row r="461" spans="2:2">
      <c r="B461" t="s">
        <v>1011</v>
      </c>
    </row>
    <row r="462" spans="2:2">
      <c r="B462" t="s">
        <v>1012</v>
      </c>
    </row>
    <row r="463" spans="2:2">
      <c r="B463" t="s">
        <v>1013</v>
      </c>
    </row>
    <row r="464" spans="2:2">
      <c r="B464" t="s">
        <v>1014</v>
      </c>
    </row>
    <row r="465" spans="2:2">
      <c r="B465" t="s">
        <v>1015</v>
      </c>
    </row>
    <row r="466" spans="2:2">
      <c r="B466" t="s">
        <v>1016</v>
      </c>
    </row>
    <row r="467" spans="2:2">
      <c r="B467" t="s">
        <v>1017</v>
      </c>
    </row>
    <row r="468" spans="2:2">
      <c r="B468" t="s">
        <v>1018</v>
      </c>
    </row>
    <row r="469" spans="2:2">
      <c r="B469" t="s">
        <v>1019</v>
      </c>
    </row>
    <row r="470" spans="2:2">
      <c r="B470" t="s">
        <v>1020</v>
      </c>
    </row>
    <row r="471" spans="2:2">
      <c r="B471" t="s">
        <v>1021</v>
      </c>
    </row>
    <row r="472" spans="2:2">
      <c r="B472" t="s">
        <v>1022</v>
      </c>
    </row>
    <row r="473" spans="2:2">
      <c r="B473" t="s">
        <v>1023</v>
      </c>
    </row>
    <row r="474" spans="2:2">
      <c r="B474" t="s">
        <v>1024</v>
      </c>
    </row>
    <row r="475" spans="2:2">
      <c r="B475" t="s">
        <v>1025</v>
      </c>
    </row>
    <row r="476" spans="2:2">
      <c r="B476" t="s">
        <v>1026</v>
      </c>
    </row>
    <row r="477" spans="2:2">
      <c r="B477" t="s">
        <v>1027</v>
      </c>
    </row>
    <row r="478" spans="2:2">
      <c r="B478" t="s">
        <v>1028</v>
      </c>
    </row>
    <row r="479" spans="2:2">
      <c r="B479" t="s">
        <v>1029</v>
      </c>
    </row>
    <row r="480" spans="2:2">
      <c r="B480" t="s">
        <v>1030</v>
      </c>
    </row>
    <row r="481" spans="2:2">
      <c r="B481" t="s">
        <v>1031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D8A1-ADE8-42A3-AB27-A368805A04BB}">
  <sheetPr codeName="Sheet29"/>
  <dimension ref="A1:G89"/>
  <sheetViews>
    <sheetView workbookViewId="0">
      <selection activeCell="F90" sqref="F90"/>
    </sheetView>
  </sheetViews>
  <sheetFormatPr defaultRowHeight="15"/>
  <cols>
    <col min="1" max="1" width="12.42578125" customWidth="1"/>
    <col min="2" max="2" width="14.85546875" customWidth="1"/>
    <col min="3" max="3" width="16.140625" bestFit="1" customWidth="1"/>
    <col min="4" max="4" width="16.140625" customWidth="1"/>
    <col min="5" max="5" width="54.28515625" customWidth="1"/>
    <col min="6" max="6" width="83" customWidth="1"/>
    <col min="7" max="7" width="59.140625" customWidth="1"/>
  </cols>
  <sheetData>
    <row r="1" spans="1:7" ht="37.5">
      <c r="A1" s="6" t="s">
        <v>0</v>
      </c>
      <c r="B1" s="6" t="s">
        <v>2</v>
      </c>
      <c r="C1" s="234" t="s">
        <v>3</v>
      </c>
      <c r="D1" s="234" t="s">
        <v>5</v>
      </c>
      <c r="E1" s="1" t="s">
        <v>6</v>
      </c>
      <c r="F1" s="234" t="s">
        <v>7</v>
      </c>
      <c r="G1" s="234" t="s">
        <v>8</v>
      </c>
    </row>
    <row r="2" spans="1:7" s="190" customFormat="1" ht="18.75">
      <c r="A2" s="235"/>
      <c r="B2" s="236"/>
      <c r="C2" s="236"/>
      <c r="D2" s="236"/>
      <c r="E2" s="235" t="s">
        <v>2012</v>
      </c>
      <c r="F2" s="236"/>
    </row>
    <row r="3" spans="1:7" s="77" customFormat="1" ht="45.75">
      <c r="A3" s="130" t="s">
        <v>10</v>
      </c>
      <c r="B3" s="239" t="s">
        <v>11</v>
      </c>
      <c r="C3" s="130" t="s">
        <v>1369</v>
      </c>
      <c r="D3" s="237"/>
      <c r="E3" s="238" t="s">
        <v>2013</v>
      </c>
      <c r="F3" s="240" t="s">
        <v>26</v>
      </c>
      <c r="G3" s="240" t="s">
        <v>2014</v>
      </c>
    </row>
    <row r="4" spans="1:7" s="77" customFormat="1" ht="45.75">
      <c r="A4" s="130" t="s">
        <v>10</v>
      </c>
      <c r="B4" s="239" t="s">
        <v>11</v>
      </c>
      <c r="C4" s="130" t="s">
        <v>1132</v>
      </c>
      <c r="D4" s="237"/>
      <c r="E4" s="238" t="s">
        <v>2015</v>
      </c>
      <c r="F4" s="240" t="s">
        <v>241</v>
      </c>
      <c r="G4" s="240" t="s">
        <v>2016</v>
      </c>
    </row>
    <row r="5" spans="1:7" s="190" customFormat="1" ht="18.75">
      <c r="A5" s="235"/>
      <c r="B5" s="236"/>
      <c r="C5" s="236"/>
      <c r="D5" s="236"/>
      <c r="E5" s="235" t="s">
        <v>1929</v>
      </c>
      <c r="F5" s="236"/>
    </row>
    <row r="6" spans="1:7" s="77" customFormat="1" ht="45.75">
      <c r="A6" s="130" t="s">
        <v>10</v>
      </c>
      <c r="B6" s="239" t="s">
        <v>11</v>
      </c>
      <c r="C6" s="130" t="s">
        <v>1369</v>
      </c>
      <c r="D6" s="237"/>
      <c r="E6" s="238" t="s">
        <v>2017</v>
      </c>
      <c r="F6" s="240" t="s">
        <v>10</v>
      </c>
      <c r="G6" s="240" t="s">
        <v>2018</v>
      </c>
    </row>
    <row r="7" spans="1:7" s="77" customFormat="1" ht="45.75">
      <c r="A7" s="130" t="s">
        <v>10</v>
      </c>
      <c r="B7" s="239" t="s">
        <v>11</v>
      </c>
      <c r="C7" s="130" t="s">
        <v>1369</v>
      </c>
      <c r="D7" s="237"/>
      <c r="E7" s="238" t="s">
        <v>2019</v>
      </c>
      <c r="F7" s="240" t="s">
        <v>10</v>
      </c>
      <c r="G7" s="240" t="s">
        <v>2020</v>
      </c>
    </row>
    <row r="8" spans="1:7" s="77" customFormat="1" ht="45.75">
      <c r="A8" s="130" t="s">
        <v>10</v>
      </c>
      <c r="B8" s="239" t="s">
        <v>11</v>
      </c>
      <c r="C8" s="130" t="s">
        <v>1132</v>
      </c>
      <c r="D8" s="237"/>
      <c r="E8" s="238" t="s">
        <v>2021</v>
      </c>
      <c r="F8" s="240" t="s">
        <v>241</v>
      </c>
      <c r="G8" s="240" t="s">
        <v>2022</v>
      </c>
    </row>
    <row r="9" spans="1:7" s="190" customFormat="1" ht="18.75">
      <c r="A9" s="235"/>
      <c r="B9" s="236"/>
      <c r="C9" s="236"/>
      <c r="D9" s="236"/>
      <c r="E9" s="235" t="s">
        <v>2023</v>
      </c>
      <c r="F9" s="236"/>
    </row>
    <row r="10" spans="1:7" s="77" customFormat="1" ht="105.75">
      <c r="A10" s="130" t="s">
        <v>10</v>
      </c>
      <c r="B10" s="239" t="s">
        <v>11</v>
      </c>
      <c r="C10" s="130" t="s">
        <v>1132</v>
      </c>
      <c r="D10" s="237"/>
      <c r="E10" s="238" t="s">
        <v>2024</v>
      </c>
      <c r="F10" s="240" t="s">
        <v>2025</v>
      </c>
      <c r="G10" s="240" t="s">
        <v>2026</v>
      </c>
    </row>
    <row r="11" spans="1:7" s="77" customFormat="1" ht="45.75">
      <c r="A11" s="130" t="s">
        <v>10</v>
      </c>
      <c r="B11" s="239" t="s">
        <v>11</v>
      </c>
      <c r="C11" s="130" t="s">
        <v>1132</v>
      </c>
      <c r="D11" s="237"/>
      <c r="E11" s="238" t="s">
        <v>2027</v>
      </c>
      <c r="F11" s="267" t="s">
        <v>241</v>
      </c>
      <c r="G11" s="267" t="s">
        <v>2028</v>
      </c>
    </row>
    <row r="12" spans="1:7" s="190" customFormat="1" ht="18.75">
      <c r="A12" s="235"/>
      <c r="B12" s="236"/>
      <c r="C12" s="236"/>
      <c r="D12" s="236"/>
      <c r="E12" s="235" t="s">
        <v>2029</v>
      </c>
      <c r="F12" s="236"/>
    </row>
    <row r="13" spans="1:7" s="17" customFormat="1" ht="30">
      <c r="A13" s="17" t="s">
        <v>11</v>
      </c>
      <c r="B13" s="18" t="s">
        <v>11</v>
      </c>
      <c r="C13" s="17" t="s">
        <v>91</v>
      </c>
      <c r="D13" s="17" t="s">
        <v>2030</v>
      </c>
      <c r="E13" s="18" t="s">
        <v>2031</v>
      </c>
      <c r="F13" s="16">
        <f>IF(AND(F7="Yes"),0,F14+F15+F16+F17)</f>
        <v>0</v>
      </c>
    </row>
    <row r="14" spans="1:7" s="17" customFormat="1" ht="30">
      <c r="A14" s="17" t="s">
        <v>11</v>
      </c>
      <c r="B14" s="18" t="s">
        <v>11</v>
      </c>
      <c r="C14" s="17" t="s">
        <v>1369</v>
      </c>
      <c r="D14" s="17" t="s">
        <v>2032</v>
      </c>
      <c r="E14" s="18" t="s">
        <v>2033</v>
      </c>
      <c r="F14" s="16">
        <f>IF(AND(F8="Default Values"),F49,IF(AND(F8="Monitored Values"),F47))</f>
        <v>0</v>
      </c>
      <c r="G14" s="102" t="s">
        <v>2034</v>
      </c>
    </row>
    <row r="15" spans="1:7" s="17" customFormat="1" ht="30">
      <c r="A15" s="17" t="s">
        <v>11</v>
      </c>
      <c r="B15" s="18" t="s">
        <v>11</v>
      </c>
      <c r="C15" s="17" t="s">
        <v>91</v>
      </c>
      <c r="D15" s="17" t="s">
        <v>1936</v>
      </c>
      <c r="E15" s="18" t="s">
        <v>2035</v>
      </c>
      <c r="F15" s="16">
        <f>F55</f>
        <v>73.333333333333329</v>
      </c>
      <c r="G15" s="16"/>
    </row>
    <row r="16" spans="1:7" s="17" customFormat="1" ht="30">
      <c r="A16" s="17" t="s">
        <v>11</v>
      </c>
      <c r="B16" s="18" t="s">
        <v>11</v>
      </c>
      <c r="C16" s="17" t="s">
        <v>91</v>
      </c>
      <c r="D16" s="17" t="s">
        <v>1944</v>
      </c>
      <c r="E16" s="18" t="s">
        <v>2036</v>
      </c>
      <c r="F16" s="16">
        <f>F57</f>
        <v>0</v>
      </c>
    </row>
    <row r="17" spans="1:7" s="17" customFormat="1">
      <c r="A17" s="17" t="s">
        <v>11</v>
      </c>
      <c r="B17" s="18" t="s">
        <v>11</v>
      </c>
      <c r="C17" s="17" t="s">
        <v>91</v>
      </c>
      <c r="D17" s="17" t="s">
        <v>2037</v>
      </c>
      <c r="E17" s="18" t="s">
        <v>2038</v>
      </c>
      <c r="F17" s="16">
        <f>F63</f>
        <v>20523.291091650441</v>
      </c>
      <c r="G17" s="16"/>
    </row>
    <row r="18" spans="1:7" s="190" customFormat="1" ht="18.75">
      <c r="A18" s="235"/>
      <c r="B18" s="236"/>
      <c r="C18" s="236"/>
      <c r="D18" s="236"/>
      <c r="E18" s="235" t="s">
        <v>2039</v>
      </c>
      <c r="F18" s="236"/>
    </row>
    <row r="19" spans="1:7" s="17" customFormat="1" ht="30">
      <c r="A19" s="17" t="s">
        <v>11</v>
      </c>
      <c r="B19" s="17" t="s">
        <v>11</v>
      </c>
      <c r="C19" s="17" t="s">
        <v>91</v>
      </c>
      <c r="D19" s="17" t="s">
        <v>2040</v>
      </c>
      <c r="E19" s="18" t="s">
        <v>2041</v>
      </c>
      <c r="F19" s="16">
        <f>(F20*F23)/((F22-F20)*F24)</f>
        <v>1.123142144638404</v>
      </c>
    </row>
    <row r="20" spans="1:7" ht="30">
      <c r="A20" t="s">
        <v>10</v>
      </c>
      <c r="B20" s="7" t="s">
        <v>10</v>
      </c>
      <c r="C20" t="s">
        <v>119</v>
      </c>
      <c r="D20" t="s">
        <v>2042</v>
      </c>
      <c r="E20" s="7" t="s">
        <v>2043</v>
      </c>
      <c r="F20" s="4">
        <v>1</v>
      </c>
    </row>
    <row r="21" spans="1:7">
      <c r="A21" t="s">
        <v>10</v>
      </c>
      <c r="B21" s="7" t="s">
        <v>10</v>
      </c>
      <c r="C21" t="s">
        <v>119</v>
      </c>
      <c r="D21" t="s">
        <v>2044</v>
      </c>
      <c r="E21" s="7" t="s">
        <v>2045</v>
      </c>
      <c r="F21" s="4">
        <v>1</v>
      </c>
    </row>
    <row r="22" spans="1:7" ht="30">
      <c r="A22" t="s">
        <v>10</v>
      </c>
      <c r="B22" s="7" t="s">
        <v>10</v>
      </c>
      <c r="C22" t="s">
        <v>119</v>
      </c>
      <c r="D22" t="s">
        <v>2046</v>
      </c>
      <c r="E22" s="7" t="s">
        <v>2047</v>
      </c>
      <c r="F22" s="4">
        <v>2</v>
      </c>
    </row>
    <row r="23" spans="1:7" s="17" customFormat="1">
      <c r="A23" s="17" t="s">
        <v>11</v>
      </c>
      <c r="B23" s="17" t="s">
        <v>11</v>
      </c>
      <c r="C23" s="17" t="s">
        <v>91</v>
      </c>
      <c r="D23" s="17" t="s">
        <v>2048</v>
      </c>
      <c r="E23" s="18" t="s">
        <v>2049</v>
      </c>
      <c r="F23" s="16">
        <f>18.0152</f>
        <v>18.0152</v>
      </c>
    </row>
    <row r="24" spans="1:7" s="17" customFormat="1" ht="30">
      <c r="A24" s="17" t="s">
        <v>11</v>
      </c>
      <c r="B24" s="17" t="s">
        <v>11</v>
      </c>
      <c r="C24" s="17" t="s">
        <v>91</v>
      </c>
      <c r="D24" s="17" t="s">
        <v>2050</v>
      </c>
      <c r="E24" s="18" t="s">
        <v>2051</v>
      </c>
      <c r="F24" s="16">
        <f>SUM(F25*F26)</f>
        <v>16.04</v>
      </c>
    </row>
    <row r="25" spans="1:7" ht="30">
      <c r="A25" t="s">
        <v>10</v>
      </c>
      <c r="B25" s="7" t="s">
        <v>10</v>
      </c>
      <c r="C25" t="s">
        <v>119</v>
      </c>
      <c r="D25" t="s">
        <v>2052</v>
      </c>
      <c r="E25" s="7" t="s">
        <v>2053</v>
      </c>
      <c r="F25" s="4">
        <v>1</v>
      </c>
    </row>
    <row r="26" spans="1:7" s="17" customFormat="1">
      <c r="A26" s="17" t="s">
        <v>11</v>
      </c>
      <c r="B26" s="17" t="s">
        <v>11</v>
      </c>
      <c r="C26" s="17" t="s">
        <v>91</v>
      </c>
      <c r="D26" s="17" t="s">
        <v>2054</v>
      </c>
      <c r="E26" s="17" t="s">
        <v>2055</v>
      </c>
      <c r="F26" s="16">
        <f>16.04</f>
        <v>16.04</v>
      </c>
    </row>
    <row r="27" spans="1:7" s="17" customFormat="1">
      <c r="A27" s="17" t="s">
        <v>11</v>
      </c>
      <c r="B27" s="17" t="s">
        <v>11</v>
      </c>
      <c r="C27" s="17" t="s">
        <v>91</v>
      </c>
      <c r="D27" s="17" t="s">
        <v>2056</v>
      </c>
      <c r="E27" s="18" t="s">
        <v>2057</v>
      </c>
      <c r="F27" s="17" t="s">
        <v>2058</v>
      </c>
    </row>
    <row r="28" spans="1:7" s="17" customFormat="1" ht="30">
      <c r="A28" s="17" t="s">
        <v>11</v>
      </c>
      <c r="B28" s="17" t="s">
        <v>11</v>
      </c>
      <c r="C28" s="17" t="s">
        <v>91</v>
      </c>
      <c r="D28" s="17" t="s">
        <v>1551</v>
      </c>
      <c r="E28" s="18" t="s">
        <v>2059</v>
      </c>
      <c r="F28" s="16">
        <f>F29*F30*F31</f>
        <v>16.040000000000003</v>
      </c>
    </row>
    <row r="29" spans="1:7" s="17" customFormat="1" ht="30">
      <c r="A29" s="17" t="s">
        <v>11</v>
      </c>
      <c r="B29" s="17" t="s">
        <v>11</v>
      </c>
      <c r="C29" s="17" t="s">
        <v>91</v>
      </c>
      <c r="D29" s="17" t="s">
        <v>2060</v>
      </c>
      <c r="E29" s="18" t="s">
        <v>2061</v>
      </c>
      <c r="F29" s="16">
        <f>F36/F37</f>
        <v>22.412722427831234</v>
      </c>
    </row>
    <row r="30" spans="1:7" ht="45">
      <c r="A30" t="s">
        <v>10</v>
      </c>
      <c r="B30" t="s">
        <v>10</v>
      </c>
      <c r="C30" t="s">
        <v>119</v>
      </c>
      <c r="D30" t="s">
        <v>2062</v>
      </c>
      <c r="E30" s="7" t="s">
        <v>2063</v>
      </c>
      <c r="F30" s="4">
        <v>1</v>
      </c>
    </row>
    <row r="31" spans="1:7" s="17" customFormat="1" ht="45">
      <c r="A31" s="17" t="s">
        <v>11</v>
      </c>
      <c r="B31" s="17" t="s">
        <v>11</v>
      </c>
      <c r="C31" s="17" t="s">
        <v>91</v>
      </c>
      <c r="D31" s="17" t="s">
        <v>2064</v>
      </c>
      <c r="E31" s="18" t="s">
        <v>2065</v>
      </c>
      <c r="F31" s="16">
        <f>(F32*F34)/(F35*F33)</f>
        <v>0.71566495554695142</v>
      </c>
    </row>
    <row r="32" spans="1:7" s="17" customFormat="1">
      <c r="A32" s="17" t="s">
        <v>11</v>
      </c>
      <c r="B32" s="17" t="s">
        <v>11</v>
      </c>
      <c r="C32" s="17" t="s">
        <v>91</v>
      </c>
      <c r="E32" s="18" t="s">
        <v>2066</v>
      </c>
      <c r="F32" s="16">
        <f>101325</f>
        <v>101325</v>
      </c>
    </row>
    <row r="33" spans="1:7" s="17" customFormat="1">
      <c r="A33" s="17" t="s">
        <v>11</v>
      </c>
      <c r="B33" s="17" t="s">
        <v>11</v>
      </c>
      <c r="C33" s="17" t="s">
        <v>91</v>
      </c>
      <c r="D33" s="17" t="s">
        <v>2067</v>
      </c>
      <c r="E33" s="18" t="s">
        <v>2068</v>
      </c>
      <c r="F33" s="16">
        <f>273.15</f>
        <v>273.14999999999998</v>
      </c>
    </row>
    <row r="34" spans="1:7" s="17" customFormat="1">
      <c r="A34" s="17" t="s">
        <v>11</v>
      </c>
      <c r="B34" s="17" t="s">
        <v>11</v>
      </c>
      <c r="C34" s="17" t="s">
        <v>91</v>
      </c>
      <c r="D34" s="17" t="s">
        <v>2069</v>
      </c>
      <c r="E34" s="18" t="s">
        <v>2070</v>
      </c>
      <c r="F34" s="16">
        <f>16.04</f>
        <v>16.04</v>
      </c>
    </row>
    <row r="35" spans="1:7" s="17" customFormat="1">
      <c r="A35" s="17" t="s">
        <v>11</v>
      </c>
      <c r="B35" s="17" t="s">
        <v>11</v>
      </c>
      <c r="C35" s="17" t="s">
        <v>91</v>
      </c>
      <c r="D35" s="17" t="s">
        <v>2071</v>
      </c>
      <c r="E35" s="18" t="s">
        <v>2072</v>
      </c>
      <c r="F35" s="16">
        <f>8314</f>
        <v>8314</v>
      </c>
    </row>
    <row r="36" spans="1:7" ht="30">
      <c r="A36" t="s">
        <v>10</v>
      </c>
      <c r="B36" t="s">
        <v>10</v>
      </c>
      <c r="C36" t="s">
        <v>119</v>
      </c>
      <c r="D36" t="s">
        <v>2073</v>
      </c>
      <c r="E36" s="7" t="s">
        <v>2074</v>
      </c>
      <c r="F36" s="4">
        <v>1</v>
      </c>
    </row>
    <row r="37" spans="1:7" s="17" customFormat="1" ht="30">
      <c r="A37" s="17" t="s">
        <v>11</v>
      </c>
      <c r="B37" s="17" t="s">
        <v>11</v>
      </c>
      <c r="C37" s="17" t="s">
        <v>91</v>
      </c>
      <c r="D37" s="17" t="s">
        <v>2075</v>
      </c>
      <c r="E37" s="18" t="s">
        <v>2076</v>
      </c>
      <c r="F37" s="16">
        <f>(F32*F38)/(F35*F33)</f>
        <v>4.4617515931854826E-2</v>
      </c>
    </row>
    <row r="38" spans="1:7" ht="45">
      <c r="A38" t="s">
        <v>10</v>
      </c>
      <c r="B38" t="s">
        <v>10</v>
      </c>
      <c r="C38" t="s">
        <v>119</v>
      </c>
      <c r="D38" t="s">
        <v>2077</v>
      </c>
      <c r="E38" s="7" t="s">
        <v>2078</v>
      </c>
      <c r="F38" s="4">
        <v>1</v>
      </c>
    </row>
    <row r="39" spans="1:7" ht="30">
      <c r="A39" t="s">
        <v>10</v>
      </c>
      <c r="B39" t="s">
        <v>10</v>
      </c>
      <c r="C39" t="s">
        <v>119</v>
      </c>
      <c r="D39" t="s">
        <v>2079</v>
      </c>
      <c r="E39" s="7" t="s">
        <v>2080</v>
      </c>
      <c r="F39" s="4">
        <v>1</v>
      </c>
    </row>
    <row r="40" spans="1:7">
      <c r="A40" t="s">
        <v>10</v>
      </c>
      <c r="B40" t="s">
        <v>10</v>
      </c>
      <c r="C40" t="s">
        <v>12</v>
      </c>
      <c r="D40" t="s">
        <v>2081</v>
      </c>
      <c r="E40" s="7" t="s">
        <v>2082</v>
      </c>
      <c r="F40" t="s">
        <v>2083</v>
      </c>
    </row>
    <row r="41" spans="1:7" s="190" customFormat="1" ht="18.75">
      <c r="A41" s="235"/>
      <c r="B41" s="236"/>
      <c r="C41" s="236"/>
      <c r="D41" s="236"/>
      <c r="E41" s="235" t="s">
        <v>2084</v>
      </c>
      <c r="F41" s="236"/>
    </row>
    <row r="42" spans="1:7" s="17" customFormat="1" ht="30">
      <c r="A42" s="17" t="s">
        <v>11</v>
      </c>
      <c r="B42" s="17" t="s">
        <v>11</v>
      </c>
      <c r="C42" s="17" t="s">
        <v>91</v>
      </c>
      <c r="D42" s="17" t="s">
        <v>2085</v>
      </c>
      <c r="E42" s="18" t="s">
        <v>2086</v>
      </c>
      <c r="F42" s="16">
        <f>F43*F44*F45</f>
        <v>0</v>
      </c>
    </row>
    <row r="43" spans="1:7" ht="30">
      <c r="A43" t="s">
        <v>10</v>
      </c>
      <c r="B43" t="s">
        <v>10</v>
      </c>
      <c r="C43" t="s">
        <v>119</v>
      </c>
      <c r="D43" t="s">
        <v>2087</v>
      </c>
      <c r="E43" s="7" t="s">
        <v>2088</v>
      </c>
      <c r="F43">
        <v>0</v>
      </c>
    </row>
    <row r="44" spans="1:7" s="17" customFormat="1" ht="30">
      <c r="A44" s="17" t="s">
        <v>11</v>
      </c>
      <c r="B44" s="17" t="s">
        <v>11</v>
      </c>
      <c r="C44" s="17" t="s">
        <v>91</v>
      </c>
      <c r="D44" s="17" t="s">
        <v>2089</v>
      </c>
      <c r="E44" s="18" t="s">
        <v>2090</v>
      </c>
      <c r="F44" s="16">
        <v>0.6</v>
      </c>
    </row>
    <row r="45" spans="1:7" s="17" customFormat="1" ht="30">
      <c r="A45" s="17" t="s">
        <v>11</v>
      </c>
      <c r="B45" s="17" t="s">
        <v>11</v>
      </c>
      <c r="C45" s="17" t="s">
        <v>91</v>
      </c>
      <c r="D45" s="17" t="s">
        <v>2091</v>
      </c>
      <c r="E45" s="18" t="s">
        <v>2092</v>
      </c>
      <c r="F45" s="16">
        <v>6.7000000000000002E-4</v>
      </c>
    </row>
    <row r="46" spans="1:7" s="190" customFormat="1" ht="18.75">
      <c r="A46" s="235"/>
      <c r="B46" s="236"/>
      <c r="C46" s="236"/>
      <c r="D46" s="236"/>
      <c r="E46" s="235" t="s">
        <v>2093</v>
      </c>
      <c r="F46" s="236"/>
    </row>
    <row r="47" spans="1:7" s="17" customFormat="1" ht="30">
      <c r="A47" s="17" t="s">
        <v>11</v>
      </c>
      <c r="B47" s="17" t="s">
        <v>11</v>
      </c>
      <c r="C47" s="17" t="s">
        <v>91</v>
      </c>
      <c r="D47" s="17" t="s">
        <v>2032</v>
      </c>
      <c r="E47" s="18" t="s">
        <v>1293</v>
      </c>
      <c r="F47" s="16">
        <f>'Tool 05.1'!G6</f>
        <v>0.73499999999999999</v>
      </c>
      <c r="G47" s="16" t="s">
        <v>2094</v>
      </c>
    </row>
    <row r="48" spans="1:7" s="190" customFormat="1" ht="18.75">
      <c r="A48" s="235"/>
      <c r="B48" s="236"/>
      <c r="C48" s="236"/>
      <c r="D48" s="236"/>
      <c r="E48" s="235" t="s">
        <v>2095</v>
      </c>
      <c r="F48" s="236"/>
    </row>
    <row r="49" spans="1:7" s="17" customFormat="1" ht="30">
      <c r="A49" s="17" t="s">
        <v>11</v>
      </c>
      <c r="B49" s="17" t="s">
        <v>11</v>
      </c>
      <c r="C49" s="17" t="s">
        <v>91</v>
      </c>
      <c r="D49" s="17" t="s">
        <v>2032</v>
      </c>
      <c r="E49" s="18" t="s">
        <v>2096</v>
      </c>
      <c r="F49" s="16">
        <f>F50*F52*F53</f>
        <v>0</v>
      </c>
    </row>
    <row r="50" spans="1:7" ht="30">
      <c r="A50" s="3" t="s">
        <v>10</v>
      </c>
      <c r="B50" s="3" t="s">
        <v>10</v>
      </c>
      <c r="C50" t="s">
        <v>119</v>
      </c>
      <c r="D50" t="s">
        <v>2085</v>
      </c>
      <c r="E50" s="7" t="s">
        <v>2097</v>
      </c>
      <c r="F50">
        <v>0</v>
      </c>
    </row>
    <row r="51" spans="1:7" s="61" customFormat="1" ht="165">
      <c r="A51" s="268"/>
      <c r="B51" s="268"/>
      <c r="C51" s="61" t="s">
        <v>1369</v>
      </c>
      <c r="D51" s="61" t="s">
        <v>6</v>
      </c>
      <c r="E51" s="59" t="s">
        <v>2098</v>
      </c>
      <c r="F51" s="61" t="s">
        <v>196</v>
      </c>
    </row>
    <row r="52" spans="1:7" s="17" customFormat="1" ht="45">
      <c r="A52" s="17" t="s">
        <v>11</v>
      </c>
      <c r="B52" s="17" t="s">
        <v>11</v>
      </c>
      <c r="C52" s="17" t="s">
        <v>91</v>
      </c>
      <c r="D52" s="17" t="s">
        <v>2099</v>
      </c>
      <c r="E52" s="15" t="s">
        <v>2100</v>
      </c>
      <c r="F52" s="102">
        <f>IF(AND(F51="Option A"),0,IF(AND(F51="Option B"),0.01,IF(AND(F51="Option C"),1.02,IF(AND(F51="Option D"),1.54,IF(AND(F51="Option E"),0)))))</f>
        <v>0.01</v>
      </c>
      <c r="G52" s="18" t="s">
        <v>2101</v>
      </c>
    </row>
    <row r="53" spans="1:7" s="17" customFormat="1" ht="30">
      <c r="A53" s="17" t="s">
        <v>11</v>
      </c>
      <c r="B53" s="17" t="s">
        <v>11</v>
      </c>
      <c r="C53" s="17" t="s">
        <v>91</v>
      </c>
      <c r="D53" s="17" t="s">
        <v>2102</v>
      </c>
      <c r="E53" s="18" t="s">
        <v>2103</v>
      </c>
      <c r="F53" s="16">
        <v>1.3</v>
      </c>
    </row>
    <row r="54" spans="1:7" s="190" customFormat="1" ht="18.75">
      <c r="A54" s="235"/>
      <c r="B54" s="236"/>
      <c r="C54" s="236"/>
      <c r="D54" s="236"/>
      <c r="E54" s="235" t="s">
        <v>2104</v>
      </c>
      <c r="F54" s="236"/>
    </row>
    <row r="55" spans="1:7" s="17" customFormat="1" ht="30">
      <c r="A55" s="17" t="s">
        <v>11</v>
      </c>
      <c r="B55" s="17" t="s">
        <v>11</v>
      </c>
      <c r="C55" s="17" t="s">
        <v>91</v>
      </c>
      <c r="D55" s="17" t="s">
        <v>1936</v>
      </c>
      <c r="E55" s="18" t="s">
        <v>1293</v>
      </c>
      <c r="F55" s="16">
        <f>'Tool 03'!G3</f>
        <v>73.333333333333329</v>
      </c>
      <c r="G55" s="16" t="s">
        <v>2105</v>
      </c>
    </row>
    <row r="56" spans="1:7" s="190" customFormat="1" ht="18.75">
      <c r="A56" s="235"/>
      <c r="B56" s="236"/>
      <c r="C56" s="236"/>
      <c r="D56" s="236"/>
      <c r="E56" s="235" t="s">
        <v>2106</v>
      </c>
      <c r="F56" s="236"/>
    </row>
    <row r="57" spans="1:7" s="17" customFormat="1" ht="30">
      <c r="A57" s="17" t="s">
        <v>11</v>
      </c>
      <c r="B57" s="17" t="s">
        <v>11</v>
      </c>
      <c r="C57" s="17" t="s">
        <v>91</v>
      </c>
      <c r="D57" s="17" t="s">
        <v>2107</v>
      </c>
      <c r="E57" s="18" t="s">
        <v>2036</v>
      </c>
      <c r="F57" s="16">
        <f>F58*F60*F61</f>
        <v>0</v>
      </c>
    </row>
    <row r="58" spans="1:7" ht="30">
      <c r="A58" s="3" t="s">
        <v>10</v>
      </c>
      <c r="B58" s="3" t="s">
        <v>10</v>
      </c>
      <c r="C58" t="s">
        <v>119</v>
      </c>
      <c r="D58" t="s">
        <v>2085</v>
      </c>
      <c r="E58" s="7" t="s">
        <v>2097</v>
      </c>
      <c r="F58">
        <v>0</v>
      </c>
    </row>
    <row r="59" spans="1:7" s="61" customFormat="1" ht="180">
      <c r="A59" s="268"/>
      <c r="B59" s="268"/>
      <c r="E59" s="59" t="s">
        <v>2108</v>
      </c>
      <c r="F59" s="61" t="s">
        <v>1105</v>
      </c>
    </row>
    <row r="60" spans="1:7" s="17" customFormat="1" ht="30">
      <c r="A60" s="17" t="s">
        <v>11</v>
      </c>
      <c r="B60" s="17" t="s">
        <v>11</v>
      </c>
      <c r="C60" s="17" t="s">
        <v>91</v>
      </c>
      <c r="D60" s="17" t="s">
        <v>2109</v>
      </c>
      <c r="E60" s="18" t="s">
        <v>2110</v>
      </c>
      <c r="F60" s="102">
        <f>IF(AND(F59="Option A"),0.028,IF(AND(F59="Option B"),0.05,IF(AND(F59="Option C"),0.1,IF(AND(F59="Option D"),0.01))))</f>
        <v>2.8000000000000001E-2</v>
      </c>
      <c r="G60" s="18" t="s">
        <v>2111</v>
      </c>
    </row>
    <row r="61" spans="1:7" s="17" customFormat="1">
      <c r="A61" s="17" t="s">
        <v>11</v>
      </c>
      <c r="B61" s="17" t="s">
        <v>11</v>
      </c>
      <c r="C61" s="17" t="s">
        <v>91</v>
      </c>
      <c r="D61" s="17" t="s">
        <v>2112</v>
      </c>
      <c r="E61" s="18" t="s">
        <v>2113</v>
      </c>
      <c r="F61" s="16">
        <v>21</v>
      </c>
    </row>
    <row r="62" spans="1:7" s="190" customFormat="1" ht="18.75">
      <c r="A62" s="235"/>
      <c r="B62" s="236"/>
      <c r="C62" s="236"/>
      <c r="D62" s="236"/>
      <c r="E62" s="235" t="s">
        <v>2114</v>
      </c>
      <c r="F62" s="236"/>
    </row>
    <row r="63" spans="1:7" s="17" customFormat="1" ht="30">
      <c r="A63" s="17" t="s">
        <v>11</v>
      </c>
      <c r="B63" s="17" t="s">
        <v>11</v>
      </c>
      <c r="C63" s="17" t="s">
        <v>91</v>
      </c>
      <c r="D63" s="17" t="s">
        <v>1584</v>
      </c>
      <c r="E63" s="18" t="s">
        <v>1585</v>
      </c>
      <c r="F63" s="16">
        <f>'Tool 06'!F69</f>
        <v>20523.291091650441</v>
      </c>
      <c r="G63" s="16" t="s">
        <v>2115</v>
      </c>
    </row>
    <row r="64" spans="1:7" s="190" customFormat="1" ht="18.75">
      <c r="A64" s="235"/>
      <c r="B64" s="236"/>
      <c r="C64" s="236"/>
      <c r="D64" s="236"/>
      <c r="E64" s="235" t="s">
        <v>256</v>
      </c>
      <c r="F64" s="236"/>
    </row>
    <row r="65" spans="1:7" s="17" customFormat="1" ht="30">
      <c r="A65" s="17" t="s">
        <v>11</v>
      </c>
      <c r="B65" s="17" t="s">
        <v>11</v>
      </c>
      <c r="C65" s="17" t="s">
        <v>91</v>
      </c>
      <c r="D65" s="17" t="s">
        <v>2116</v>
      </c>
      <c r="E65" s="18" t="s">
        <v>2117</v>
      </c>
      <c r="F65" s="16">
        <f>F66+F67</f>
        <v>95.130333333333326</v>
      </c>
    </row>
    <row r="66" spans="1:7" s="17" customFormat="1" ht="30">
      <c r="A66" s="17" t="s">
        <v>11</v>
      </c>
      <c r="B66" s="17" t="s">
        <v>11</v>
      </c>
      <c r="C66" s="17" t="s">
        <v>91</v>
      </c>
      <c r="D66" s="17" t="s">
        <v>2118</v>
      </c>
      <c r="E66" s="18" t="s">
        <v>2119</v>
      </c>
      <c r="F66" s="269">
        <f>IF(AND(F10="Option 3"),0,IF(AND(F10="Option 1",F11="Monitored Data"),F69,IF(AND(F11="Default Values",F10="Option 1"),F77,IF(AND(F11="Default Values",F10="Option 2"),F83,IF(AND(F10="Option 2",F11="Monitored Data"),F89)))))</f>
        <v>0</v>
      </c>
      <c r="G66" s="270"/>
    </row>
    <row r="67" spans="1:7" s="17" customFormat="1" ht="30">
      <c r="A67" s="17" t="s">
        <v>11</v>
      </c>
      <c r="B67" s="17" t="s">
        <v>11</v>
      </c>
      <c r="C67" s="17" t="s">
        <v>91</v>
      </c>
      <c r="D67" s="17" t="s">
        <v>2120</v>
      </c>
      <c r="E67" s="18" t="s">
        <v>2121</v>
      </c>
      <c r="F67" s="102">
        <f>'Tool 13'!G3</f>
        <v>95.130333333333326</v>
      </c>
      <c r="G67" s="17" t="s">
        <v>2122</v>
      </c>
    </row>
    <row r="68" spans="1:7" s="190" customFormat="1" ht="18.75">
      <c r="A68" s="235"/>
      <c r="B68" s="236"/>
      <c r="C68" s="236"/>
      <c r="D68" s="236"/>
      <c r="E68" s="235" t="s">
        <v>2123</v>
      </c>
      <c r="F68" s="236"/>
    </row>
    <row r="69" spans="1:7" s="17" customFormat="1" ht="30">
      <c r="A69" s="17" t="s">
        <v>11</v>
      </c>
      <c r="B69" s="17" t="s">
        <v>11</v>
      </c>
      <c r="C69" s="17" t="s">
        <v>91</v>
      </c>
      <c r="D69" s="17" t="s">
        <v>2118</v>
      </c>
      <c r="E69" s="18" t="s">
        <v>2119</v>
      </c>
      <c r="F69" s="16">
        <f>F70*F71*F72*F74*F75</f>
        <v>4.2</v>
      </c>
    </row>
    <row r="70" spans="1:7" ht="30">
      <c r="A70" t="s">
        <v>10</v>
      </c>
      <c r="B70" t="s">
        <v>10</v>
      </c>
      <c r="C70" t="s">
        <v>119</v>
      </c>
      <c r="D70" t="s">
        <v>2124</v>
      </c>
      <c r="E70" s="7" t="s">
        <v>2125</v>
      </c>
      <c r="F70" s="4">
        <v>1</v>
      </c>
    </row>
    <row r="71" spans="1:7" ht="30">
      <c r="A71" t="s">
        <v>10</v>
      </c>
      <c r="B71" t="s">
        <v>10</v>
      </c>
      <c r="C71" t="s">
        <v>119</v>
      </c>
      <c r="D71" t="s">
        <v>2126</v>
      </c>
      <c r="E71" s="7" t="s">
        <v>2127</v>
      </c>
      <c r="F71" s="4">
        <v>1</v>
      </c>
    </row>
    <row r="72" spans="1:7" s="17" customFormat="1" ht="30">
      <c r="A72" s="17" t="s">
        <v>1796</v>
      </c>
      <c r="B72" s="17" t="s">
        <v>11</v>
      </c>
      <c r="C72" s="17" t="s">
        <v>91</v>
      </c>
      <c r="D72" s="17" t="s">
        <v>2128</v>
      </c>
      <c r="E72" s="18" t="s">
        <v>2129</v>
      </c>
      <c r="F72" s="16">
        <f>0.25</f>
        <v>0.25</v>
      </c>
    </row>
    <row r="73" spans="1:7" s="77" customFormat="1" ht="30">
      <c r="A73" s="77" t="s">
        <v>10</v>
      </c>
      <c r="B73" s="77" t="s">
        <v>11</v>
      </c>
      <c r="C73" s="77" t="s">
        <v>1132</v>
      </c>
      <c r="D73" s="77" t="s">
        <v>2130</v>
      </c>
      <c r="E73" s="78" t="s">
        <v>2131</v>
      </c>
      <c r="F73" s="78" t="s">
        <v>2132</v>
      </c>
      <c r="G73" s="78"/>
    </row>
    <row r="74" spans="1:7" s="17" customFormat="1">
      <c r="A74" s="17" t="s">
        <v>11</v>
      </c>
      <c r="B74" s="17" t="s">
        <v>11</v>
      </c>
      <c r="C74" s="17" t="s">
        <v>91</v>
      </c>
      <c r="D74" s="17" t="s">
        <v>2130</v>
      </c>
      <c r="E74" s="18" t="s">
        <v>2133</v>
      </c>
      <c r="F74" s="102">
        <f>IF(AND(F73="≥ 2 m"),0.8,IF(AND(F73="&lt; 2 m and ≥ 1 m"),0.2,IF(AND(F73="&lt; 1 m"),0)))</f>
        <v>0.8</v>
      </c>
      <c r="G74" s="18" t="s">
        <v>2134</v>
      </c>
    </row>
    <row r="75" spans="1:7" s="17" customFormat="1">
      <c r="A75" s="17" t="s">
        <v>11</v>
      </c>
      <c r="B75" s="17" t="s">
        <v>11</v>
      </c>
      <c r="C75" s="17" t="s">
        <v>91</v>
      </c>
      <c r="D75" s="17" t="s">
        <v>2112</v>
      </c>
      <c r="E75" s="18" t="s">
        <v>2113</v>
      </c>
      <c r="F75" s="16">
        <f>21</f>
        <v>21</v>
      </c>
    </row>
    <row r="76" spans="1:7" s="190" customFormat="1" ht="18.75">
      <c r="A76" s="235"/>
      <c r="B76" s="236"/>
      <c r="C76" s="236"/>
      <c r="D76" s="236"/>
      <c r="E76" s="235" t="s">
        <v>2135</v>
      </c>
      <c r="F76" s="236"/>
    </row>
    <row r="77" spans="1:7" s="17" customFormat="1" ht="30">
      <c r="A77" s="17" t="s">
        <v>11</v>
      </c>
      <c r="B77" s="17" t="s">
        <v>11</v>
      </c>
      <c r="C77" s="17" t="s">
        <v>91</v>
      </c>
      <c r="D77" s="17" t="s">
        <v>2118</v>
      </c>
      <c r="E77" s="18" t="s">
        <v>2119</v>
      </c>
      <c r="F77" s="16">
        <f>F79*F80*F81</f>
        <v>0</v>
      </c>
    </row>
    <row r="78" spans="1:7" s="77" customFormat="1" ht="120">
      <c r="E78" s="78" t="s">
        <v>2136</v>
      </c>
      <c r="F78" s="271" t="s">
        <v>1964</v>
      </c>
    </row>
    <row r="79" spans="1:7" s="17" customFormat="1" ht="30">
      <c r="A79" s="17" t="s">
        <v>10</v>
      </c>
      <c r="B79" s="17" t="s">
        <v>11</v>
      </c>
      <c r="C79" s="17" t="s">
        <v>1132</v>
      </c>
      <c r="D79" s="17" t="s">
        <v>2137</v>
      </c>
      <c r="E79" s="18" t="s">
        <v>2138</v>
      </c>
      <c r="F79" s="102">
        <f>IF(AND(F78="Option 1"),0.1,IF(AND(F78="Option 2"),0.15,IF(AND(F78="Option 3"),0.2,IF(AND(F78="Option 4"),0.05))))</f>
        <v>0.15</v>
      </c>
      <c r="G79" s="18" t="s">
        <v>2139</v>
      </c>
    </row>
    <row r="80" spans="1:7" ht="30">
      <c r="A80" t="s">
        <v>10</v>
      </c>
      <c r="B80" t="s">
        <v>10</v>
      </c>
      <c r="C80" t="s">
        <v>119</v>
      </c>
      <c r="D80" t="s">
        <v>2085</v>
      </c>
      <c r="E80" s="7" t="s">
        <v>2086</v>
      </c>
      <c r="F80">
        <v>0</v>
      </c>
    </row>
    <row r="81" spans="1:7" s="17" customFormat="1">
      <c r="A81" s="17" t="s">
        <v>11</v>
      </c>
      <c r="B81" s="17" t="s">
        <v>11</v>
      </c>
      <c r="C81" s="17" t="s">
        <v>91</v>
      </c>
      <c r="D81" s="17" t="s">
        <v>2112</v>
      </c>
      <c r="E81" s="18" t="s">
        <v>2113</v>
      </c>
      <c r="F81" s="16">
        <v>21</v>
      </c>
    </row>
    <row r="82" spans="1:7" s="190" customFormat="1" ht="18.75">
      <c r="A82" s="235"/>
      <c r="B82" s="236"/>
      <c r="C82" s="236"/>
      <c r="D82" s="236"/>
      <c r="E82" s="235" t="s">
        <v>2140</v>
      </c>
    </row>
    <row r="83" spans="1:7" s="17" customFormat="1" ht="30">
      <c r="A83" s="17" t="s">
        <v>11</v>
      </c>
      <c r="B83" s="17" t="s">
        <v>11</v>
      </c>
      <c r="C83" s="17" t="s">
        <v>91</v>
      </c>
      <c r="D83" s="17" t="s">
        <v>2118</v>
      </c>
      <c r="E83" s="18" t="s">
        <v>2119</v>
      </c>
      <c r="F83" s="16">
        <f>F85*F86*F87</f>
        <v>0</v>
      </c>
    </row>
    <row r="84" spans="1:7" s="77" customFormat="1" ht="75">
      <c r="E84" s="78" t="s">
        <v>2141</v>
      </c>
      <c r="F84" s="271" t="s">
        <v>1713</v>
      </c>
    </row>
    <row r="85" spans="1:7" s="17" customFormat="1" ht="30">
      <c r="A85" s="17" t="s">
        <v>10</v>
      </c>
      <c r="B85" s="17" t="s">
        <v>11</v>
      </c>
      <c r="C85" s="17" t="s">
        <v>1132</v>
      </c>
      <c r="D85" s="17" t="s">
        <v>2142</v>
      </c>
      <c r="E85" s="18" t="s">
        <v>2143</v>
      </c>
      <c r="F85" s="102">
        <f>IF(AND(F84="Option 1"),0.15,IF(AND(F84="Option 2"),0.35))</f>
        <v>0.15</v>
      </c>
      <c r="G85" s="18" t="s">
        <v>2144</v>
      </c>
    </row>
    <row r="86" spans="1:7" ht="30">
      <c r="A86" t="s">
        <v>10</v>
      </c>
      <c r="B86" t="s">
        <v>10</v>
      </c>
      <c r="C86" t="s">
        <v>119</v>
      </c>
      <c r="D86" t="s">
        <v>2085</v>
      </c>
      <c r="E86" s="7" t="s">
        <v>2097</v>
      </c>
      <c r="F86">
        <v>0</v>
      </c>
    </row>
    <row r="87" spans="1:7" s="17" customFormat="1">
      <c r="A87" s="17" t="s">
        <v>11</v>
      </c>
      <c r="B87" s="17" t="s">
        <v>11</v>
      </c>
      <c r="C87" s="17" t="s">
        <v>91</v>
      </c>
      <c r="D87" s="17" t="s">
        <v>2112</v>
      </c>
      <c r="E87" s="18" t="s">
        <v>2145</v>
      </c>
      <c r="F87" s="16">
        <f>21</f>
        <v>21</v>
      </c>
    </row>
    <row r="88" spans="1:7" s="190" customFormat="1" ht="18.75">
      <c r="A88" s="235"/>
      <c r="B88" s="236"/>
      <c r="C88" s="236"/>
      <c r="D88" s="236"/>
      <c r="E88" s="235" t="s">
        <v>2146</v>
      </c>
    </row>
    <row r="89" spans="1:7" s="17" customFormat="1" ht="30">
      <c r="A89" s="17" t="s">
        <v>11</v>
      </c>
      <c r="B89" s="17" t="s">
        <v>11</v>
      </c>
      <c r="C89" s="17" t="s">
        <v>91</v>
      </c>
      <c r="D89" s="17" t="s">
        <v>2118</v>
      </c>
      <c r="E89" s="18" t="s">
        <v>2119</v>
      </c>
      <c r="F89" s="16">
        <f>'Tool 04 - SWDS-Yearly'!C86</f>
        <v>10.136870643302116</v>
      </c>
      <c r="G89" s="17" t="s">
        <v>2147</v>
      </c>
    </row>
  </sheetData>
  <dataValidations count="9">
    <dataValidation type="list" allowBlank="1" showInputMessage="1" showErrorMessage="1" sqref="F84" xr:uid="{9FB94C5E-9234-4099-AA34-37A992DCC7AB}">
      <formula1>"Option 1,Option 2"</formula1>
    </dataValidation>
    <dataValidation type="list" allowBlank="1" showInputMessage="1" showErrorMessage="1" sqref="F78" xr:uid="{22346738-CA96-4CB5-AA87-F6F1E456D7C1}">
      <formula1>"Option 1,Option 2,Option 3,Option 4"</formula1>
    </dataValidation>
    <dataValidation type="list" allowBlank="1" showInputMessage="1" showErrorMessage="1" sqref="F73" xr:uid="{0F11E86F-DFC0-4BCD-8684-CCBA72112491}">
      <formula1>"≥ 2 m, &lt; 2 m and ≥ 1 m, &lt; 1 m"</formula1>
    </dataValidation>
    <dataValidation type="list" allowBlank="1" showInputMessage="1" showErrorMessage="1" sqref="F59" xr:uid="{3413E84A-31B4-4E2E-8F52-C32993A75F2E}">
      <formula1>"Option A,Option B,Option C,Option D"</formula1>
    </dataValidation>
    <dataValidation type="list" allowBlank="1" showInputMessage="1" showErrorMessage="1" sqref="F51" xr:uid="{40DB5E49-6BBF-4ACD-8473-2F366FE4470F}">
      <formula1>"Option A,Option B,Option C,Option D,Option E"</formula1>
    </dataValidation>
    <dataValidation type="list" allowBlank="1" showInputMessage="1" showErrorMessage="1" sqref="F10" xr:uid="{310857F2-8D2F-4D2A-B81D-E8C9E18C139D}">
      <formula1>"Option 1,Option 2,Option 3"</formula1>
    </dataValidation>
    <dataValidation type="list" allowBlank="1" showInputMessage="1" showErrorMessage="1" sqref="F6:F7" xr:uid="{925067A0-7D75-41BF-9F82-E0FAB56709A5}">
      <formula1>"Yes,No"</formula1>
    </dataValidation>
    <dataValidation type="list" allowBlank="1" showInputMessage="1" showErrorMessage="1" sqref="F4 F8 F11" xr:uid="{F13ADD3B-23B0-441E-A177-A650E0137415}">
      <formula1>"Default Values,Monitored Data"</formula1>
    </dataValidation>
    <dataValidation type="list" allowBlank="1" showInputMessage="1" showErrorMessage="1" sqref="F3" xr:uid="{9FFFF359-87F0-4EFC-85CE-367AFBBF536C}">
      <formula1>"Small-scale,Large-scale"</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ACB37-865C-48C8-86C4-287D7AACB40B}">
  <sheetPr codeName="Sheet30"/>
  <dimension ref="A1:H137"/>
  <sheetViews>
    <sheetView tabSelected="1" topLeftCell="A117" workbookViewId="0">
      <selection activeCell="C130" sqref="C130"/>
    </sheetView>
  </sheetViews>
  <sheetFormatPr defaultRowHeight="15"/>
  <cols>
    <col min="1" max="1" width="28.140625" customWidth="1"/>
    <col min="2" max="2" width="91.5703125" style="7" customWidth="1"/>
    <col min="3" max="3" width="38.28515625" customWidth="1"/>
    <col min="5" max="5" width="11.7109375" customWidth="1"/>
    <col min="6" max="6" width="8.85546875" customWidth="1"/>
    <col min="7" max="7" width="14.7109375" customWidth="1"/>
  </cols>
  <sheetData>
    <row r="1" spans="2:8">
      <c r="C1" t="s">
        <v>7</v>
      </c>
      <c r="D1" t="s">
        <v>1135</v>
      </c>
      <c r="E1" t="s">
        <v>3</v>
      </c>
      <c r="F1" t="s">
        <v>8</v>
      </c>
      <c r="G1" t="s">
        <v>2</v>
      </c>
      <c r="H1" t="s">
        <v>1</v>
      </c>
    </row>
    <row r="2" spans="2:8" s="190" customFormat="1" ht="18.75">
      <c r="B2" s="189" t="s">
        <v>1136</v>
      </c>
    </row>
    <row r="3" spans="2:8">
      <c r="B3" s="7" t="s">
        <v>2148</v>
      </c>
      <c r="C3" t="s">
        <v>2149</v>
      </c>
      <c r="D3" t="s">
        <v>10</v>
      </c>
      <c r="E3" t="s">
        <v>2150</v>
      </c>
      <c r="G3" t="s">
        <v>1796</v>
      </c>
    </row>
    <row r="4" spans="2:8" ht="30">
      <c r="B4" s="7" t="s">
        <v>2151</v>
      </c>
      <c r="C4" t="s">
        <v>10</v>
      </c>
      <c r="D4" t="s">
        <v>10</v>
      </c>
      <c r="E4" t="s">
        <v>2150</v>
      </c>
      <c r="G4" t="s">
        <v>1796</v>
      </c>
    </row>
    <row r="5" spans="2:8">
      <c r="B5" s="7" t="s">
        <v>2152</v>
      </c>
      <c r="C5" t="s">
        <v>10</v>
      </c>
      <c r="D5" t="s">
        <v>10</v>
      </c>
      <c r="E5" t="s">
        <v>2150</v>
      </c>
      <c r="G5" t="s">
        <v>1796</v>
      </c>
    </row>
    <row r="6" spans="2:8">
      <c r="B6" s="7" t="s">
        <v>2153</v>
      </c>
      <c r="C6" t="s">
        <v>2154</v>
      </c>
      <c r="D6" t="str">
        <f>IF(C5="Yes","Yes","NA")</f>
        <v>Yes</v>
      </c>
      <c r="E6" t="s">
        <v>2150</v>
      </c>
      <c r="G6" t="s">
        <v>1796</v>
      </c>
    </row>
    <row r="7" spans="2:8">
      <c r="B7" s="7" t="s">
        <v>2155</v>
      </c>
      <c r="C7" t="s">
        <v>11</v>
      </c>
      <c r="D7" t="str">
        <f>IF(C5="Yes","Yes","NA")</f>
        <v>Yes</v>
      </c>
      <c r="E7" t="s">
        <v>2150</v>
      </c>
      <c r="G7" t="s">
        <v>1796</v>
      </c>
    </row>
    <row r="8" spans="2:8">
      <c r="B8" s="7" t="s">
        <v>2156</v>
      </c>
      <c r="C8" t="s">
        <v>11</v>
      </c>
      <c r="D8" t="str">
        <f>IF(C5="Yes","Yes","NA")</f>
        <v>Yes</v>
      </c>
      <c r="E8" t="s">
        <v>2150</v>
      </c>
      <c r="G8" t="s">
        <v>1796</v>
      </c>
    </row>
    <row r="9" spans="2:8" ht="30">
      <c r="B9" s="7" t="s">
        <v>2157</v>
      </c>
      <c r="C9" t="s">
        <v>11</v>
      </c>
      <c r="D9" t="str">
        <f>IF(C5="Yes","Yes","NA")</f>
        <v>Yes</v>
      </c>
      <c r="E9" t="s">
        <v>2150</v>
      </c>
      <c r="G9" t="s">
        <v>1796</v>
      </c>
    </row>
    <row r="10" spans="2:8">
      <c r="B10" s="7" t="s">
        <v>2158</v>
      </c>
      <c r="C10" t="s">
        <v>11</v>
      </c>
      <c r="D10" t="str">
        <f>IF(C5="Yes","Yes","NA")</f>
        <v>Yes</v>
      </c>
      <c r="E10" t="s">
        <v>2150</v>
      </c>
      <c r="G10" t="s">
        <v>1796</v>
      </c>
    </row>
    <row r="11" spans="2:8">
      <c r="B11" s="7" t="s">
        <v>2159</v>
      </c>
      <c r="C11" t="s">
        <v>10</v>
      </c>
      <c r="D11" t="str">
        <f>IF(C5="Yes","Yes","NA")</f>
        <v>Yes</v>
      </c>
      <c r="E11" t="s">
        <v>2150</v>
      </c>
      <c r="G11" t="s">
        <v>1796</v>
      </c>
    </row>
    <row r="12" spans="2:8" ht="30">
      <c r="B12" s="7" t="s">
        <v>2160</v>
      </c>
      <c r="C12" t="s">
        <v>10</v>
      </c>
      <c r="D12" t="str">
        <f>IF(AND(C5="Yes",C11="Yes"),"Yes","NA")</f>
        <v>Yes</v>
      </c>
      <c r="E12" t="s">
        <v>2150</v>
      </c>
      <c r="G12" t="s">
        <v>1796</v>
      </c>
    </row>
    <row r="13" spans="2:8" ht="30">
      <c r="B13" s="7" t="s">
        <v>2161</v>
      </c>
      <c r="D13" t="str">
        <f>IF(AND(C5="Yes",C11="Yes"),"Yes","NA")</f>
        <v>Yes</v>
      </c>
      <c r="E13" t="s">
        <v>2162</v>
      </c>
      <c r="G13" t="s">
        <v>1796</v>
      </c>
    </row>
    <row r="14" spans="2:8" ht="60">
      <c r="B14" s="7" t="s">
        <v>2163</v>
      </c>
      <c r="C14" s="17" t="s">
        <v>2164</v>
      </c>
      <c r="D14" t="str">
        <f>IF(AND(C5="Yes",C11="Yes"),"Yes","NA")</f>
        <v>Yes</v>
      </c>
      <c r="E14" t="s">
        <v>1890</v>
      </c>
      <c r="G14" t="s">
        <v>1796</v>
      </c>
    </row>
    <row r="15" spans="2:8" ht="45">
      <c r="B15" s="7" t="s">
        <v>2165</v>
      </c>
      <c r="C15" t="s">
        <v>10</v>
      </c>
      <c r="D15" t="str">
        <f>IF(AND(C5="Yes",C11="Yes"),"Yes","NA")</f>
        <v>Yes</v>
      </c>
      <c r="E15" t="s">
        <v>2150</v>
      </c>
      <c r="G15" t="s">
        <v>1796</v>
      </c>
    </row>
    <row r="16" spans="2:8" ht="30.75" thickBot="1">
      <c r="B16" s="7" t="s">
        <v>2166</v>
      </c>
      <c r="D16" t="str">
        <f>IF(AND(C5="Yes",C11="Yes"),"Yes","NA")</f>
        <v>Yes</v>
      </c>
      <c r="E16" t="s">
        <v>2167</v>
      </c>
      <c r="G16" t="s">
        <v>10</v>
      </c>
    </row>
    <row r="17" spans="2:7" s="193" customFormat="1" ht="16.5" thickTop="1" thickBot="1">
      <c r="B17" s="191" t="s">
        <v>1459</v>
      </c>
      <c r="C17" s="192" t="str">
        <f>IF(AND(C4="No",C5="No"),"NA",IF(OR(C6="Yes",C7="Yes",C8="Yes",C9="Yes",C10="Yes",C12="No",C15="No"),"NA","Applicable"))</f>
        <v>Applicable</v>
      </c>
      <c r="E17" s="193" t="s">
        <v>2168</v>
      </c>
    </row>
    <row r="18" spans="2:7" s="195" customFormat="1" ht="15.75" thickTop="1">
      <c r="B18" s="194" t="s">
        <v>2169</v>
      </c>
      <c r="C18" s="195" t="s">
        <v>1254</v>
      </c>
      <c r="D18" s="195" t="s">
        <v>10</v>
      </c>
      <c r="E18" s="195" t="s">
        <v>2150</v>
      </c>
      <c r="G18" s="195" t="s">
        <v>11</v>
      </c>
    </row>
    <row r="19" spans="2:7">
      <c r="B19" s="7" t="s">
        <v>2170</v>
      </c>
      <c r="C19" t="s">
        <v>2171</v>
      </c>
      <c r="D19" t="str">
        <f>IF(C18="Project Emissions (PE)","Yes","NA")</f>
        <v>Yes</v>
      </c>
      <c r="E19" t="s">
        <v>2150</v>
      </c>
      <c r="G19" t="s">
        <v>11</v>
      </c>
    </row>
    <row r="20" spans="2:7" ht="15" customHeight="1">
      <c r="B20" s="7" t="s">
        <v>2172</v>
      </c>
      <c r="C20" t="s">
        <v>2173</v>
      </c>
      <c r="D20" t="str">
        <f>IF(AND(C18="Project Emissions (PE)",C19="Included"),"Yes","NA")</f>
        <v>Yes</v>
      </c>
      <c r="E20" t="s">
        <v>2150</v>
      </c>
      <c r="G20" t="s">
        <v>11</v>
      </c>
    </row>
    <row r="21" spans="2:7" ht="30">
      <c r="B21" s="7" t="s">
        <v>2174</v>
      </c>
      <c r="C21" t="s">
        <v>2171</v>
      </c>
      <c r="D21" t="str">
        <f>IF(C18="Project Emissions (PE)","Yes","NA")</f>
        <v>Yes</v>
      </c>
      <c r="E21" t="s">
        <v>2150</v>
      </c>
      <c r="F21" t="s">
        <v>2175</v>
      </c>
      <c r="G21" t="s">
        <v>11</v>
      </c>
    </row>
    <row r="22" spans="2:7">
      <c r="B22" s="7" t="s">
        <v>2176</v>
      </c>
      <c r="C22" t="s">
        <v>2171</v>
      </c>
      <c r="D22" t="str">
        <f>IF(C18="Project Emissions (PE)","Yes","NA")</f>
        <v>Yes</v>
      </c>
      <c r="E22" t="s">
        <v>2150</v>
      </c>
      <c r="G22" t="s">
        <v>11</v>
      </c>
    </row>
    <row r="23" spans="2:7" ht="30">
      <c r="B23" s="7" t="s">
        <v>2177</v>
      </c>
      <c r="C23" t="s">
        <v>2171</v>
      </c>
      <c r="D23" t="str">
        <f>IF(C18="Project Emissions (PE)","Yes","NA")</f>
        <v>Yes</v>
      </c>
      <c r="E23" t="s">
        <v>2150</v>
      </c>
      <c r="G23" t="s">
        <v>11</v>
      </c>
    </row>
    <row r="24" spans="2:7">
      <c r="B24" s="7" t="s">
        <v>2178</v>
      </c>
      <c r="C24" t="s">
        <v>2171</v>
      </c>
      <c r="D24" t="str">
        <f>IF(C18="Project Emissions (PE)","Yes","NA")</f>
        <v>Yes</v>
      </c>
      <c r="E24" t="s">
        <v>2150</v>
      </c>
      <c r="G24" t="s">
        <v>11</v>
      </c>
    </row>
    <row r="25" spans="2:7" ht="30">
      <c r="B25" s="7" t="s">
        <v>2179</v>
      </c>
      <c r="C25" t="s">
        <v>2171</v>
      </c>
      <c r="D25" t="str">
        <f>IF(C18="Project Emissions (PE)","Yes","NA")</f>
        <v>Yes</v>
      </c>
      <c r="E25" t="s">
        <v>2150</v>
      </c>
      <c r="G25" t="s">
        <v>11</v>
      </c>
    </row>
    <row r="26" spans="2:7" ht="45" customHeight="1">
      <c r="B26" s="7" t="s">
        <v>2180</v>
      </c>
      <c r="C26" t="s">
        <v>10</v>
      </c>
      <c r="D26" t="str">
        <f>IF(OR(C24="Included",C25="Included"),"Yes","NA")</f>
        <v>Yes</v>
      </c>
      <c r="E26" t="s">
        <v>2150</v>
      </c>
      <c r="G26" t="s">
        <v>11</v>
      </c>
    </row>
    <row r="27" spans="2:7" ht="30">
      <c r="B27" s="7" t="s">
        <v>2181</v>
      </c>
      <c r="C27" t="s">
        <v>2154</v>
      </c>
      <c r="D27" t="str">
        <f>IF(C18="Leakage Emissions (LE)","Yes","NA")</f>
        <v>NA</v>
      </c>
      <c r="E27" t="s">
        <v>2150</v>
      </c>
      <c r="G27" t="s">
        <v>11</v>
      </c>
    </row>
    <row r="28" spans="2:7" ht="30.6" customHeight="1">
      <c r="B28" s="7" t="s">
        <v>2182</v>
      </c>
      <c r="C28" t="s">
        <v>11</v>
      </c>
      <c r="D28" t="str">
        <f>IF(C27="Included","Yes","NA")</f>
        <v>NA</v>
      </c>
      <c r="E28" t="s">
        <v>2150</v>
      </c>
      <c r="G28" t="s">
        <v>11</v>
      </c>
    </row>
    <row r="29" spans="2:7" ht="43.9" customHeight="1">
      <c r="B29" s="7" t="s">
        <v>2183</v>
      </c>
      <c r="C29" t="s">
        <v>11</v>
      </c>
      <c r="D29" t="str">
        <f>IF(C27="Included","Yes","NA")</f>
        <v>NA</v>
      </c>
      <c r="E29" t="s">
        <v>2150</v>
      </c>
      <c r="F29" t="s">
        <v>2184</v>
      </c>
      <c r="G29" t="s">
        <v>11</v>
      </c>
    </row>
    <row r="30" spans="2:7" ht="30">
      <c r="B30" s="7" t="s">
        <v>2185</v>
      </c>
      <c r="C30" t="s">
        <v>2154</v>
      </c>
      <c r="D30" t="str">
        <f>IF(C18="Leakage Emissions (LE)","Yes","NA")</f>
        <v>NA</v>
      </c>
      <c r="E30" t="s">
        <v>2150</v>
      </c>
      <c r="G30" t="s">
        <v>11</v>
      </c>
    </row>
    <row r="31" spans="2:7">
      <c r="B31" s="7" t="s">
        <v>2186</v>
      </c>
      <c r="C31" t="s">
        <v>2187</v>
      </c>
      <c r="D31" t="str">
        <f>IF(C30="Included","Yes","NA")</f>
        <v>NA</v>
      </c>
      <c r="E31" t="s">
        <v>2150</v>
      </c>
      <c r="G31" t="s">
        <v>11</v>
      </c>
    </row>
    <row r="32" spans="2:7" ht="30">
      <c r="B32" s="7" t="s">
        <v>2188</v>
      </c>
      <c r="C32" t="s">
        <v>2154</v>
      </c>
      <c r="D32" t="str">
        <f>IF(C18="Leakage Emissions (LE)","Yes","NA")</f>
        <v>NA</v>
      </c>
      <c r="E32" t="s">
        <v>2150</v>
      </c>
      <c r="G32" t="s">
        <v>11</v>
      </c>
    </row>
    <row r="33" spans="1:7" ht="30">
      <c r="B33" s="7" t="s">
        <v>2189</v>
      </c>
      <c r="C33" t="s">
        <v>2154</v>
      </c>
      <c r="D33" t="str">
        <f>IF(C18="Leakage Emissions (LE)","Yes","NA")</f>
        <v>NA</v>
      </c>
      <c r="E33" t="s">
        <v>2150</v>
      </c>
      <c r="G33" t="s">
        <v>11</v>
      </c>
    </row>
    <row r="34" spans="1:7" s="196" customFormat="1" ht="37.5">
      <c r="A34" s="196" t="s">
        <v>2190</v>
      </c>
      <c r="B34" s="189" t="s">
        <v>2191</v>
      </c>
      <c r="D34" s="196" t="str">
        <f>IF(AND(C18="Project Emissions (PE)",C19="Included"),"Yes","NA")</f>
        <v>Yes</v>
      </c>
    </row>
    <row r="35" spans="1:7" ht="15" customHeight="1">
      <c r="A35" t="s">
        <v>2192</v>
      </c>
      <c r="B35" s="7" t="s">
        <v>2193</v>
      </c>
      <c r="C35">
        <v>1</v>
      </c>
      <c r="D35" t="str">
        <f>IF(AND(C18="Project Emissions (PE)",C19="Included"),"Yes","NA")</f>
        <v>Yes</v>
      </c>
      <c r="E35" t="s">
        <v>119</v>
      </c>
      <c r="G35" t="s">
        <v>1796</v>
      </c>
    </row>
    <row r="36" spans="1:7" ht="15" customHeight="1">
      <c r="A36" t="s">
        <v>2194</v>
      </c>
      <c r="B36" s="7" t="s">
        <v>2195</v>
      </c>
      <c r="C36">
        <v>1</v>
      </c>
      <c r="D36" t="str">
        <f>IF(AND(C18="Project Emissions (PE)",C19="Included"),"Yes","NA")</f>
        <v>Yes</v>
      </c>
      <c r="E36" t="s">
        <v>119</v>
      </c>
      <c r="G36" t="s">
        <v>1796</v>
      </c>
    </row>
    <row r="37" spans="1:7" ht="26.45" customHeight="1">
      <c r="A37" t="s">
        <v>2196</v>
      </c>
      <c r="B37" s="7" t="s">
        <v>2197</v>
      </c>
      <c r="C37">
        <v>1</v>
      </c>
      <c r="D37" t="str">
        <f>IF(AND(C18="Project Emissions (PE)",C19="Included"),"Yes","NA")</f>
        <v>Yes</v>
      </c>
      <c r="E37" t="s">
        <v>119</v>
      </c>
      <c r="G37" t="s">
        <v>1796</v>
      </c>
    </row>
    <row r="38" spans="1:7">
      <c r="A38" t="s">
        <v>2198</v>
      </c>
      <c r="B38" s="7" t="s">
        <v>2199</v>
      </c>
      <c r="C38" s="17">
        <f>((44/12)*0.47*C35*C36*(1.06+C37))+SUM(C39)</f>
        <v>3.5500666666666665</v>
      </c>
      <c r="D38" t="str">
        <f>IF(AND(C18="Project Emissions (PE)",C19="Included"),"Yes","NA")</f>
        <v>Yes</v>
      </c>
      <c r="E38" t="s">
        <v>2168</v>
      </c>
      <c r="G38" t="s">
        <v>1796</v>
      </c>
    </row>
    <row r="39" spans="1:7">
      <c r="B39" s="197" t="s">
        <v>2200</v>
      </c>
      <c r="F39" t="s">
        <v>2201</v>
      </c>
      <c r="G39" t="s">
        <v>10</v>
      </c>
    </row>
    <row r="40" spans="1:7" s="198" customFormat="1" ht="28.9" customHeight="1">
      <c r="A40" s="198" t="s">
        <v>2202</v>
      </c>
      <c r="B40" s="199" t="s">
        <v>2203</v>
      </c>
      <c r="D40" s="198" t="str">
        <f>IF(AND(C18="Project Emissions (PE)",C19="Included",C21="Included"),"Yes","NA")</f>
        <v>Yes</v>
      </c>
    </row>
    <row r="41" spans="1:7" ht="30.6" customHeight="1">
      <c r="A41" t="s">
        <v>2204</v>
      </c>
      <c r="B41" s="7" t="s">
        <v>2205</v>
      </c>
      <c r="C41" s="17" t="s">
        <v>2206</v>
      </c>
      <c r="D41" t="str">
        <f>IF(AND(C18="Project Emissions (PE)",C19="Included",C21="Included"),"Yes","NA")</f>
        <v>Yes</v>
      </c>
      <c r="E41" t="s">
        <v>2207</v>
      </c>
      <c r="G41" t="s">
        <v>1796</v>
      </c>
    </row>
    <row r="42" spans="1:7" ht="29.45" customHeight="1">
      <c r="A42" t="s">
        <v>2208</v>
      </c>
      <c r="B42" s="7" t="s">
        <v>2209</v>
      </c>
      <c r="C42" s="17" t="s">
        <v>2210</v>
      </c>
      <c r="D42" t="str">
        <f>IF(AND(C18="Project Emissions (PE)",C19="Included",C21="Included"),"Yes","NA")</f>
        <v>Yes</v>
      </c>
      <c r="E42" t="s">
        <v>2207</v>
      </c>
      <c r="G42" t="s">
        <v>1796</v>
      </c>
    </row>
    <row r="43" spans="1:7" ht="30">
      <c r="A43" t="s">
        <v>2202</v>
      </c>
      <c r="B43" s="7" t="s">
        <v>2203</v>
      </c>
      <c r="C43" s="17" t="e">
        <f>C41+C42</f>
        <v>#VALUE!</v>
      </c>
      <c r="D43" t="str">
        <f>IF(AND(C18="Project Emissions (PE)",C19="Included",C21="Included"),"Yes","NA")</f>
        <v>Yes</v>
      </c>
      <c r="E43" t="s">
        <v>2168</v>
      </c>
      <c r="G43" t="s">
        <v>1796</v>
      </c>
    </row>
    <row r="44" spans="1:7" s="198" customFormat="1" ht="15" customHeight="1">
      <c r="A44" s="198" t="s">
        <v>2211</v>
      </c>
      <c r="B44" s="199" t="s">
        <v>2212</v>
      </c>
      <c r="D44" s="198" t="str">
        <f>IF(AND(C18="Project Emissions (PE)",C19="Included"),"Yes","NA")</f>
        <v>Yes</v>
      </c>
    </row>
    <row r="45" spans="1:7" ht="15" customHeight="1">
      <c r="A45" t="s">
        <v>2213</v>
      </c>
      <c r="B45" s="7" t="s">
        <v>2214</v>
      </c>
      <c r="C45">
        <v>1</v>
      </c>
      <c r="D45" t="str">
        <f>IF(AND(C18="Project Emissions (PE)",C19="Included"),"Yes","NA")</f>
        <v>Yes</v>
      </c>
      <c r="E45" t="s">
        <v>119</v>
      </c>
      <c r="G45" t="s">
        <v>1796</v>
      </c>
    </row>
    <row r="46" spans="1:7" ht="15" customHeight="1">
      <c r="A46" t="s">
        <v>2215</v>
      </c>
      <c r="B46" s="7" t="s">
        <v>2216</v>
      </c>
      <c r="C46">
        <v>1</v>
      </c>
      <c r="D46" t="str">
        <f>IF(AND(C18="Project Emissions (PE)",C19="Included"),"Yes","NA")</f>
        <v>Yes</v>
      </c>
      <c r="E46" t="s">
        <v>119</v>
      </c>
      <c r="G46" t="s">
        <v>1796</v>
      </c>
    </row>
    <row r="47" spans="1:7" ht="30.6" customHeight="1">
      <c r="A47" t="s">
        <v>2217</v>
      </c>
      <c r="B47" s="7" t="s">
        <v>2218</v>
      </c>
      <c r="C47" s="17">
        <f>IF(C20="Limestone",0.12,IF(C20="Dolomite",0.13,IF(C20="Urea",0.2)))</f>
        <v>0.2</v>
      </c>
      <c r="D47" t="str">
        <f>IF(AND(C18="Project Emissions (PE)",C19="Included"),"Yes","NA")</f>
        <v>Yes</v>
      </c>
      <c r="E47" t="s">
        <v>2168</v>
      </c>
      <c r="F47" t="s">
        <v>2219</v>
      </c>
      <c r="G47" t="s">
        <v>1796</v>
      </c>
    </row>
    <row r="48" spans="1:7">
      <c r="A48" t="s">
        <v>2211</v>
      </c>
      <c r="B48" s="7" t="s">
        <v>2212</v>
      </c>
      <c r="C48" s="17">
        <f>(C45*C46*C47)+SUM(C49)</f>
        <v>0.2</v>
      </c>
      <c r="D48" t="str">
        <f>IF(AND(C18="Project Emissions (PE)",C19="Included"),"Yes","NA")</f>
        <v>Yes</v>
      </c>
      <c r="E48" t="s">
        <v>2168</v>
      </c>
      <c r="G48" t="s">
        <v>1796</v>
      </c>
    </row>
    <row r="49" spans="1:7">
      <c r="B49" s="197" t="s">
        <v>2200</v>
      </c>
      <c r="F49" t="s">
        <v>2220</v>
      </c>
      <c r="G49" t="s">
        <v>10</v>
      </c>
    </row>
    <row r="50" spans="1:7" s="190" customFormat="1" ht="15" customHeight="1">
      <c r="A50" s="198" t="s">
        <v>2221</v>
      </c>
      <c r="B50" s="199" t="s">
        <v>2222</v>
      </c>
      <c r="D50" s="190" t="str">
        <f>IF(C20="NA","No",IF(AND(C18="Project Emissions (PE)",C19="Included"),"Yes","NA"))</f>
        <v>Yes</v>
      </c>
    </row>
    <row r="51" spans="1:7" ht="15" customHeight="1">
      <c r="A51" t="s">
        <v>2223</v>
      </c>
      <c r="B51" s="7" t="s">
        <v>2224</v>
      </c>
      <c r="C51">
        <v>1</v>
      </c>
      <c r="D51" t="str">
        <f>IF(C20="NA","No",IF(AND(C18="Project Emissions (PE)",C19="Included"),"Yes","NA"))</f>
        <v>Yes</v>
      </c>
      <c r="E51" t="s">
        <v>119</v>
      </c>
      <c r="G51" t="s">
        <v>1796</v>
      </c>
    </row>
    <row r="52" spans="1:7" ht="15" customHeight="1" thickBot="1">
      <c r="A52" t="s">
        <v>2225</v>
      </c>
      <c r="B52" s="7" t="s">
        <v>2226</v>
      </c>
      <c r="C52">
        <v>1</v>
      </c>
      <c r="D52" t="str">
        <f>IF(C20="NA","No",IF(AND(C18="Project Emissions (PE)",C19="Included"),"Yes","NA"))</f>
        <v>Yes</v>
      </c>
      <c r="E52" t="s">
        <v>119</v>
      </c>
      <c r="G52" t="s">
        <v>1796</v>
      </c>
    </row>
    <row r="53" spans="1:7" ht="28.9" customHeight="1" thickBot="1">
      <c r="A53" t="s">
        <v>2227</v>
      </c>
      <c r="B53" s="7" t="s">
        <v>2228</v>
      </c>
      <c r="C53" s="200">
        <v>11.29</v>
      </c>
      <c r="D53" t="str">
        <f>IF(C20="NA","No",IF(AND(C18="Project Emissions (PE)",C19="Included"),"Yes","NA"))</f>
        <v>Yes</v>
      </c>
      <c r="E53" t="s">
        <v>2229</v>
      </c>
      <c r="F53" t="s">
        <v>2230</v>
      </c>
      <c r="G53" t="s">
        <v>1796</v>
      </c>
    </row>
    <row r="54" spans="1:7">
      <c r="A54" t="s">
        <v>2221</v>
      </c>
      <c r="B54" s="7" t="s">
        <v>2222</v>
      </c>
      <c r="C54" s="17">
        <f>C51*C52*C53</f>
        <v>11.29</v>
      </c>
      <c r="D54" t="str">
        <f>IF(C20="NA","No",IF(AND(C18="Project Emissions (PE)",C19="Included"),"Yes","NA"))</f>
        <v>Yes</v>
      </c>
      <c r="E54" t="s">
        <v>2168</v>
      </c>
      <c r="G54" t="s">
        <v>1796</v>
      </c>
    </row>
    <row r="55" spans="1:7" s="198" customFormat="1">
      <c r="A55" s="198" t="s">
        <v>2231</v>
      </c>
      <c r="B55" s="199" t="s">
        <v>2232</v>
      </c>
      <c r="D55" s="198" t="str">
        <f>IF(AND(C18="Project Emissions (PE)",C19="Included"),"Yes","NA")</f>
        <v>Yes</v>
      </c>
    </row>
    <row r="56" spans="1:7">
      <c r="A56" t="s">
        <v>2231</v>
      </c>
      <c r="B56" s="7" t="s">
        <v>2233</v>
      </c>
      <c r="C56" s="17">
        <f>C54+C48</f>
        <v>11.489999999999998</v>
      </c>
      <c r="D56" t="str">
        <f>IF(AND(C18="Project Emissions (PE)",C19="Included"),"Yes","NA")</f>
        <v>Yes</v>
      </c>
      <c r="E56" t="s">
        <v>2168</v>
      </c>
      <c r="G56" t="s">
        <v>11</v>
      </c>
    </row>
    <row r="57" spans="1:7" s="198" customFormat="1">
      <c r="A57" s="198" t="s">
        <v>2234</v>
      </c>
      <c r="B57" s="199" t="s">
        <v>2235</v>
      </c>
      <c r="D57" s="198" t="str">
        <f>IF(AND(C18="Project Emissions (PE)",C19="Included"),"Yes","NA")</f>
        <v>Yes</v>
      </c>
    </row>
    <row r="58" spans="1:7">
      <c r="A58" t="s">
        <v>2236</v>
      </c>
      <c r="B58" s="7" t="s">
        <v>2237</v>
      </c>
      <c r="C58">
        <v>1</v>
      </c>
      <c r="D58" t="str">
        <f>IF(AND(C18="Project Emissions (PE)",C19="Included"),"Yes","NA")</f>
        <v>Yes</v>
      </c>
      <c r="E58" t="s">
        <v>119</v>
      </c>
      <c r="G58" t="s">
        <v>1796</v>
      </c>
    </row>
    <row r="59" spans="1:7">
      <c r="A59" t="s">
        <v>2238</v>
      </c>
      <c r="B59" s="7" t="s">
        <v>2239</v>
      </c>
      <c r="C59">
        <v>1</v>
      </c>
      <c r="D59" t="str">
        <f>IF(AND(C18="Project Emissions (PE)",C19="Included"),"Yes","NA")</f>
        <v>Yes</v>
      </c>
      <c r="E59" t="s">
        <v>119</v>
      </c>
      <c r="F59" t="s">
        <v>2240</v>
      </c>
      <c r="G59" t="s">
        <v>1796</v>
      </c>
    </row>
    <row r="60" spans="1:7">
      <c r="A60" t="s">
        <v>2241</v>
      </c>
      <c r="B60" s="7" t="s">
        <v>2242</v>
      </c>
      <c r="C60">
        <v>1</v>
      </c>
      <c r="D60" t="str">
        <f>IF(AND(C18="Project Emissions (PE)",C19="Included"),"Yes","NA")</f>
        <v>Yes</v>
      </c>
      <c r="E60" t="s">
        <v>119</v>
      </c>
      <c r="F60" t="s">
        <v>2243</v>
      </c>
      <c r="G60" t="s">
        <v>1796</v>
      </c>
    </row>
    <row r="61" spans="1:7">
      <c r="A61" t="s">
        <v>2244</v>
      </c>
      <c r="B61" s="7" t="s">
        <v>2245</v>
      </c>
      <c r="C61">
        <v>1</v>
      </c>
      <c r="D61" t="str">
        <f>IF(AND(C18="Project Emissions (PE)",C19="Included"),"Yes","NA")</f>
        <v>Yes</v>
      </c>
      <c r="E61" t="s">
        <v>119</v>
      </c>
      <c r="F61" t="s">
        <v>2246</v>
      </c>
      <c r="G61" t="s">
        <v>1796</v>
      </c>
    </row>
    <row r="62" spans="1:7">
      <c r="A62" t="s">
        <v>2247</v>
      </c>
      <c r="B62" s="7" t="s">
        <v>2248</v>
      </c>
      <c r="C62">
        <v>1</v>
      </c>
      <c r="D62" t="str">
        <f>IF(AND(C18="Project Emissions (PE)",C19="Included"),"Yes","NA")</f>
        <v>Yes</v>
      </c>
      <c r="E62" t="s">
        <v>119</v>
      </c>
      <c r="F62" t="s">
        <v>2243</v>
      </c>
      <c r="G62" t="s">
        <v>1796</v>
      </c>
    </row>
    <row r="63" spans="1:7">
      <c r="A63" t="s">
        <v>2249</v>
      </c>
      <c r="B63" s="7" t="s">
        <v>2250</v>
      </c>
      <c r="C63">
        <v>1</v>
      </c>
      <c r="D63" t="str">
        <f>IF(AND(C18="Project Emissions (PE)",C19="Included"),"Yes","NA")</f>
        <v>Yes</v>
      </c>
      <c r="E63" t="s">
        <v>119</v>
      </c>
      <c r="F63" t="s">
        <v>2246</v>
      </c>
      <c r="G63" t="s">
        <v>1796</v>
      </c>
    </row>
    <row r="64" spans="1:7">
      <c r="A64" t="s">
        <v>2251</v>
      </c>
      <c r="B64" s="7" t="s">
        <v>2252</v>
      </c>
      <c r="C64">
        <v>1</v>
      </c>
      <c r="D64" t="str">
        <f>IF(AND(C18="Project Emissions (PE)",C19="Included"),"Yes","NA")</f>
        <v>Yes</v>
      </c>
      <c r="E64" t="s">
        <v>119</v>
      </c>
      <c r="F64" t="s">
        <v>2243</v>
      </c>
      <c r="G64" t="s">
        <v>1796</v>
      </c>
    </row>
    <row r="65" spans="1:7">
      <c r="A65" t="s">
        <v>2253</v>
      </c>
      <c r="B65" s="7" t="s">
        <v>2254</v>
      </c>
      <c r="C65">
        <v>1</v>
      </c>
      <c r="D65" t="str">
        <f>IF(AND(C18="Project Emissions (PE)",C19="Included"),"Yes","NA")</f>
        <v>Yes</v>
      </c>
      <c r="E65" t="s">
        <v>119</v>
      </c>
      <c r="F65" t="s">
        <v>2246</v>
      </c>
      <c r="G65" t="s">
        <v>1796</v>
      </c>
    </row>
    <row r="66" spans="1:7">
      <c r="A66" t="s">
        <v>2234</v>
      </c>
      <c r="B66" s="7" t="s">
        <v>2235</v>
      </c>
      <c r="C66" s="17">
        <f>1.21*C58*C59*(C60*C61*C62-C63*C64*C65)</f>
        <v>0</v>
      </c>
      <c r="D66" t="str">
        <f>IF(AND(C18="Project Emissions (PE)",C19="Included"),"Yes","NA")</f>
        <v>Yes</v>
      </c>
      <c r="E66" t="s">
        <v>2168</v>
      </c>
      <c r="F66" t="s">
        <v>2255</v>
      </c>
      <c r="G66" t="s">
        <v>1796</v>
      </c>
    </row>
    <row r="67" spans="1:7">
      <c r="B67" s="197" t="s">
        <v>2200</v>
      </c>
      <c r="F67" t="s">
        <v>2256</v>
      </c>
      <c r="G67" t="s">
        <v>10</v>
      </c>
    </row>
    <row r="68" spans="1:7" s="198" customFormat="1">
      <c r="A68" s="198" t="s">
        <v>2257</v>
      </c>
      <c r="B68" s="199" t="s">
        <v>2258</v>
      </c>
      <c r="D68" s="198" t="str">
        <f>IF(AND(C18="Project Emissions (PE)",C19="Included",C21="Included"),"Yes","NA")</f>
        <v>Yes</v>
      </c>
    </row>
    <row r="69" spans="1:7">
      <c r="A69" t="s">
        <v>2259</v>
      </c>
      <c r="B69" s="7" t="s">
        <v>2260</v>
      </c>
      <c r="C69">
        <v>7</v>
      </c>
      <c r="D69" t="str">
        <f>IF(AND(C18="Project Emissions (PE)",C19="Included",C21="Included"),"Yes","NA")</f>
        <v>Yes</v>
      </c>
      <c r="E69" t="s">
        <v>2150</v>
      </c>
      <c r="G69" t="s">
        <v>11</v>
      </c>
    </row>
    <row r="70" spans="1:7" ht="15.75" thickBot="1">
      <c r="A70" t="s">
        <v>2257</v>
      </c>
      <c r="B70" s="7" t="s">
        <v>2258</v>
      </c>
      <c r="C70" s="17">
        <f>MAX((44/12)*(1.179/C69)*SUM(C66:C67),0)</f>
        <v>0</v>
      </c>
      <c r="D70" t="str">
        <f>IF(AND(C18="Project Emissions (PE)",C19="Included"),"Yes","NA")</f>
        <v>Yes</v>
      </c>
      <c r="E70" t="s">
        <v>2168</v>
      </c>
      <c r="F70" t="s">
        <v>2261</v>
      </c>
      <c r="G70" t="s">
        <v>11</v>
      </c>
    </row>
    <row r="71" spans="1:7" s="201" customFormat="1" ht="13.9" customHeight="1" thickTop="1" thickBot="1">
      <c r="A71" s="201" t="s">
        <v>2190</v>
      </c>
      <c r="B71" s="191" t="s">
        <v>2191</v>
      </c>
      <c r="C71" s="202" t="e">
        <f>C70+C56+C43+C38</f>
        <v>#VALUE!</v>
      </c>
      <c r="D71" s="201" t="str">
        <f>IF(AND(C18="Project Emissions (PE)",C19="Included"),"Yes","NA")</f>
        <v>Yes</v>
      </c>
      <c r="E71" s="201" t="s">
        <v>2168</v>
      </c>
      <c r="F71" s="201" t="s">
        <v>2262</v>
      </c>
      <c r="G71" s="201" t="s">
        <v>11</v>
      </c>
    </row>
    <row r="72" spans="1:7" s="196" customFormat="1" ht="39" thickTop="1" thickBot="1">
      <c r="A72" s="196" t="s">
        <v>2263</v>
      </c>
      <c r="B72" s="189" t="s">
        <v>2264</v>
      </c>
      <c r="D72" s="196" t="str">
        <f>IF(OR(C22="Included",C23="Included"),"Yes","NA")</f>
        <v>Yes</v>
      </c>
      <c r="F72" s="196" t="s">
        <v>2265</v>
      </c>
    </row>
    <row r="73" spans="1:7" s="201" customFormat="1" ht="16.5" thickTop="1" thickBot="1">
      <c r="A73" s="201" t="s">
        <v>2266</v>
      </c>
      <c r="B73" s="191" t="s">
        <v>2267</v>
      </c>
      <c r="C73" s="202" t="s">
        <v>2268</v>
      </c>
      <c r="D73" s="201" t="str">
        <f>IF(C22="Included","Yes","NA")</f>
        <v>Yes</v>
      </c>
      <c r="E73" s="201" t="s">
        <v>2207</v>
      </c>
      <c r="F73" s="201" t="s">
        <v>2269</v>
      </c>
      <c r="G73" s="201" t="s">
        <v>11</v>
      </c>
    </row>
    <row r="74" spans="1:7" s="201" customFormat="1" ht="16.5" thickTop="1" thickBot="1">
      <c r="A74" s="201" t="s">
        <v>2270</v>
      </c>
      <c r="B74" s="191" t="s">
        <v>2271</v>
      </c>
      <c r="C74" s="202" t="s">
        <v>2268</v>
      </c>
      <c r="D74" s="201" t="str">
        <f>IF(C23="Included","Yes","NA")</f>
        <v>Yes</v>
      </c>
      <c r="E74" s="201" t="s">
        <v>2207</v>
      </c>
      <c r="F74" s="201" t="s">
        <v>2272</v>
      </c>
      <c r="G74" s="201" t="s">
        <v>11</v>
      </c>
    </row>
    <row r="75" spans="1:7" s="196" customFormat="1" ht="38.25" thickTop="1">
      <c r="A75" s="196" t="s">
        <v>2273</v>
      </c>
      <c r="B75" s="189" t="s">
        <v>2274</v>
      </c>
      <c r="D75" s="196" t="str">
        <f>IF(OR(C24="Included",C25="Included"),"Yes","NA")</f>
        <v>Yes</v>
      </c>
    </row>
    <row r="76" spans="1:7" ht="30">
      <c r="A76" t="s">
        <v>2275</v>
      </c>
      <c r="B76" s="7" t="s">
        <v>2276</v>
      </c>
      <c r="C76" s="17" t="s">
        <v>2277</v>
      </c>
      <c r="D76" t="str">
        <f>IF(C24="Included","Yes","NA")</f>
        <v>Yes</v>
      </c>
      <c r="E76" t="s">
        <v>2207</v>
      </c>
      <c r="F76" t="s">
        <v>2278</v>
      </c>
      <c r="G76" t="s">
        <v>11</v>
      </c>
    </row>
    <row r="77" spans="1:7" ht="30">
      <c r="A77" t="s">
        <v>2279</v>
      </c>
      <c r="B77" s="7" t="s">
        <v>2280</v>
      </c>
      <c r="C77" s="17" t="s">
        <v>2206</v>
      </c>
      <c r="D77" t="str">
        <f>IF(C24="Included","Yes","NA")</f>
        <v>Yes</v>
      </c>
      <c r="E77" t="s">
        <v>2207</v>
      </c>
      <c r="G77" t="s">
        <v>11</v>
      </c>
    </row>
    <row r="78" spans="1:7" ht="30">
      <c r="A78" t="s">
        <v>2281</v>
      </c>
      <c r="B78" s="7" t="s">
        <v>2282</v>
      </c>
      <c r="C78" s="17" t="s">
        <v>2283</v>
      </c>
      <c r="D78" t="str">
        <f>IF(C24="Included","Yes","NA")</f>
        <v>Yes</v>
      </c>
      <c r="E78" t="s">
        <v>2207</v>
      </c>
      <c r="G78" t="s">
        <v>11</v>
      </c>
    </row>
    <row r="79" spans="1:7" ht="15.75" thickBot="1">
      <c r="A79" t="s">
        <v>2284</v>
      </c>
      <c r="B79" s="7" t="s">
        <v>2285</v>
      </c>
      <c r="C79" s="17" t="e">
        <f>C76+C77+C78</f>
        <v>#VALUE!</v>
      </c>
      <c r="D79" t="str">
        <f>IF(C24="Included","Yes","NA")</f>
        <v>Yes</v>
      </c>
      <c r="F79" t="s">
        <v>2286</v>
      </c>
      <c r="G79" t="s">
        <v>11</v>
      </c>
    </row>
    <row r="80" spans="1:7" ht="15.75" thickBot="1">
      <c r="A80" t="s">
        <v>2287</v>
      </c>
      <c r="B80" s="7" t="s">
        <v>2288</v>
      </c>
      <c r="C80" s="200">
        <v>28</v>
      </c>
      <c r="D80" t="str">
        <f>IF(C24="Included","Yes","NA")</f>
        <v>Yes</v>
      </c>
      <c r="E80" t="s">
        <v>1241</v>
      </c>
      <c r="G80" t="s">
        <v>11</v>
      </c>
    </row>
    <row r="81" spans="1:7">
      <c r="A81" t="s">
        <v>2289</v>
      </c>
      <c r="B81" s="7" t="s">
        <v>2290</v>
      </c>
      <c r="C81">
        <v>1</v>
      </c>
      <c r="D81" t="str">
        <f>IF(C24="Included","Yes","NA")</f>
        <v>Yes</v>
      </c>
      <c r="E81" t="s">
        <v>119</v>
      </c>
      <c r="G81" t="s">
        <v>11</v>
      </c>
    </row>
    <row r="82" spans="1:7" ht="30">
      <c r="A82" t="s">
        <v>2291</v>
      </c>
      <c r="B82" s="7" t="s">
        <v>2292</v>
      </c>
      <c r="C82">
        <v>1</v>
      </c>
      <c r="D82" t="str">
        <f>IF(C24="Included","Yes","NA")</f>
        <v>Yes</v>
      </c>
      <c r="E82" t="s">
        <v>119</v>
      </c>
      <c r="G82" t="s">
        <v>11</v>
      </c>
    </row>
    <row r="83" spans="1:7">
      <c r="A83" t="s">
        <v>2293</v>
      </c>
      <c r="B83" s="7" t="s">
        <v>2294</v>
      </c>
      <c r="C83">
        <v>1</v>
      </c>
      <c r="D83" t="str">
        <f>IF(C24="Included","Yes","NA")</f>
        <v>Yes</v>
      </c>
      <c r="E83" t="s">
        <v>119</v>
      </c>
      <c r="G83" t="s">
        <v>11</v>
      </c>
    </row>
    <row r="84" spans="1:7" ht="30">
      <c r="A84" t="s">
        <v>2295</v>
      </c>
      <c r="B84" s="7" t="s">
        <v>2296</v>
      </c>
      <c r="C84">
        <v>1</v>
      </c>
      <c r="D84" t="str">
        <f>IF(C24="Included","Yes","NA")</f>
        <v>Yes</v>
      </c>
      <c r="E84" t="s">
        <v>119</v>
      </c>
      <c r="G84" t="s">
        <v>11</v>
      </c>
    </row>
    <row r="85" spans="1:7" ht="30">
      <c r="A85" t="s">
        <v>2297</v>
      </c>
      <c r="B85" s="7" t="s">
        <v>2298</v>
      </c>
      <c r="C85" s="17">
        <f>C80*C81*C82*C83*C84</f>
        <v>28</v>
      </c>
      <c r="D85" t="str">
        <f>IF(C24="Included","Yes","NA")</f>
        <v>Yes</v>
      </c>
      <c r="E85" t="s">
        <v>2168</v>
      </c>
      <c r="G85" t="s">
        <v>11</v>
      </c>
    </row>
    <row r="86" spans="1:7" ht="30">
      <c r="A86" t="s">
        <v>2299</v>
      </c>
      <c r="B86" s="7" t="s">
        <v>2300</v>
      </c>
      <c r="C86" s="17" t="s">
        <v>2206</v>
      </c>
      <c r="D86" t="str">
        <f>IF(C24="Included","Yes","NA")</f>
        <v>Yes</v>
      </c>
      <c r="E86" t="s">
        <v>2207</v>
      </c>
      <c r="G86" t="s">
        <v>11</v>
      </c>
    </row>
    <row r="87" spans="1:7" ht="30">
      <c r="A87" t="s">
        <v>2301</v>
      </c>
      <c r="B87" s="7" t="s">
        <v>2302</v>
      </c>
      <c r="C87" s="17" t="s">
        <v>2283</v>
      </c>
      <c r="D87" t="str">
        <f>IF(C24="Included","Yes","NA")</f>
        <v>Yes</v>
      </c>
      <c r="E87" t="s">
        <v>2207</v>
      </c>
      <c r="G87" t="s">
        <v>11</v>
      </c>
    </row>
    <row r="88" spans="1:7" ht="30">
      <c r="A88" t="s">
        <v>2303</v>
      </c>
      <c r="B88" s="7" t="s">
        <v>2304</v>
      </c>
      <c r="C88" s="17" t="s">
        <v>2305</v>
      </c>
      <c r="D88" t="str">
        <f>IF(C24="Included","Yes","NA")</f>
        <v>Yes</v>
      </c>
      <c r="E88" t="s">
        <v>2207</v>
      </c>
      <c r="G88" t="s">
        <v>11</v>
      </c>
    </row>
    <row r="89" spans="1:7" ht="30">
      <c r="A89" t="s">
        <v>2306</v>
      </c>
      <c r="B89" s="7" t="s">
        <v>2307</v>
      </c>
      <c r="C89" s="17" t="s">
        <v>2308</v>
      </c>
      <c r="D89" t="str">
        <f>IF(C24="Included","Yes","NA")</f>
        <v>Yes</v>
      </c>
      <c r="E89" t="s">
        <v>2207</v>
      </c>
      <c r="G89" t="s">
        <v>11</v>
      </c>
    </row>
    <row r="90" spans="1:7" ht="30.75" thickBot="1">
      <c r="A90" t="s">
        <v>2309</v>
      </c>
      <c r="B90" s="7" t="s">
        <v>2310</v>
      </c>
      <c r="C90" s="17" t="s">
        <v>2311</v>
      </c>
      <c r="D90" t="str">
        <f>IF(C24="Included","Yes","NA")</f>
        <v>Yes</v>
      </c>
      <c r="E90" t="s">
        <v>2207</v>
      </c>
      <c r="G90" t="s">
        <v>11</v>
      </c>
    </row>
    <row r="91" spans="1:7" s="201" customFormat="1" ht="15" customHeight="1" thickTop="1" thickBot="1">
      <c r="A91" s="201" t="s">
        <v>2312</v>
      </c>
      <c r="B91" s="191" t="s">
        <v>2313</v>
      </c>
      <c r="C91" s="202" t="e">
        <f>C86+C87+C88+C89+C90+C85+C79</f>
        <v>#VALUE!</v>
      </c>
      <c r="D91" s="201" t="str">
        <f>IF(C24="Included","Yes","NA")</f>
        <v>Yes</v>
      </c>
      <c r="E91" s="201" t="s">
        <v>2168</v>
      </c>
      <c r="G91" s="201" t="s">
        <v>11</v>
      </c>
    </row>
    <row r="92" spans="1:7" ht="30.75" thickTop="1">
      <c r="A92" t="s">
        <v>2314</v>
      </c>
      <c r="B92" s="7" t="s">
        <v>2315</v>
      </c>
      <c r="C92" s="17" t="s">
        <v>2277</v>
      </c>
      <c r="D92" t="str">
        <f>IF(C25="Included","Yes","NA")</f>
        <v>Yes</v>
      </c>
      <c r="E92" t="s">
        <v>2207</v>
      </c>
      <c r="F92" t="s">
        <v>2278</v>
      </c>
      <c r="G92" t="s">
        <v>11</v>
      </c>
    </row>
    <row r="93" spans="1:7" ht="30">
      <c r="A93" t="s">
        <v>2316</v>
      </c>
      <c r="B93" s="7" t="s">
        <v>2317</v>
      </c>
      <c r="C93" s="17" t="s">
        <v>2206</v>
      </c>
      <c r="D93" t="str">
        <f>IF(C25="Included","Yes","NA")</f>
        <v>Yes</v>
      </c>
      <c r="E93" t="s">
        <v>2207</v>
      </c>
      <c r="G93" t="s">
        <v>11</v>
      </c>
    </row>
    <row r="94" spans="1:7" ht="30">
      <c r="A94" t="s">
        <v>2318</v>
      </c>
      <c r="B94" s="7" t="s">
        <v>2319</v>
      </c>
      <c r="C94" s="17" t="s">
        <v>2283</v>
      </c>
      <c r="D94" t="str">
        <f>IF(C25="Included","Yes","NA")</f>
        <v>Yes</v>
      </c>
      <c r="E94" t="s">
        <v>2207</v>
      </c>
      <c r="G94" t="s">
        <v>11</v>
      </c>
    </row>
    <row r="95" spans="1:7" ht="30.75" thickBot="1">
      <c r="A95" t="s">
        <v>2320</v>
      </c>
      <c r="B95" s="7" t="s">
        <v>2321</v>
      </c>
      <c r="C95" s="203" t="e">
        <f>C92+C93+C94</f>
        <v>#VALUE!</v>
      </c>
      <c r="D95" t="str">
        <f>IF(C25="Included","Yes","NA")</f>
        <v>Yes</v>
      </c>
      <c r="F95" t="s">
        <v>2286</v>
      </c>
      <c r="G95" t="s">
        <v>11</v>
      </c>
    </row>
    <row r="96" spans="1:7" ht="15.75" thickBot="1">
      <c r="A96" t="s">
        <v>2287</v>
      </c>
      <c r="B96" s="7" t="s">
        <v>2288</v>
      </c>
      <c r="C96" s="200">
        <v>28</v>
      </c>
      <c r="D96" t="str">
        <f>IF(C25="Included","Yes","NA")</f>
        <v>Yes</v>
      </c>
      <c r="E96" t="s">
        <v>1241</v>
      </c>
      <c r="G96" t="s">
        <v>11</v>
      </c>
    </row>
    <row r="97" spans="1:7">
      <c r="A97" t="s">
        <v>2322</v>
      </c>
      <c r="B97" s="7" t="s">
        <v>2323</v>
      </c>
      <c r="C97">
        <v>1</v>
      </c>
      <c r="D97" t="str">
        <f>IF(C25="Included","Yes","NA")</f>
        <v>Yes</v>
      </c>
      <c r="E97" t="s">
        <v>119</v>
      </c>
      <c r="G97" t="s">
        <v>11</v>
      </c>
    </row>
    <row r="98" spans="1:7" ht="30">
      <c r="A98" t="s">
        <v>2324</v>
      </c>
      <c r="B98" s="7" t="s">
        <v>2325</v>
      </c>
      <c r="C98">
        <v>1</v>
      </c>
      <c r="D98" t="str">
        <f>IF(C25="Included","Yes","NA")</f>
        <v>Yes</v>
      </c>
      <c r="E98" t="s">
        <v>119</v>
      </c>
      <c r="G98" t="s">
        <v>11</v>
      </c>
    </row>
    <row r="99" spans="1:7">
      <c r="A99" t="s">
        <v>2293</v>
      </c>
      <c r="B99" s="7" t="s">
        <v>2294</v>
      </c>
      <c r="C99">
        <v>1</v>
      </c>
      <c r="D99" t="str">
        <f>IF(C25="Included","Yes","NA")</f>
        <v>Yes</v>
      </c>
      <c r="E99" t="s">
        <v>119</v>
      </c>
      <c r="G99" t="s">
        <v>11</v>
      </c>
    </row>
    <row r="100" spans="1:7" ht="30">
      <c r="A100" t="s">
        <v>2326</v>
      </c>
      <c r="B100" s="7" t="s">
        <v>2327</v>
      </c>
      <c r="C100">
        <v>1</v>
      </c>
      <c r="D100" t="str">
        <f>IF(C25="Included","Yes","NA")</f>
        <v>Yes</v>
      </c>
      <c r="E100" t="s">
        <v>119</v>
      </c>
      <c r="G100" t="s">
        <v>11</v>
      </c>
    </row>
    <row r="101" spans="1:7" ht="30">
      <c r="A101" t="s">
        <v>2328</v>
      </c>
      <c r="B101" s="7" t="s">
        <v>2329</v>
      </c>
      <c r="C101" s="17">
        <f>C96*C97*C98*C99*C100</f>
        <v>28</v>
      </c>
      <c r="D101" t="str">
        <f>IF(C25="Included","Yes","NA")</f>
        <v>Yes</v>
      </c>
      <c r="E101" t="s">
        <v>2168</v>
      </c>
      <c r="G101" t="s">
        <v>11</v>
      </c>
    </row>
    <row r="102" spans="1:7" ht="30">
      <c r="A102" t="s">
        <v>2330</v>
      </c>
      <c r="B102" s="7" t="s">
        <v>2331</v>
      </c>
      <c r="C102" s="17" t="s">
        <v>2206</v>
      </c>
      <c r="D102" t="str">
        <f>IF(C25="Included","Yes","NA")</f>
        <v>Yes</v>
      </c>
      <c r="E102" t="s">
        <v>2207</v>
      </c>
      <c r="G102" t="s">
        <v>11</v>
      </c>
    </row>
    <row r="103" spans="1:7" ht="30">
      <c r="A103" t="s">
        <v>2332</v>
      </c>
      <c r="B103" s="7" t="s">
        <v>2333</v>
      </c>
      <c r="C103" s="17" t="s">
        <v>2283</v>
      </c>
      <c r="D103" t="str">
        <f>IF(C25="Included","Yes","NA")</f>
        <v>Yes</v>
      </c>
      <c r="E103" t="s">
        <v>2207</v>
      </c>
      <c r="G103" t="s">
        <v>11</v>
      </c>
    </row>
    <row r="104" spans="1:7" ht="30">
      <c r="A104" t="s">
        <v>2334</v>
      </c>
      <c r="B104" s="7" t="s">
        <v>2335</v>
      </c>
      <c r="C104" s="17" t="s">
        <v>2305</v>
      </c>
      <c r="D104" t="str">
        <f>IF(C25="Included","Yes","NA")</f>
        <v>Yes</v>
      </c>
      <c r="E104" t="s">
        <v>2207</v>
      </c>
      <c r="G104" t="s">
        <v>11</v>
      </c>
    </row>
    <row r="105" spans="1:7" ht="30">
      <c r="A105" t="s">
        <v>2336</v>
      </c>
      <c r="B105" s="7" t="s">
        <v>2337</v>
      </c>
      <c r="C105" s="17" t="s">
        <v>2308</v>
      </c>
      <c r="D105" t="str">
        <f>IF(C25="Included","Yes","NA")</f>
        <v>Yes</v>
      </c>
      <c r="E105" t="s">
        <v>2207</v>
      </c>
      <c r="G105" t="s">
        <v>11</v>
      </c>
    </row>
    <row r="106" spans="1:7" ht="30.75" thickBot="1">
      <c r="A106" t="s">
        <v>2338</v>
      </c>
      <c r="B106" s="7" t="s">
        <v>2339</v>
      </c>
      <c r="C106" s="17" t="s">
        <v>2311</v>
      </c>
      <c r="D106" t="str">
        <f>IF(C25="Included","Yes","NA")</f>
        <v>Yes</v>
      </c>
      <c r="E106" t="s">
        <v>2207</v>
      </c>
      <c r="G106" t="s">
        <v>11</v>
      </c>
    </row>
    <row r="107" spans="1:7" s="201" customFormat="1" ht="16.5" thickTop="1" thickBot="1">
      <c r="A107" s="201" t="s">
        <v>2340</v>
      </c>
      <c r="B107" s="191" t="s">
        <v>2341</v>
      </c>
      <c r="C107" s="202" t="e">
        <f>C102+C103+C104+C105+C106+C101+C95</f>
        <v>#VALUE!</v>
      </c>
      <c r="D107" s="201" t="str">
        <f>IF(C25="Included","Yes","NA")</f>
        <v>Yes</v>
      </c>
      <c r="E107" s="201" t="s">
        <v>2168</v>
      </c>
      <c r="G107" s="201" t="s">
        <v>11</v>
      </c>
    </row>
    <row r="108" spans="1:7" s="196" customFormat="1" ht="38.25" thickTop="1">
      <c r="A108" s="196" t="s">
        <v>2342</v>
      </c>
      <c r="B108" s="189" t="s">
        <v>2343</v>
      </c>
      <c r="D108" s="196" t="str">
        <f>IF(C27="Included","Yes","NA")</f>
        <v>NA</v>
      </c>
    </row>
    <row r="109" spans="1:7" ht="30">
      <c r="B109" s="7" t="s">
        <v>2344</v>
      </c>
      <c r="C109" s="204">
        <v>0.01</v>
      </c>
      <c r="D109" t="str">
        <f>IF(C27="Included","Yes","NA")</f>
        <v>NA</v>
      </c>
      <c r="E109" t="s">
        <v>119</v>
      </c>
      <c r="G109" t="s">
        <v>1796</v>
      </c>
    </row>
    <row r="110" spans="1:7" ht="30.75" thickBot="1">
      <c r="B110" s="7" t="s">
        <v>2345</v>
      </c>
      <c r="C110" s="204">
        <v>0.01</v>
      </c>
      <c r="D110" t="str">
        <f>IF(C27="Included","Yes","NA")</f>
        <v>NA</v>
      </c>
      <c r="E110" t="s">
        <v>119</v>
      </c>
      <c r="G110" t="s">
        <v>1796</v>
      </c>
    </row>
    <row r="111" spans="1:7" s="193" customFormat="1" ht="31.5" thickTop="1" thickBot="1">
      <c r="A111" s="193" t="s">
        <v>2342</v>
      </c>
      <c r="B111" s="205" t="s">
        <v>2343</v>
      </c>
      <c r="C111" s="192">
        <f>IF(OR(C28="Yes",C29="Yes"),0,IF(AND(C3="Small or Micro",C109&lt;0.1,C110&lt;0.1),0,IF(C3="Large","No shift of pre-project activities is allowed",IF(OR(C109&gt;0.5,C110&gt;0.5),"Tool NA",IF(OR(C109&gt;0.1,C110&gt;0.1),"=(BE-PE)*.15")))))</f>
        <v>0</v>
      </c>
      <c r="D111" s="193" t="str">
        <f>IF(C27="Included","Yes","NA")</f>
        <v>NA</v>
      </c>
      <c r="E111" s="193" t="s">
        <v>2168</v>
      </c>
      <c r="F111" s="193" t="s">
        <v>2346</v>
      </c>
      <c r="G111" s="193" t="s">
        <v>1796</v>
      </c>
    </row>
    <row r="112" spans="1:7" s="196" customFormat="1" ht="38.25" thickTop="1">
      <c r="A112" s="196" t="s">
        <v>2347</v>
      </c>
      <c r="B112" s="189" t="s">
        <v>2348</v>
      </c>
      <c r="D112" s="196" t="str">
        <f>IF(C30="Included","Yes","NA")</f>
        <v>NA</v>
      </c>
    </row>
    <row r="113" spans="1:7">
      <c r="A113" t="s">
        <v>2349</v>
      </c>
      <c r="B113" s="7" t="s">
        <v>2350</v>
      </c>
      <c r="C113">
        <v>1</v>
      </c>
      <c r="D113" t="str">
        <f>IF(C30="Included","Yes","NA")</f>
        <v>NA</v>
      </c>
      <c r="E113" t="s">
        <v>119</v>
      </c>
      <c r="G113" t="s">
        <v>1796</v>
      </c>
    </row>
    <row r="114" spans="1:7" ht="30">
      <c r="A114" t="s">
        <v>2351</v>
      </c>
      <c r="B114" s="7" t="s">
        <v>2352</v>
      </c>
      <c r="C114">
        <v>1</v>
      </c>
      <c r="D114" t="str">
        <f>IF(C30="Included","Yes","NA")</f>
        <v>NA</v>
      </c>
      <c r="E114" t="s">
        <v>119</v>
      </c>
      <c r="F114" t="s">
        <v>2353</v>
      </c>
      <c r="G114" t="s">
        <v>1796</v>
      </c>
    </row>
    <row r="115" spans="1:7" ht="15.75" thickBot="1">
      <c r="A115" t="s">
        <v>2354</v>
      </c>
      <c r="B115" s="7" t="s">
        <v>2355</v>
      </c>
      <c r="C115">
        <v>1</v>
      </c>
      <c r="D115" t="str">
        <f>IF(C30="Included","Yes","NA")</f>
        <v>NA</v>
      </c>
      <c r="E115" t="s">
        <v>119</v>
      </c>
      <c r="G115" t="s">
        <v>11</v>
      </c>
    </row>
    <row r="116" spans="1:7" s="195" customFormat="1" ht="15.75" thickTop="1">
      <c r="A116" s="195" t="s">
        <v>2347</v>
      </c>
      <c r="B116" s="194" t="s">
        <v>2348</v>
      </c>
      <c r="C116" s="206">
        <f>IF(C31="B4: The biomass residues are used for energy or non-energy applications, or the primary source of the biomass residues and/or their fate cannot be clearly identified.",(C113*C114*C115)+SUM(C117),"See Notes")</f>
        <v>1</v>
      </c>
      <c r="D116" s="195" t="str">
        <f>IF(C30="Included","Yes","NA")</f>
        <v>NA</v>
      </c>
      <c r="E116" s="195" t="s">
        <v>2168</v>
      </c>
      <c r="F116" s="195" t="s">
        <v>2356</v>
      </c>
      <c r="G116" s="195" t="s">
        <v>1796</v>
      </c>
    </row>
    <row r="117" spans="1:7" s="207" customFormat="1" ht="15.75" thickBot="1">
      <c r="B117" s="208" t="s">
        <v>2357</v>
      </c>
      <c r="D117" s="207" t="str">
        <f>IF(C30="Included","Yes","NA")</f>
        <v>NA</v>
      </c>
      <c r="F117" s="207" t="s">
        <v>2358</v>
      </c>
      <c r="G117" s="207" t="s">
        <v>10</v>
      </c>
    </row>
    <row r="118" spans="1:7" s="196" customFormat="1" ht="39" thickTop="1" thickBot="1">
      <c r="A118" s="196" t="s">
        <v>2359</v>
      </c>
      <c r="B118" s="189" t="s">
        <v>2360</v>
      </c>
      <c r="D118" s="196" t="str">
        <f>IF(C32="Included","Yes","NA")</f>
        <v>NA</v>
      </c>
    </row>
    <row r="119" spans="1:7" s="201" customFormat="1" ht="16.5" thickTop="1" thickBot="1">
      <c r="A119" s="201" t="s">
        <v>2359</v>
      </c>
      <c r="B119" s="191" t="s">
        <v>2360</v>
      </c>
      <c r="C119" s="202" t="s">
        <v>2361</v>
      </c>
      <c r="D119" s="201" t="str">
        <f>IF(C32="Included","Yes","NA")</f>
        <v>NA</v>
      </c>
      <c r="E119" s="201" t="s">
        <v>2207</v>
      </c>
      <c r="F119" s="201" t="s">
        <v>2272</v>
      </c>
      <c r="G119" s="201" t="s">
        <v>11</v>
      </c>
    </row>
    <row r="120" spans="1:7" s="196" customFormat="1" ht="38.25" thickTop="1">
      <c r="A120" s="196" t="s">
        <v>2362</v>
      </c>
      <c r="B120" s="189" t="s">
        <v>2363</v>
      </c>
      <c r="D120" s="196" t="str">
        <f>IF(C33="Included","Yes","NA")</f>
        <v>NA</v>
      </c>
    </row>
    <row r="121" spans="1:7">
      <c r="A121" t="s">
        <v>2364</v>
      </c>
      <c r="B121" t="s">
        <v>2365</v>
      </c>
      <c r="C121" s="17">
        <f>'Tool 12 - Freight Trans'!C21</f>
        <v>2.58E-2</v>
      </c>
      <c r="D121" t="str">
        <f>IF(C33="Included","Yes","NA")</f>
        <v>NA</v>
      </c>
      <c r="E121" t="s">
        <v>2207</v>
      </c>
      <c r="F121" t="s">
        <v>2278</v>
      </c>
      <c r="G121" t="s">
        <v>11</v>
      </c>
    </row>
    <row r="122" spans="1:7">
      <c r="A122" t="s">
        <v>2366</v>
      </c>
      <c r="B122" t="s">
        <v>2367</v>
      </c>
      <c r="C122" s="17">
        <f>'Tool 05.1'!G16</f>
        <v>0.39375000000000004</v>
      </c>
      <c r="D122" t="str">
        <f>IF(C33="Included","Yes","NA")</f>
        <v>NA</v>
      </c>
      <c r="E122" t="s">
        <v>2207</v>
      </c>
      <c r="G122" t="s">
        <v>11</v>
      </c>
    </row>
    <row r="123" spans="1:7">
      <c r="A123" t="s">
        <v>2368</v>
      </c>
      <c r="B123" t="s">
        <v>2369</v>
      </c>
      <c r="C123" s="17">
        <f>'Tool 03'!G3</f>
        <v>73.333333333333329</v>
      </c>
      <c r="D123" t="str">
        <f>IF(C33="Included","Yes","NA")</f>
        <v>NA</v>
      </c>
      <c r="E123" t="s">
        <v>2207</v>
      </c>
      <c r="G123" t="s">
        <v>11</v>
      </c>
    </row>
    <row r="124" spans="1:7" ht="15.75" thickBot="1">
      <c r="A124" t="s">
        <v>2370</v>
      </c>
      <c r="B124" t="s">
        <v>2371</v>
      </c>
      <c r="C124" s="203">
        <f>C121+C122+C123</f>
        <v>73.75288333333333</v>
      </c>
      <c r="D124" t="str">
        <f>IF(C33="Included","Yes","NA")</f>
        <v>NA</v>
      </c>
      <c r="F124" t="s">
        <v>2372</v>
      </c>
      <c r="G124" t="s">
        <v>11</v>
      </c>
    </row>
    <row r="125" spans="1:7" ht="15.75" thickBot="1">
      <c r="A125" t="s">
        <v>2287</v>
      </c>
      <c r="B125" t="s">
        <v>2288</v>
      </c>
      <c r="C125" s="200">
        <v>28</v>
      </c>
      <c r="D125" t="str">
        <f>IF(C33="Included","Yes","NA")</f>
        <v>NA</v>
      </c>
      <c r="E125" t="s">
        <v>1241</v>
      </c>
      <c r="G125" t="s">
        <v>11</v>
      </c>
    </row>
    <row r="126" spans="1:7">
      <c r="A126" t="s">
        <v>2322</v>
      </c>
      <c r="B126" t="s">
        <v>2323</v>
      </c>
      <c r="C126">
        <v>0</v>
      </c>
      <c r="D126" t="str">
        <f>IF(C33="Included","Yes","NA")</f>
        <v>NA</v>
      </c>
      <c r="E126" t="s">
        <v>119</v>
      </c>
      <c r="G126" t="s">
        <v>11</v>
      </c>
    </row>
    <row r="127" spans="1:7">
      <c r="A127" t="s">
        <v>2324</v>
      </c>
      <c r="B127" t="s">
        <v>2325</v>
      </c>
      <c r="D127" t="str">
        <f>IF(C33="Included","Yes","NA")</f>
        <v>NA</v>
      </c>
      <c r="E127" t="s">
        <v>119</v>
      </c>
      <c r="G127" t="s">
        <v>11</v>
      </c>
    </row>
    <row r="128" spans="1:7">
      <c r="A128" t="s">
        <v>2293</v>
      </c>
      <c r="B128" t="s">
        <v>2294</v>
      </c>
      <c r="C128">
        <v>0</v>
      </c>
      <c r="D128" t="str">
        <f>IF(C33="Included","Yes","NA")</f>
        <v>NA</v>
      </c>
      <c r="E128" t="s">
        <v>119</v>
      </c>
      <c r="G128" t="s">
        <v>11</v>
      </c>
    </row>
    <row r="129" spans="1:7">
      <c r="A129" t="s">
        <v>2326</v>
      </c>
      <c r="B129" t="s">
        <v>2327</v>
      </c>
      <c r="D129" t="str">
        <f>IF(C33="Included","Yes","NA")</f>
        <v>NA</v>
      </c>
      <c r="E129" t="s">
        <v>119</v>
      </c>
      <c r="G129" t="s">
        <v>11</v>
      </c>
    </row>
    <row r="130" spans="1:7">
      <c r="A130" t="s">
        <v>2373</v>
      </c>
      <c r="B130" t="s">
        <v>2374</v>
      </c>
      <c r="C130" s="17">
        <f>C125*C126*C127*C128*C129</f>
        <v>0</v>
      </c>
      <c r="D130" t="str">
        <f>IF(C33="Included","Yes","NA")</f>
        <v>NA</v>
      </c>
      <c r="E130" t="s">
        <v>2168</v>
      </c>
      <c r="G130" t="s">
        <v>11</v>
      </c>
    </row>
    <row r="131" spans="1:7">
      <c r="A131" t="s">
        <v>2375</v>
      </c>
      <c r="B131" t="s">
        <v>2376</v>
      </c>
      <c r="C131" s="17">
        <f>'Tool 05.1'!G16</f>
        <v>0.39375000000000004</v>
      </c>
      <c r="D131" t="str">
        <f>IF(C33="Included","Yes","NA")</f>
        <v>NA</v>
      </c>
      <c r="E131" t="s">
        <v>2207</v>
      </c>
      <c r="G131" t="s">
        <v>11</v>
      </c>
    </row>
    <row r="132" spans="1:7">
      <c r="A132" t="s">
        <v>2377</v>
      </c>
      <c r="B132" t="s">
        <v>2378</v>
      </c>
      <c r="C132" s="17">
        <f>'Tool 03'!G3</f>
        <v>73.333333333333329</v>
      </c>
      <c r="D132" t="str">
        <f>IF(C33="Included","Yes","NA")</f>
        <v>NA</v>
      </c>
      <c r="E132" t="s">
        <v>2207</v>
      </c>
      <c r="G132" t="s">
        <v>11</v>
      </c>
    </row>
    <row r="133" spans="1:7">
      <c r="A133" t="s">
        <v>2379</v>
      </c>
      <c r="B133" t="s">
        <v>2380</v>
      </c>
      <c r="C133" s="17">
        <f>'Tool 04 - SWDS-Yearly'!C86</f>
        <v>10.136870643302116</v>
      </c>
      <c r="D133" t="str">
        <f>IF(C33="Included","Yes","NA")</f>
        <v>NA</v>
      </c>
      <c r="E133" t="s">
        <v>2207</v>
      </c>
      <c r="G133" t="s">
        <v>11</v>
      </c>
    </row>
    <row r="134" spans="1:7">
      <c r="A134" t="s">
        <v>2381</v>
      </c>
      <c r="B134" t="s">
        <v>2382</v>
      </c>
      <c r="C134" s="17">
        <f>'Tool 13'!G65</f>
        <v>10.136870643302116</v>
      </c>
      <c r="D134" t="str">
        <f>IF(C33="Included","Yes","NA")</f>
        <v>NA</v>
      </c>
      <c r="E134" t="s">
        <v>2207</v>
      </c>
      <c r="G134" t="s">
        <v>11</v>
      </c>
    </row>
    <row r="135" spans="1:7" ht="15.75" thickBot="1">
      <c r="A135" t="s">
        <v>2383</v>
      </c>
      <c r="B135" t="s">
        <v>2384</v>
      </c>
      <c r="C135" s="17">
        <v>10</v>
      </c>
      <c r="D135" t="str">
        <f>IF(C33="Included","Yes","NA")</f>
        <v>NA</v>
      </c>
      <c r="E135" t="s">
        <v>2207</v>
      </c>
      <c r="G135" t="s">
        <v>11</v>
      </c>
    </row>
    <row r="136" spans="1:7" s="201" customFormat="1" ht="16.5" thickTop="1" thickBot="1">
      <c r="A136" s="201" t="s">
        <v>2362</v>
      </c>
      <c r="B136" s="201" t="s">
        <v>2385</v>
      </c>
      <c r="C136" s="202">
        <f>C131+C132+C133+C134+C135+C130+C124</f>
        <v>177.75370795327089</v>
      </c>
      <c r="D136" s="201" t="str">
        <f>IF(C33="Included","Yes","NA")</f>
        <v>NA</v>
      </c>
      <c r="E136" s="201" t="s">
        <v>2168</v>
      </c>
      <c r="G136" s="201" t="s">
        <v>1796</v>
      </c>
    </row>
    <row r="137" spans="1:7" s="209" customFormat="1" ht="37.9" customHeight="1" thickTop="1">
      <c r="B137" s="210" t="s">
        <v>2386</v>
      </c>
      <c r="F137" s="209" t="s">
        <v>2387</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7B78240C-A14F-4B68-91A1-23350E737F07}">
          <x14:formula1>
            <xm:f>'Tool 16 - Dropdown Items'!$K$2:$K$5</xm:f>
          </x14:formula1>
          <xm:sqref>C31</xm:sqref>
        </x14:dataValidation>
        <x14:dataValidation type="list" allowBlank="1" showInputMessage="1" showErrorMessage="1" xr:uid="{4CC36F0A-9991-4A42-AD37-0FEEB8BE819E}">
          <x14:formula1>
            <xm:f>'Tool 16 - Dropdown Items'!$I$2:$I$5</xm:f>
          </x14:formula1>
          <xm:sqref>C26 C20</xm:sqref>
        </x14:dataValidation>
        <x14:dataValidation type="list" allowBlank="1" showInputMessage="1" showErrorMessage="1" xr:uid="{86EFD0A0-7B71-48F0-8122-08C9727940CA}">
          <x14:formula1>
            <xm:f>'Tool 16 - Dropdown Items'!$B$2:$B$3</xm:f>
          </x14:formula1>
          <xm:sqref>C32:C33 C19 C21:C30</xm:sqref>
        </x14:dataValidation>
        <x14:dataValidation type="list" allowBlank="1" showInputMessage="1" showErrorMessage="1" xr:uid="{E721BF92-6A91-4088-BA5E-081C2A7AC4A6}">
          <x14:formula1>
            <xm:f>'Tool 16 - Dropdown Items'!$J$2:$J$4</xm:f>
          </x14:formula1>
          <xm:sqref>C3</xm:sqref>
        </x14:dataValidation>
        <x14:dataValidation type="list" allowBlank="1" showInputMessage="1" showErrorMessage="1" xr:uid="{AFF74E72-1D20-4C49-A9AA-2E7BB2AF89FD}">
          <x14:formula1>
            <xm:f>'Tool 16 - Dropdown Items'!$E$2:$E$3</xm:f>
          </x14:formula1>
          <xm:sqref>C69</xm:sqref>
        </x14:dataValidation>
        <x14:dataValidation type="list" allowBlank="1" showInputMessage="1" showErrorMessage="1" xr:uid="{4F52A307-6BD5-460F-B929-8EBDB7A7020D}">
          <x14:formula1>
            <xm:f>'Tool 16 - Dropdown Items'!$C$2:$C$3</xm:f>
          </x14:formula1>
          <xm:sqref>C4:C12 C15 C26 C28:C29</xm:sqref>
        </x14:dataValidation>
        <x14:dataValidation type="list" allowBlank="1" showInputMessage="1" showErrorMessage="1" xr:uid="{55CAEF14-A083-4516-8103-935D93EFBBB8}">
          <x14:formula1>
            <xm:f>'Tool 16 - Dropdown Items'!$A$2:$A$3</xm:f>
          </x14:formula1>
          <xm:sqref>C18</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A999-C461-4197-A8AE-1A510110496F}">
  <sheetPr codeName="Sheet31"/>
  <dimension ref="A1:B13"/>
  <sheetViews>
    <sheetView workbookViewId="0">
      <selection activeCell="C107" sqref="C107"/>
    </sheetView>
  </sheetViews>
  <sheetFormatPr defaultRowHeight="15"/>
  <cols>
    <col min="1" max="1" width="33" customWidth="1"/>
    <col min="2" max="2" width="31.5703125" customWidth="1"/>
    <col min="3" max="3" width="26.28515625" customWidth="1"/>
  </cols>
  <sheetData>
    <row r="1" spans="1:2" s="212" customFormat="1">
      <c r="A1" s="324" t="s">
        <v>2388</v>
      </c>
      <c r="B1" s="325"/>
    </row>
    <row r="2" spans="1:2">
      <c r="A2" t="s">
        <v>2190</v>
      </c>
      <c r="B2" s="17" t="e">
        <f>'Tool 16'!C71</f>
        <v>#VALUE!</v>
      </c>
    </row>
    <row r="3" spans="1:2">
      <c r="A3" s="213" t="s">
        <v>2266</v>
      </c>
      <c r="B3" s="214" t="str">
        <f>'Tool 16'!C73</f>
        <v>Parameter PEtr,m from Tool 12</v>
      </c>
    </row>
    <row r="4" spans="1:2">
      <c r="A4" s="213" t="s">
        <v>2270</v>
      </c>
      <c r="B4" s="214" t="str">
        <f>'Tool 16'!C74</f>
        <v>Parameter PEtr,m from Tool 12</v>
      </c>
    </row>
    <row r="5" spans="1:2">
      <c r="A5" s="213" t="s">
        <v>2312</v>
      </c>
      <c r="B5" s="214" t="e">
        <f>'Tool 16'!C91</f>
        <v>#VALUE!</v>
      </c>
    </row>
    <row r="6" spans="1:2">
      <c r="A6" s="213" t="s">
        <v>2340</v>
      </c>
      <c r="B6" s="214" t="e">
        <f>'Tool 16'!C107</f>
        <v>#VALUE!</v>
      </c>
    </row>
    <row r="7" spans="1:2" s="212" customFormat="1">
      <c r="A7" s="212" t="s">
        <v>2389</v>
      </c>
      <c r="B7" s="203" t="e">
        <f>SUM(B2:B6)</f>
        <v>#VALUE!</v>
      </c>
    </row>
    <row r="8" spans="1:2">
      <c r="A8" s="324" t="s">
        <v>2390</v>
      </c>
      <c r="B8" s="324"/>
    </row>
    <row r="9" spans="1:2">
      <c r="A9" s="213" t="s">
        <v>2342</v>
      </c>
      <c r="B9" s="17">
        <f>'Tool 16'!C111</f>
        <v>0</v>
      </c>
    </row>
    <row r="10" spans="1:2">
      <c r="A10" s="213" t="s">
        <v>2347</v>
      </c>
      <c r="B10" s="17">
        <f>'Tool 16'!C116</f>
        <v>1</v>
      </c>
    </row>
    <row r="11" spans="1:2">
      <c r="A11" s="213" t="s">
        <v>2359</v>
      </c>
      <c r="B11" s="17" t="str">
        <f>'Tool 16'!C119</f>
        <v>Parameter LEtr,m from Tool 12</v>
      </c>
    </row>
    <row r="12" spans="1:2">
      <c r="A12" s="213" t="s">
        <v>2362</v>
      </c>
      <c r="B12" s="17">
        <f>'Tool 16'!C136</f>
        <v>177.75370795327089</v>
      </c>
    </row>
    <row r="13" spans="1:2" s="212" customFormat="1" ht="15" customHeight="1">
      <c r="A13" s="212" t="s">
        <v>2389</v>
      </c>
      <c r="B13" s="203">
        <f>SUM(B9:B12)</f>
        <v>178.75370795327089</v>
      </c>
    </row>
  </sheetData>
  <mergeCells count="2">
    <mergeCell ref="A1:B1"/>
    <mergeCell ref="A8:B8"/>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EEB5-043C-48E9-91DA-60145FC495E8}">
  <sheetPr codeName="Sheet32"/>
  <dimension ref="A1:K7"/>
  <sheetViews>
    <sheetView topLeftCell="C107" workbookViewId="0">
      <selection activeCell="C107" sqref="C107"/>
    </sheetView>
  </sheetViews>
  <sheetFormatPr defaultRowHeight="15"/>
  <cols>
    <col min="1" max="1" width="25.85546875" customWidth="1"/>
    <col min="2" max="2" width="20.7109375" customWidth="1"/>
    <col min="3" max="3" width="13.28515625" customWidth="1"/>
    <col min="4" max="4" width="43.42578125" customWidth="1"/>
    <col min="5" max="5" width="13.7109375" customWidth="1"/>
    <col min="6" max="6" width="41.7109375" customWidth="1"/>
    <col min="7" max="7" width="32.7109375" customWidth="1"/>
    <col min="9" max="9" width="34.7109375" customWidth="1"/>
  </cols>
  <sheetData>
    <row r="1" spans="1:11" s="212" customFormat="1">
      <c r="A1" s="212" t="s">
        <v>1913</v>
      </c>
      <c r="B1" s="212" t="s">
        <v>2391</v>
      </c>
      <c r="C1" s="212" t="s">
        <v>1812</v>
      </c>
      <c r="D1" s="212" t="s">
        <v>2392</v>
      </c>
      <c r="E1" s="212" t="s">
        <v>2393</v>
      </c>
      <c r="F1" s="212" t="s">
        <v>2394</v>
      </c>
      <c r="G1" s="212" t="s">
        <v>2395</v>
      </c>
      <c r="H1" s="212" t="s">
        <v>2396</v>
      </c>
      <c r="I1" s="212" t="s">
        <v>2397</v>
      </c>
      <c r="J1" s="212" t="s">
        <v>2398</v>
      </c>
      <c r="K1" s="212" t="s">
        <v>2399</v>
      </c>
    </row>
    <row r="2" spans="1:11">
      <c r="A2" t="s">
        <v>1254</v>
      </c>
      <c r="B2" t="s">
        <v>2171</v>
      </c>
      <c r="C2" t="s">
        <v>10</v>
      </c>
      <c r="D2" t="s">
        <v>2400</v>
      </c>
      <c r="E2">
        <v>7</v>
      </c>
      <c r="F2" t="s">
        <v>2401</v>
      </c>
      <c r="G2" t="s">
        <v>2402</v>
      </c>
      <c r="H2" t="s">
        <v>2403</v>
      </c>
      <c r="I2" t="s">
        <v>2404</v>
      </c>
      <c r="J2" t="s">
        <v>2405</v>
      </c>
      <c r="K2" t="s">
        <v>2406</v>
      </c>
    </row>
    <row r="3" spans="1:11">
      <c r="A3" t="s">
        <v>1255</v>
      </c>
      <c r="B3" t="s">
        <v>2154</v>
      </c>
      <c r="C3" t="s">
        <v>11</v>
      </c>
      <c r="D3" t="s">
        <v>2407</v>
      </c>
      <c r="E3">
        <v>10</v>
      </c>
      <c r="F3" t="s">
        <v>2408</v>
      </c>
      <c r="G3" t="s">
        <v>2409</v>
      </c>
      <c r="H3" t="s">
        <v>2410</v>
      </c>
      <c r="I3" t="s">
        <v>2411</v>
      </c>
      <c r="J3" t="s">
        <v>2149</v>
      </c>
      <c r="K3" t="s">
        <v>2412</v>
      </c>
    </row>
    <row r="4" spans="1:11">
      <c r="F4" t="s">
        <v>2413</v>
      </c>
      <c r="G4" t="s">
        <v>2414</v>
      </c>
      <c r="H4" t="s">
        <v>2415</v>
      </c>
      <c r="I4" t="s">
        <v>2173</v>
      </c>
      <c r="K4" t="s">
        <v>2416</v>
      </c>
    </row>
    <row r="5" spans="1:11">
      <c r="F5" t="s">
        <v>2417</v>
      </c>
      <c r="G5" t="s">
        <v>2418</v>
      </c>
      <c r="H5" t="s">
        <v>2419</v>
      </c>
      <c r="I5" t="s">
        <v>2420</v>
      </c>
      <c r="K5" t="s">
        <v>2187</v>
      </c>
    </row>
    <row r="6" spans="1:11">
      <c r="F6" t="s">
        <v>2421</v>
      </c>
      <c r="G6" t="s">
        <v>1151</v>
      </c>
    </row>
    <row r="7" spans="1:11">
      <c r="G7" t="s">
        <v>2422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D6C8-5728-4BBA-A2BE-B1F309FF3397}">
  <sheetPr codeName="Sheet33"/>
  <dimension ref="A1"/>
  <sheetViews>
    <sheetView topLeftCell="A16" workbookViewId="0">
      <selection activeCell="C107" sqref="C107"/>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B2D-A464-4CFB-8CE3-A26B1D45DEBE}">
  <sheetPr codeName="Sheet3"/>
  <dimension ref="A1:H83"/>
  <sheetViews>
    <sheetView workbookViewId="0">
      <pane ySplit="1" topLeftCell="A25" activePane="bottomLeft" state="frozen"/>
      <selection pane="bottomLeft" activeCell="A18" sqref="A18:H18"/>
    </sheetView>
  </sheetViews>
  <sheetFormatPr defaultRowHeight="15"/>
  <cols>
    <col min="1" max="1" width="11.28515625" customWidth="1"/>
    <col min="2" max="2" width="13.28515625" customWidth="1"/>
    <col min="3" max="3" width="11.140625" customWidth="1"/>
    <col min="4" max="4" width="10.28515625" customWidth="1"/>
    <col min="5" max="5" width="26.42578125" customWidth="1"/>
    <col min="6" max="6" width="59" customWidth="1"/>
    <col min="7" max="7" width="26" customWidth="1"/>
    <col min="8" max="8" width="81" customWidth="1"/>
  </cols>
  <sheetData>
    <row r="1" spans="1:8" ht="39.75" customHeight="1">
      <c r="A1" s="6" t="s">
        <v>0</v>
      </c>
      <c r="B1" s="6" t="s">
        <v>1</v>
      </c>
      <c r="C1" s="5" t="s">
        <v>2</v>
      </c>
      <c r="D1" s="6" t="s">
        <v>3</v>
      </c>
      <c r="E1" s="6" t="s">
        <v>5</v>
      </c>
      <c r="F1" s="1" t="s">
        <v>6</v>
      </c>
      <c r="G1" s="1" t="s">
        <v>7</v>
      </c>
      <c r="H1" s="5" t="s">
        <v>8</v>
      </c>
    </row>
    <row r="2" spans="1:8" s="4" customFormat="1" ht="39" customHeight="1">
      <c r="A2" s="303" t="s">
        <v>1032</v>
      </c>
      <c r="B2" s="303"/>
      <c r="C2" s="303"/>
      <c r="D2" s="303"/>
      <c r="E2" s="303"/>
      <c r="F2" s="303"/>
      <c r="G2" s="303"/>
      <c r="H2" s="303"/>
    </row>
    <row r="3" spans="1:8" ht="47.25" customHeight="1">
      <c r="A3" s="64" t="s">
        <v>10</v>
      </c>
      <c r="B3" s="60"/>
      <c r="C3" s="64" t="s">
        <v>83</v>
      </c>
      <c r="D3" s="64" t="s">
        <v>1033</v>
      </c>
      <c r="E3" s="66" t="s">
        <v>1034</v>
      </c>
      <c r="F3" s="62" t="s">
        <v>1035</v>
      </c>
      <c r="G3" s="67" t="s">
        <v>11</v>
      </c>
      <c r="H3" s="62" t="s">
        <v>1036</v>
      </c>
    </row>
    <row r="4" spans="1:8" ht="47.25" customHeight="1">
      <c r="A4" s="33" t="s">
        <v>10</v>
      </c>
      <c r="B4" s="2"/>
      <c r="C4" s="33" t="s">
        <v>118</v>
      </c>
      <c r="D4" s="33" t="s">
        <v>1037</v>
      </c>
      <c r="E4" s="34"/>
      <c r="F4" s="9" t="s">
        <v>1038</v>
      </c>
      <c r="G4" s="35" t="s">
        <v>1039</v>
      </c>
      <c r="H4" s="9" t="s">
        <v>1040</v>
      </c>
    </row>
    <row r="5" spans="1:8" ht="30.75" customHeight="1">
      <c r="A5" s="311" t="s">
        <v>1041</v>
      </c>
      <c r="B5" s="311"/>
      <c r="C5" s="311"/>
      <c r="D5" s="311"/>
      <c r="E5" s="311"/>
      <c r="F5" s="311"/>
      <c r="G5" s="311"/>
      <c r="H5" s="311"/>
    </row>
    <row r="6" spans="1:8" ht="37.5">
      <c r="A6" s="64" t="s">
        <v>10</v>
      </c>
      <c r="B6" s="60"/>
      <c r="C6" s="64" t="s">
        <v>83</v>
      </c>
      <c r="D6" s="64" t="s">
        <v>1033</v>
      </c>
      <c r="E6" s="66" t="s">
        <v>1042</v>
      </c>
      <c r="F6" s="62" t="s">
        <v>1043</v>
      </c>
      <c r="G6" s="67" t="s">
        <v>10</v>
      </c>
      <c r="H6" s="62" t="s">
        <v>1044</v>
      </c>
    </row>
    <row r="7" spans="1:8" ht="60">
      <c r="A7" s="33" t="s">
        <v>10</v>
      </c>
      <c r="B7" s="2"/>
      <c r="C7" s="33" t="s">
        <v>118</v>
      </c>
      <c r="D7" s="33" t="s">
        <v>1037</v>
      </c>
      <c r="E7" s="34"/>
      <c r="F7" s="9" t="s">
        <v>1038</v>
      </c>
      <c r="G7" s="9" t="s">
        <v>1045</v>
      </c>
      <c r="H7" s="9" t="s">
        <v>1040</v>
      </c>
    </row>
    <row r="8" spans="1:8" ht="60">
      <c r="A8" s="64" t="s">
        <v>10</v>
      </c>
      <c r="B8" s="60"/>
      <c r="C8" s="64" t="s">
        <v>83</v>
      </c>
      <c r="D8" s="64" t="s">
        <v>1033</v>
      </c>
      <c r="E8" s="66" t="s">
        <v>1046</v>
      </c>
      <c r="F8" s="62" t="s">
        <v>1047</v>
      </c>
      <c r="G8" s="67" t="s">
        <v>11</v>
      </c>
      <c r="H8" s="68" t="s">
        <v>1048</v>
      </c>
    </row>
    <row r="9" spans="1:8" ht="75">
      <c r="A9" s="33" t="s">
        <v>10</v>
      </c>
      <c r="B9" s="2"/>
      <c r="C9" s="33" t="s">
        <v>118</v>
      </c>
      <c r="D9" s="33" t="s">
        <v>1037</v>
      </c>
      <c r="E9" s="34"/>
      <c r="F9" s="9" t="s">
        <v>1038</v>
      </c>
      <c r="G9" s="9" t="s">
        <v>1049</v>
      </c>
      <c r="H9" s="9" t="s">
        <v>1040</v>
      </c>
    </row>
    <row r="10" spans="1:8" ht="37.5">
      <c r="A10" s="64" t="s">
        <v>10</v>
      </c>
      <c r="B10" s="60"/>
      <c r="C10" s="64" t="s">
        <v>83</v>
      </c>
      <c r="D10" s="64" t="s">
        <v>1033</v>
      </c>
      <c r="E10" s="66" t="s">
        <v>1050</v>
      </c>
      <c r="F10" s="62" t="s">
        <v>1051</v>
      </c>
      <c r="G10" s="63" t="s">
        <v>11</v>
      </c>
      <c r="H10" s="68" t="s">
        <v>1052</v>
      </c>
    </row>
    <row r="11" spans="1:8" ht="30">
      <c r="A11" s="33" t="s">
        <v>10</v>
      </c>
      <c r="B11" s="2"/>
      <c r="C11" s="33" t="s">
        <v>118</v>
      </c>
      <c r="D11" s="33" t="s">
        <v>1037</v>
      </c>
      <c r="E11" s="34"/>
      <c r="F11" s="9" t="s">
        <v>1038</v>
      </c>
      <c r="G11" s="9" t="s">
        <v>1039</v>
      </c>
      <c r="H11" s="9" t="s">
        <v>1053</v>
      </c>
    </row>
    <row r="12" spans="1:8" ht="45">
      <c r="A12" s="64" t="s">
        <v>10</v>
      </c>
      <c r="B12" s="60"/>
      <c r="C12" s="64" t="s">
        <v>83</v>
      </c>
      <c r="D12" s="64" t="s">
        <v>1033</v>
      </c>
      <c r="E12" s="66" t="s">
        <v>1054</v>
      </c>
      <c r="F12" s="62" t="s">
        <v>1055</v>
      </c>
      <c r="G12" s="63" t="s">
        <v>10</v>
      </c>
      <c r="H12" s="62" t="s">
        <v>1056</v>
      </c>
    </row>
    <row r="13" spans="1:8" ht="60">
      <c r="A13" s="33" t="s">
        <v>10</v>
      </c>
      <c r="B13" s="2"/>
      <c r="C13" s="33" t="s">
        <v>118</v>
      </c>
      <c r="D13" s="33" t="s">
        <v>1037</v>
      </c>
      <c r="E13" s="34"/>
      <c r="F13" s="9" t="s">
        <v>1038</v>
      </c>
      <c r="G13" s="9" t="s">
        <v>1057</v>
      </c>
      <c r="H13" s="9" t="s">
        <v>1040</v>
      </c>
    </row>
    <row r="14" spans="1:8" ht="37.5">
      <c r="A14" s="64" t="s">
        <v>10</v>
      </c>
      <c r="B14" s="60"/>
      <c r="C14" s="64" t="s">
        <v>83</v>
      </c>
      <c r="D14" s="64" t="s">
        <v>1033</v>
      </c>
      <c r="E14" s="66" t="s">
        <v>1058</v>
      </c>
      <c r="F14" s="62" t="s">
        <v>1059</v>
      </c>
      <c r="G14" s="63" t="s">
        <v>10</v>
      </c>
      <c r="H14" s="62" t="s">
        <v>1060</v>
      </c>
    </row>
    <row r="15" spans="1:8" ht="75">
      <c r="A15" s="33" t="s">
        <v>10</v>
      </c>
      <c r="B15" s="2"/>
      <c r="C15" s="33" t="s">
        <v>118</v>
      </c>
      <c r="D15" s="33" t="s">
        <v>1037</v>
      </c>
      <c r="E15" s="34"/>
      <c r="F15" s="9" t="s">
        <v>1038</v>
      </c>
      <c r="G15" s="9" t="s">
        <v>1061</v>
      </c>
      <c r="H15" s="9" t="s">
        <v>1040</v>
      </c>
    </row>
    <row r="16" spans="1:8" ht="37.5">
      <c r="A16" s="64" t="s">
        <v>10</v>
      </c>
      <c r="B16" s="60"/>
      <c r="C16" s="64" t="s">
        <v>83</v>
      </c>
      <c r="D16" s="64" t="s">
        <v>1033</v>
      </c>
      <c r="E16" s="66" t="s">
        <v>1062</v>
      </c>
      <c r="F16" s="62" t="s">
        <v>1063</v>
      </c>
      <c r="G16" s="62" t="s">
        <v>10</v>
      </c>
      <c r="H16" s="62" t="s">
        <v>1064</v>
      </c>
    </row>
    <row r="17" spans="1:8" ht="99" customHeight="1">
      <c r="A17" s="64" t="s">
        <v>10</v>
      </c>
      <c r="B17" s="60"/>
      <c r="C17" s="64" t="s">
        <v>118</v>
      </c>
      <c r="D17" s="64" t="s">
        <v>1033</v>
      </c>
      <c r="E17" s="69" t="s">
        <v>1065</v>
      </c>
      <c r="F17" s="62" t="s">
        <v>1066</v>
      </c>
      <c r="G17" s="62" t="s">
        <v>10</v>
      </c>
      <c r="H17" s="62" t="s">
        <v>1067</v>
      </c>
    </row>
    <row r="18" spans="1:8" ht="18.75">
      <c r="A18" s="33" t="s">
        <v>10</v>
      </c>
      <c r="B18" s="2"/>
      <c r="C18" s="33" t="s">
        <v>118</v>
      </c>
      <c r="D18" s="33" t="s">
        <v>1037</v>
      </c>
      <c r="E18" s="34"/>
      <c r="F18" s="9" t="s">
        <v>1038</v>
      </c>
      <c r="G18" s="35" t="s">
        <v>1039</v>
      </c>
      <c r="H18" s="9" t="s">
        <v>1040</v>
      </c>
    </row>
    <row r="19" spans="1:8" ht="45">
      <c r="A19" s="64" t="s">
        <v>10</v>
      </c>
      <c r="B19" s="60"/>
      <c r="C19" s="64" t="s">
        <v>83</v>
      </c>
      <c r="D19" s="64" t="s">
        <v>1033</v>
      </c>
      <c r="E19" s="69" t="s">
        <v>1068</v>
      </c>
      <c r="F19" s="62" t="s">
        <v>1069</v>
      </c>
      <c r="G19" s="63" t="s">
        <v>10</v>
      </c>
      <c r="H19" s="62" t="s">
        <v>1070</v>
      </c>
    </row>
    <row r="20" spans="1:8" ht="18.75">
      <c r="A20" s="33" t="s">
        <v>10</v>
      </c>
      <c r="B20" s="2"/>
      <c r="C20" s="33" t="s">
        <v>118</v>
      </c>
      <c r="D20" s="33" t="s">
        <v>1037</v>
      </c>
      <c r="E20" s="34"/>
      <c r="F20" s="9" t="s">
        <v>1038</v>
      </c>
      <c r="G20" s="35" t="s">
        <v>1039</v>
      </c>
      <c r="H20" s="9" t="s">
        <v>1040</v>
      </c>
    </row>
    <row r="21" spans="1:8" ht="70.5" customHeight="1">
      <c r="A21" s="64" t="s">
        <v>10</v>
      </c>
      <c r="B21" s="60"/>
      <c r="C21" s="64" t="s">
        <v>83</v>
      </c>
      <c r="D21" s="64" t="s">
        <v>1033</v>
      </c>
      <c r="E21" s="66" t="s">
        <v>1071</v>
      </c>
      <c r="F21" s="62" t="s">
        <v>1063</v>
      </c>
      <c r="G21" s="62" t="s">
        <v>10</v>
      </c>
      <c r="H21" s="62" t="s">
        <v>1072</v>
      </c>
    </row>
    <row r="22" spans="1:8" ht="18.75">
      <c r="A22" s="33" t="s">
        <v>10</v>
      </c>
      <c r="B22" s="2"/>
      <c r="C22" s="33" t="s">
        <v>118</v>
      </c>
      <c r="D22" s="33" t="s">
        <v>1037</v>
      </c>
      <c r="E22" s="34"/>
      <c r="F22" s="9" t="s">
        <v>1038</v>
      </c>
      <c r="G22" s="35" t="s">
        <v>1039</v>
      </c>
      <c r="H22" s="9" t="s">
        <v>1040</v>
      </c>
    </row>
    <row r="23" spans="1:8" ht="47.25" customHeight="1">
      <c r="A23" s="64" t="s">
        <v>10</v>
      </c>
      <c r="B23" s="60"/>
      <c r="C23" s="64" t="s">
        <v>83</v>
      </c>
      <c r="D23" s="64" t="s">
        <v>1033</v>
      </c>
      <c r="E23" s="66" t="s">
        <v>1073</v>
      </c>
      <c r="F23" s="62" t="s">
        <v>1074</v>
      </c>
      <c r="G23" s="63" t="s">
        <v>10</v>
      </c>
      <c r="H23" s="62" t="s">
        <v>1075</v>
      </c>
    </row>
    <row r="24" spans="1:8" ht="18.75">
      <c r="A24" s="33" t="s">
        <v>10</v>
      </c>
      <c r="B24" s="2"/>
      <c r="C24" s="33" t="s">
        <v>118</v>
      </c>
      <c r="D24" s="33" t="s">
        <v>1037</v>
      </c>
      <c r="E24" s="34"/>
      <c r="F24" s="9" t="s">
        <v>1038</v>
      </c>
      <c r="G24" s="35" t="s">
        <v>1039</v>
      </c>
      <c r="H24" s="9" t="s">
        <v>1040</v>
      </c>
    </row>
    <row r="25" spans="1:8" ht="47.25" customHeight="1">
      <c r="A25" s="64" t="s">
        <v>10</v>
      </c>
      <c r="B25" s="60"/>
      <c r="C25" s="64" t="s">
        <v>83</v>
      </c>
      <c r="D25" s="64" t="s">
        <v>1033</v>
      </c>
      <c r="E25" s="66" t="s">
        <v>1076</v>
      </c>
      <c r="F25" s="62" t="s">
        <v>1077</v>
      </c>
      <c r="G25" s="63" t="s">
        <v>11</v>
      </c>
      <c r="H25" s="62" t="s">
        <v>1078</v>
      </c>
    </row>
    <row r="26" spans="1:8" ht="18.75">
      <c r="A26" s="33" t="s">
        <v>10</v>
      </c>
      <c r="B26" s="2"/>
      <c r="C26" s="33" t="s">
        <v>118</v>
      </c>
      <c r="D26" s="33" t="s">
        <v>1037</v>
      </c>
      <c r="E26" s="34"/>
      <c r="F26" s="9" t="s">
        <v>1038</v>
      </c>
      <c r="G26" s="35" t="s">
        <v>1039</v>
      </c>
      <c r="H26" s="9" t="s">
        <v>1040</v>
      </c>
    </row>
    <row r="27" spans="1:8" ht="33" customHeight="1">
      <c r="A27" s="311" t="s">
        <v>1079</v>
      </c>
      <c r="B27" s="311"/>
      <c r="C27" s="311"/>
      <c r="D27" s="311"/>
      <c r="E27" s="311"/>
      <c r="F27" s="311"/>
      <c r="G27" s="311"/>
      <c r="H27" s="311"/>
    </row>
    <row r="28" spans="1:8" ht="74.25" customHeight="1">
      <c r="A28" s="2"/>
      <c r="B28" s="2"/>
      <c r="C28" s="3"/>
      <c r="D28" s="2"/>
      <c r="E28" s="10"/>
      <c r="F28" s="9"/>
      <c r="G28" s="4"/>
    </row>
    <row r="62" spans="1:8" ht="92.25" customHeight="1"/>
    <row r="63" spans="1:8" ht="33" customHeight="1">
      <c r="A63" s="311" t="s">
        <v>1080</v>
      </c>
      <c r="B63" s="311"/>
      <c r="C63" s="311"/>
      <c r="D63" s="311"/>
      <c r="E63" s="311"/>
      <c r="F63" s="311"/>
      <c r="G63" s="311"/>
      <c r="H63" s="311"/>
    </row>
    <row r="64" spans="1:8" ht="37.5">
      <c r="A64" s="64" t="s">
        <v>10</v>
      </c>
      <c r="B64" s="60"/>
      <c r="C64" s="64" t="s">
        <v>83</v>
      </c>
      <c r="D64" s="64" t="s">
        <v>1033</v>
      </c>
      <c r="E64" s="66" t="s">
        <v>1042</v>
      </c>
      <c r="F64" s="62" t="s">
        <v>1043</v>
      </c>
      <c r="G64" s="67" t="s">
        <v>10</v>
      </c>
      <c r="H64" s="62" t="s">
        <v>1081</v>
      </c>
    </row>
    <row r="65" spans="1:8" ht="60">
      <c r="A65" s="33" t="s">
        <v>10</v>
      </c>
      <c r="B65" s="2"/>
      <c r="C65" s="33" t="s">
        <v>118</v>
      </c>
      <c r="D65" s="33" t="s">
        <v>1037</v>
      </c>
      <c r="E65" s="34"/>
      <c r="F65" s="9" t="s">
        <v>1038</v>
      </c>
      <c r="G65" s="9" t="s">
        <v>1045</v>
      </c>
      <c r="H65" s="9" t="s">
        <v>1040</v>
      </c>
    </row>
    <row r="66" spans="1:8" ht="60">
      <c r="A66" s="64" t="s">
        <v>10</v>
      </c>
      <c r="B66" s="60"/>
      <c r="C66" s="64" t="s">
        <v>83</v>
      </c>
      <c r="D66" s="64" t="s">
        <v>1033</v>
      </c>
      <c r="E66" s="66" t="s">
        <v>1046</v>
      </c>
      <c r="F66" s="62" t="s">
        <v>1047</v>
      </c>
      <c r="G66" s="67" t="s">
        <v>11</v>
      </c>
      <c r="H66" s="68" t="s">
        <v>1048</v>
      </c>
    </row>
    <row r="67" spans="1:8" ht="75">
      <c r="A67" s="33" t="s">
        <v>10</v>
      </c>
      <c r="B67" s="2"/>
      <c r="C67" s="33" t="s">
        <v>118</v>
      </c>
      <c r="D67" s="33" t="s">
        <v>1037</v>
      </c>
      <c r="E67" s="34"/>
      <c r="F67" s="9" t="s">
        <v>1038</v>
      </c>
      <c r="G67" s="9" t="s">
        <v>1049</v>
      </c>
      <c r="H67" s="9" t="s">
        <v>1040</v>
      </c>
    </row>
    <row r="68" spans="1:8" ht="37.5">
      <c r="A68" s="64" t="s">
        <v>10</v>
      </c>
      <c r="B68" s="60"/>
      <c r="C68" s="64" t="s">
        <v>83</v>
      </c>
      <c r="D68" s="64" t="s">
        <v>1033</v>
      </c>
      <c r="E68" s="66" t="s">
        <v>1050</v>
      </c>
      <c r="F68" s="62" t="s">
        <v>1051</v>
      </c>
      <c r="G68" s="63" t="s">
        <v>11</v>
      </c>
      <c r="H68" s="68" t="s">
        <v>1052</v>
      </c>
    </row>
    <row r="69" spans="1:8" ht="30">
      <c r="A69" s="33" t="s">
        <v>10</v>
      </c>
      <c r="B69" s="2"/>
      <c r="C69" s="33" t="s">
        <v>118</v>
      </c>
      <c r="D69" s="33" t="s">
        <v>1037</v>
      </c>
      <c r="E69" s="34"/>
      <c r="F69" s="9" t="s">
        <v>1038</v>
      </c>
      <c r="G69" s="9" t="s">
        <v>1039</v>
      </c>
      <c r="H69" s="9" t="s">
        <v>1053</v>
      </c>
    </row>
    <row r="70" spans="1:8" ht="45">
      <c r="A70" s="64" t="s">
        <v>10</v>
      </c>
      <c r="B70" s="60"/>
      <c r="C70" s="64" t="s">
        <v>83</v>
      </c>
      <c r="D70" s="64" t="s">
        <v>1033</v>
      </c>
      <c r="E70" s="66" t="s">
        <v>1054</v>
      </c>
      <c r="F70" s="62" t="s">
        <v>1055</v>
      </c>
      <c r="G70" s="63" t="s">
        <v>10</v>
      </c>
      <c r="H70" s="62" t="s">
        <v>1056</v>
      </c>
    </row>
    <row r="71" spans="1:8" ht="60">
      <c r="A71" s="33" t="s">
        <v>10</v>
      </c>
      <c r="B71" s="2"/>
      <c r="C71" s="33" t="s">
        <v>118</v>
      </c>
      <c r="D71" s="33" t="s">
        <v>1037</v>
      </c>
      <c r="E71" s="34"/>
      <c r="F71" s="9" t="s">
        <v>1038</v>
      </c>
      <c r="G71" s="9" t="s">
        <v>1057</v>
      </c>
      <c r="H71" s="9" t="s">
        <v>1040</v>
      </c>
    </row>
    <row r="72" spans="1:8" ht="37.5">
      <c r="A72" s="64" t="s">
        <v>10</v>
      </c>
      <c r="B72" s="60"/>
      <c r="C72" s="64" t="s">
        <v>83</v>
      </c>
      <c r="D72" s="64" t="s">
        <v>1033</v>
      </c>
      <c r="E72" s="66" t="s">
        <v>1058</v>
      </c>
      <c r="F72" s="62" t="s">
        <v>1059</v>
      </c>
      <c r="G72" s="63" t="s">
        <v>10</v>
      </c>
      <c r="H72" s="62" t="s">
        <v>1082</v>
      </c>
    </row>
    <row r="73" spans="1:8" ht="75">
      <c r="A73" s="33" t="s">
        <v>10</v>
      </c>
      <c r="B73" s="2"/>
      <c r="C73" s="33" t="s">
        <v>118</v>
      </c>
      <c r="D73" s="33" t="s">
        <v>1037</v>
      </c>
      <c r="E73" s="34"/>
      <c r="F73" s="9" t="s">
        <v>1038</v>
      </c>
      <c r="G73" s="9" t="s">
        <v>1061</v>
      </c>
      <c r="H73" s="9" t="s">
        <v>1040</v>
      </c>
    </row>
    <row r="74" spans="1:8" ht="37.5">
      <c r="A74" s="64" t="s">
        <v>10</v>
      </c>
      <c r="B74" s="60"/>
      <c r="C74" s="64" t="s">
        <v>83</v>
      </c>
      <c r="D74" s="64" t="s">
        <v>1033</v>
      </c>
      <c r="E74" s="66" t="s">
        <v>1062</v>
      </c>
      <c r="F74" s="62" t="s">
        <v>1063</v>
      </c>
      <c r="G74" s="62" t="s">
        <v>10</v>
      </c>
      <c r="H74" s="62" t="s">
        <v>1083</v>
      </c>
    </row>
    <row r="75" spans="1:8" ht="99" customHeight="1">
      <c r="A75" s="64" t="s">
        <v>10</v>
      </c>
      <c r="B75" s="60"/>
      <c r="C75" s="64" t="s">
        <v>83</v>
      </c>
      <c r="D75" s="64" t="s">
        <v>1033</v>
      </c>
      <c r="E75" s="69" t="s">
        <v>1084</v>
      </c>
      <c r="F75" s="62" t="s">
        <v>1066</v>
      </c>
      <c r="G75" s="62" t="s">
        <v>10</v>
      </c>
      <c r="H75" s="62" t="s">
        <v>1085</v>
      </c>
    </row>
    <row r="76" spans="1:8" ht="18.75">
      <c r="A76" s="33" t="s">
        <v>10</v>
      </c>
      <c r="B76" s="2"/>
      <c r="C76" s="33" t="s">
        <v>118</v>
      </c>
      <c r="D76" s="33" t="s">
        <v>1037</v>
      </c>
      <c r="E76" s="34"/>
      <c r="F76" s="9" t="s">
        <v>1038</v>
      </c>
      <c r="G76" s="35" t="s">
        <v>1039</v>
      </c>
      <c r="H76" s="9" t="s">
        <v>1040</v>
      </c>
    </row>
    <row r="77" spans="1:8" ht="45">
      <c r="A77" s="64" t="s">
        <v>10</v>
      </c>
      <c r="B77" s="60"/>
      <c r="C77" s="64" t="s">
        <v>83</v>
      </c>
      <c r="D77" s="64" t="s">
        <v>1033</v>
      </c>
      <c r="E77" s="69" t="s">
        <v>1086</v>
      </c>
      <c r="F77" s="62" t="s">
        <v>1069</v>
      </c>
      <c r="G77" s="63" t="s">
        <v>10</v>
      </c>
      <c r="H77" s="62" t="s">
        <v>1087</v>
      </c>
    </row>
    <row r="78" spans="1:8" ht="18.75">
      <c r="A78" s="33" t="s">
        <v>10</v>
      </c>
      <c r="B78" s="2"/>
      <c r="C78" s="33" t="s">
        <v>118</v>
      </c>
      <c r="D78" s="33" t="s">
        <v>1037</v>
      </c>
      <c r="E78" s="34"/>
      <c r="F78" s="9" t="s">
        <v>1038</v>
      </c>
      <c r="G78" s="35" t="s">
        <v>1039</v>
      </c>
      <c r="H78" s="9" t="s">
        <v>1040</v>
      </c>
    </row>
    <row r="79" spans="1:8" ht="70.5" customHeight="1">
      <c r="A79" s="64" t="s">
        <v>10</v>
      </c>
      <c r="B79" s="60"/>
      <c r="C79" s="64" t="s">
        <v>83</v>
      </c>
      <c r="D79" s="64" t="s">
        <v>1033</v>
      </c>
      <c r="E79" s="66" t="s">
        <v>1071</v>
      </c>
      <c r="F79" s="62" t="s">
        <v>1063</v>
      </c>
      <c r="G79" s="62" t="s">
        <v>10</v>
      </c>
      <c r="H79" s="62" t="s">
        <v>1088</v>
      </c>
    </row>
    <row r="80" spans="1:8" ht="18.75">
      <c r="A80" s="33" t="s">
        <v>10</v>
      </c>
      <c r="B80" s="2"/>
      <c r="C80" s="33" t="s">
        <v>118</v>
      </c>
      <c r="D80" s="33" t="s">
        <v>1037</v>
      </c>
      <c r="E80" s="34"/>
      <c r="F80" s="9" t="s">
        <v>1038</v>
      </c>
      <c r="G80" s="35" t="s">
        <v>1039</v>
      </c>
      <c r="H80" s="9" t="s">
        <v>1040</v>
      </c>
    </row>
    <row r="81" spans="1:8" ht="47.25" customHeight="1">
      <c r="A81" s="64" t="s">
        <v>10</v>
      </c>
      <c r="B81" s="60"/>
      <c r="C81" s="64" t="s">
        <v>83</v>
      </c>
      <c r="D81" s="64" t="s">
        <v>1033</v>
      </c>
      <c r="E81" s="66" t="s">
        <v>1089</v>
      </c>
      <c r="F81" s="62" t="s">
        <v>1074</v>
      </c>
      <c r="G81" s="63" t="s">
        <v>10</v>
      </c>
      <c r="H81" s="62" t="s">
        <v>1090</v>
      </c>
    </row>
    <row r="82" spans="1:8" ht="18.75">
      <c r="A82" s="33" t="s">
        <v>10</v>
      </c>
      <c r="B82" s="2"/>
      <c r="C82" s="33" t="s">
        <v>118</v>
      </c>
      <c r="D82" s="33" t="s">
        <v>1037</v>
      </c>
      <c r="E82" s="34"/>
      <c r="F82" s="9" t="s">
        <v>1038</v>
      </c>
      <c r="G82" s="35" t="s">
        <v>1039</v>
      </c>
      <c r="H82" s="9" t="s">
        <v>1040</v>
      </c>
    </row>
    <row r="83" spans="1:8" ht="33" customHeight="1">
      <c r="A83" s="311" t="s">
        <v>1091</v>
      </c>
      <c r="B83" s="311"/>
      <c r="C83" s="311"/>
      <c r="D83" s="311"/>
      <c r="E83" s="311"/>
      <c r="F83" s="311"/>
      <c r="G83" s="311"/>
      <c r="H83" s="311"/>
    </row>
  </sheetData>
  <mergeCells count="5">
    <mergeCell ref="A2:H2"/>
    <mergeCell ref="A5:H5"/>
    <mergeCell ref="A27:H27"/>
    <mergeCell ref="A63:H63"/>
    <mergeCell ref="A83:H83"/>
  </mergeCells>
  <phoneticPr fontId="7"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256C-F5F7-4DCB-A2EF-636E5D276F63}">
  <sheetPr codeName="Sheet4"/>
  <dimension ref="A1:H39"/>
  <sheetViews>
    <sheetView topLeftCell="A37" zoomScale="80" zoomScaleNormal="80" workbookViewId="0">
      <selection activeCell="G3" sqref="G3"/>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6" t="s">
        <v>0</v>
      </c>
      <c r="B1" s="6" t="s">
        <v>1</v>
      </c>
      <c r="C1" s="5" t="s">
        <v>2</v>
      </c>
      <c r="D1" s="6" t="s">
        <v>3</v>
      </c>
      <c r="E1" s="6" t="s">
        <v>5</v>
      </c>
      <c r="F1" s="1" t="s">
        <v>6</v>
      </c>
      <c r="G1" s="1" t="s">
        <v>7</v>
      </c>
      <c r="H1" s="5" t="s">
        <v>8</v>
      </c>
    </row>
    <row r="2" spans="1:8" ht="30" customHeight="1">
      <c r="A2" s="303" t="s">
        <v>1092</v>
      </c>
      <c r="B2" s="303"/>
      <c r="C2" s="303"/>
      <c r="D2" s="303"/>
      <c r="E2" s="303"/>
      <c r="F2" s="303"/>
      <c r="G2" s="303"/>
      <c r="H2" s="303"/>
    </row>
    <row r="3" spans="1:8" ht="30.75">
      <c r="A3" s="17" t="s">
        <v>11</v>
      </c>
      <c r="B3" s="17"/>
      <c r="C3" s="17" t="s">
        <v>11</v>
      </c>
      <c r="D3" s="17" t="s">
        <v>1093</v>
      </c>
      <c r="E3" s="14" t="s">
        <v>1094</v>
      </c>
      <c r="F3" s="84" t="s">
        <v>1095</v>
      </c>
      <c r="G3" s="16">
        <f>SUM((G11*G12),(G29*G30))</f>
        <v>73.333333333333329</v>
      </c>
      <c r="H3" s="16" t="s">
        <v>1096</v>
      </c>
    </row>
    <row r="4" spans="1:8" ht="46.5" customHeight="1">
      <c r="A4" s="303" t="s">
        <v>1097</v>
      </c>
      <c r="B4" s="303"/>
      <c r="C4" s="303"/>
      <c r="D4" s="303"/>
      <c r="E4" s="303"/>
      <c r="F4" s="303"/>
      <c r="G4" s="303"/>
      <c r="H4" s="303"/>
    </row>
    <row r="5" spans="1:8" ht="33" customHeight="1">
      <c r="A5" t="s">
        <v>10</v>
      </c>
      <c r="C5" t="s">
        <v>10</v>
      </c>
      <c r="D5" t="s">
        <v>12</v>
      </c>
      <c r="E5" s="79" t="s">
        <v>1098</v>
      </c>
      <c r="F5" s="81" t="s">
        <v>1099</v>
      </c>
      <c r="G5" t="s">
        <v>1100</v>
      </c>
    </row>
    <row r="6" spans="1:8">
      <c r="A6" t="s">
        <v>10</v>
      </c>
      <c r="C6" t="s">
        <v>10</v>
      </c>
      <c r="D6" t="s">
        <v>12</v>
      </c>
      <c r="F6" s="81" t="s">
        <v>1101</v>
      </c>
      <c r="G6" t="s">
        <v>1102</v>
      </c>
    </row>
    <row r="7" spans="1:8" ht="75">
      <c r="A7" s="77" t="s">
        <v>10</v>
      </c>
      <c r="B7" s="77"/>
      <c r="C7" s="77" t="s">
        <v>10</v>
      </c>
      <c r="D7" s="77" t="s">
        <v>1103</v>
      </c>
      <c r="E7" s="77"/>
      <c r="F7" s="82" t="s">
        <v>1104</v>
      </c>
      <c r="G7" s="77" t="s">
        <v>1105</v>
      </c>
      <c r="H7" s="78" t="s">
        <v>1106</v>
      </c>
    </row>
    <row r="8" spans="1:8" ht="30">
      <c r="A8" s="77" t="s">
        <v>10</v>
      </c>
      <c r="B8" s="77"/>
      <c r="C8" s="77" t="s">
        <v>10</v>
      </c>
      <c r="D8" s="77" t="s">
        <v>1103</v>
      </c>
      <c r="E8" s="77"/>
      <c r="F8" s="82" t="s">
        <v>1107</v>
      </c>
      <c r="G8" s="77" t="s">
        <v>1108</v>
      </c>
      <c r="H8" s="78" t="s">
        <v>1109</v>
      </c>
    </row>
    <row r="9" spans="1:8" ht="21">
      <c r="A9" s="312" t="s">
        <v>1110</v>
      </c>
      <c r="B9" s="312"/>
      <c r="C9" s="312"/>
      <c r="D9" s="312"/>
      <c r="E9" s="312"/>
      <c r="F9" s="312"/>
      <c r="G9" s="312"/>
      <c r="H9" s="312"/>
    </row>
    <row r="10" spans="1:8" ht="30.75">
      <c r="A10" s="17" t="s">
        <v>11</v>
      </c>
      <c r="B10" s="17"/>
      <c r="C10" s="17" t="s">
        <v>11</v>
      </c>
      <c r="D10" s="17" t="s">
        <v>1093</v>
      </c>
      <c r="E10" s="14" t="s">
        <v>1094</v>
      </c>
      <c r="F10" s="84" t="s">
        <v>1111</v>
      </c>
      <c r="G10" s="16">
        <f>G11*G12</f>
        <v>36.666666666666664</v>
      </c>
      <c r="H10" s="16"/>
    </row>
    <row r="11" spans="1:8" ht="30.75">
      <c r="A11" t="s">
        <v>10</v>
      </c>
      <c r="C11" t="s">
        <v>10</v>
      </c>
      <c r="D11" t="s">
        <v>119</v>
      </c>
      <c r="E11" s="10" t="s">
        <v>1112</v>
      </c>
      <c r="F11" s="81" t="s">
        <v>1113</v>
      </c>
      <c r="G11" s="4">
        <v>20</v>
      </c>
      <c r="H11" s="4"/>
    </row>
    <row r="12" spans="1:8" ht="30.75">
      <c r="A12" s="17" t="s">
        <v>10</v>
      </c>
      <c r="B12" s="17"/>
      <c r="C12" s="17" t="s">
        <v>11</v>
      </c>
      <c r="D12" s="17" t="s">
        <v>1093</v>
      </c>
      <c r="E12" s="80" t="s">
        <v>1114</v>
      </c>
      <c r="F12" s="84" t="s">
        <v>1115</v>
      </c>
      <c r="G12" s="16">
        <f>G14</f>
        <v>1.8333333333333333</v>
      </c>
      <c r="H12" s="15" t="s">
        <v>1116</v>
      </c>
    </row>
    <row r="13" spans="1:8" ht="21">
      <c r="A13" s="312" t="s">
        <v>1117</v>
      </c>
      <c r="B13" s="312"/>
      <c r="C13" s="312"/>
      <c r="D13" s="312"/>
      <c r="E13" s="312"/>
      <c r="F13" s="312"/>
      <c r="G13" s="312"/>
      <c r="H13" s="312"/>
    </row>
    <row r="14" spans="1:8" ht="30.75">
      <c r="A14" s="17" t="s">
        <v>11</v>
      </c>
      <c r="B14" s="17"/>
      <c r="C14" s="17" t="s">
        <v>11</v>
      </c>
      <c r="D14" s="17" t="s">
        <v>1093</v>
      </c>
      <c r="E14" s="14" t="s">
        <v>1114</v>
      </c>
      <c r="F14" s="84" t="s">
        <v>1118</v>
      </c>
      <c r="G14" s="16">
        <f>G16*(44/12)</f>
        <v>1.8333333333333333</v>
      </c>
      <c r="H14" s="16" t="s">
        <v>1119</v>
      </c>
    </row>
    <row r="15" spans="1:8" ht="30.75">
      <c r="A15" s="17" t="s">
        <v>11</v>
      </c>
      <c r="B15" s="17"/>
      <c r="C15" s="17" t="s">
        <v>11</v>
      </c>
      <c r="D15" s="17" t="s">
        <v>1093</v>
      </c>
      <c r="E15" s="14" t="s">
        <v>1114</v>
      </c>
      <c r="F15" s="84" t="s">
        <v>1120</v>
      </c>
      <c r="G15" s="16">
        <f>G16*G17*(44/12)</f>
        <v>3.6666666666666665</v>
      </c>
      <c r="H15" s="16" t="s">
        <v>1121</v>
      </c>
    </row>
    <row r="16" spans="1:8" ht="30.75">
      <c r="A16" t="s">
        <v>10</v>
      </c>
      <c r="C16" t="s">
        <v>10</v>
      </c>
      <c r="D16" t="s">
        <v>119</v>
      </c>
      <c r="E16" s="10" t="s">
        <v>1122</v>
      </c>
      <c r="F16" s="81" t="s">
        <v>1123</v>
      </c>
      <c r="G16" s="4">
        <v>0.5</v>
      </c>
      <c r="H16" s="4"/>
    </row>
    <row r="17" spans="1:8" ht="30.75">
      <c r="A17" t="s">
        <v>10</v>
      </c>
      <c r="C17" t="s">
        <v>10</v>
      </c>
      <c r="D17" t="s">
        <v>119</v>
      </c>
      <c r="E17" s="10" t="s">
        <v>1124</v>
      </c>
      <c r="F17" s="81" t="s">
        <v>1125</v>
      </c>
      <c r="G17" s="4">
        <v>2</v>
      </c>
      <c r="H17" s="4"/>
    </row>
    <row r="18" spans="1:8" ht="21">
      <c r="A18" s="312" t="s">
        <v>1126</v>
      </c>
      <c r="B18" s="312"/>
      <c r="C18" s="312"/>
      <c r="D18" s="312"/>
      <c r="E18" s="312"/>
      <c r="F18" s="312"/>
      <c r="G18" s="312"/>
      <c r="H18" s="312"/>
    </row>
    <row r="19" spans="1:8" ht="30.75">
      <c r="A19" s="17" t="s">
        <v>11</v>
      </c>
      <c r="B19" s="17"/>
      <c r="C19" s="17" t="s">
        <v>11</v>
      </c>
      <c r="D19" s="17" t="s">
        <v>1093</v>
      </c>
      <c r="E19" s="14" t="s">
        <v>1114</v>
      </c>
      <c r="F19" s="15" t="s">
        <v>1115</v>
      </c>
      <c r="G19" s="16">
        <f>G20*G21</f>
        <v>11.15</v>
      </c>
      <c r="H19" s="16"/>
    </row>
    <row r="20" spans="1:8" ht="30.75">
      <c r="A20" t="s">
        <v>10</v>
      </c>
      <c r="C20" t="s">
        <v>10</v>
      </c>
      <c r="D20" t="s">
        <v>119</v>
      </c>
      <c r="E20" s="10" t="s">
        <v>1127</v>
      </c>
      <c r="F20" s="7" t="s">
        <v>1128</v>
      </c>
      <c r="G20" s="4">
        <v>0.5</v>
      </c>
      <c r="H20" s="4"/>
    </row>
    <row r="21" spans="1:8" ht="30.75">
      <c r="A21" t="s">
        <v>10</v>
      </c>
      <c r="C21" t="s">
        <v>10</v>
      </c>
      <c r="D21" t="s">
        <v>119</v>
      </c>
      <c r="E21" s="10" t="s">
        <v>1129</v>
      </c>
      <c r="F21" s="7" t="s">
        <v>1130</v>
      </c>
      <c r="G21" s="4">
        <v>22.3</v>
      </c>
      <c r="H21" s="4"/>
    </row>
    <row r="22" spans="1:8" ht="46.5" customHeight="1">
      <c r="A22" s="303" t="s">
        <v>1131</v>
      </c>
      <c r="B22" s="303"/>
      <c r="C22" s="303"/>
      <c r="D22" s="303"/>
      <c r="E22" s="303"/>
      <c r="F22" s="303"/>
      <c r="G22" s="303"/>
      <c r="H22" s="303"/>
    </row>
    <row r="23" spans="1:8" ht="26.25">
      <c r="A23" t="s">
        <v>10</v>
      </c>
      <c r="C23" t="s">
        <v>10</v>
      </c>
      <c r="D23" t="s">
        <v>12</v>
      </c>
      <c r="E23" s="10" t="s">
        <v>1098</v>
      </c>
      <c r="F23" s="81" t="s">
        <v>1099</v>
      </c>
      <c r="G23" t="s">
        <v>1100</v>
      </c>
    </row>
    <row r="24" spans="1:8">
      <c r="A24" t="s">
        <v>10</v>
      </c>
      <c r="C24" t="s">
        <v>10</v>
      </c>
      <c r="D24" t="s">
        <v>12</v>
      </c>
      <c r="E24" s="46"/>
      <c r="F24" s="81" t="s">
        <v>1101</v>
      </c>
      <c r="G24" t="s">
        <v>1102</v>
      </c>
    </row>
    <row r="25" spans="1:8" ht="75">
      <c r="A25" s="77" t="s">
        <v>10</v>
      </c>
      <c r="B25" s="77"/>
      <c r="C25" s="77" t="s">
        <v>10</v>
      </c>
      <c r="D25" s="77" t="s">
        <v>1132</v>
      </c>
      <c r="E25" s="85"/>
      <c r="F25" s="82" t="s">
        <v>1104</v>
      </c>
      <c r="G25" s="77" t="s">
        <v>196</v>
      </c>
      <c r="H25" s="78" t="s">
        <v>1106</v>
      </c>
    </row>
    <row r="26" spans="1:8" ht="30">
      <c r="A26" s="77" t="s">
        <v>10</v>
      </c>
      <c r="B26" s="77"/>
      <c r="C26" s="77" t="s">
        <v>10</v>
      </c>
      <c r="D26" s="77" t="s">
        <v>1132</v>
      </c>
      <c r="E26" s="85"/>
      <c r="F26" s="82" t="s">
        <v>1107</v>
      </c>
      <c r="G26" s="77" t="s">
        <v>1133</v>
      </c>
      <c r="H26" s="78" t="s">
        <v>1109</v>
      </c>
    </row>
    <row r="27" spans="1:8" ht="21">
      <c r="A27" s="312" t="s">
        <v>1110</v>
      </c>
      <c r="B27" s="312"/>
      <c r="C27" s="312"/>
      <c r="D27" s="312"/>
      <c r="E27" s="312"/>
      <c r="F27" s="312"/>
      <c r="G27" s="312"/>
      <c r="H27" s="312"/>
    </row>
    <row r="28" spans="1:8" ht="30.75">
      <c r="A28" s="17" t="s">
        <v>11</v>
      </c>
      <c r="B28" s="17"/>
      <c r="C28" s="17" t="s">
        <v>11</v>
      </c>
      <c r="D28" s="17" t="s">
        <v>1093</v>
      </c>
      <c r="E28" s="14" t="s">
        <v>1094</v>
      </c>
      <c r="F28" s="84" t="s">
        <v>1111</v>
      </c>
      <c r="G28" s="16">
        <f>G29*G30</f>
        <v>36.666666666666664</v>
      </c>
      <c r="H28" s="16"/>
    </row>
    <row r="29" spans="1:8" ht="30.75">
      <c r="A29" t="s">
        <v>10</v>
      </c>
      <c r="C29" t="s">
        <v>10</v>
      </c>
      <c r="D29" t="s">
        <v>119</v>
      </c>
      <c r="E29" s="10" t="s">
        <v>1112</v>
      </c>
      <c r="F29" s="81" t="s">
        <v>1113</v>
      </c>
      <c r="G29" s="4">
        <v>10</v>
      </c>
      <c r="H29" s="4"/>
    </row>
    <row r="30" spans="1:8" ht="30.75">
      <c r="A30" s="17" t="s">
        <v>10</v>
      </c>
      <c r="B30" s="17"/>
      <c r="C30" s="17" t="s">
        <v>10</v>
      </c>
      <c r="D30" s="17" t="s">
        <v>1093</v>
      </c>
      <c r="E30" s="80" t="s">
        <v>1114</v>
      </c>
      <c r="F30" s="84" t="s">
        <v>1115</v>
      </c>
      <c r="G30" s="16">
        <f>G33</f>
        <v>3.6666666666666665</v>
      </c>
      <c r="H30" s="15" t="s">
        <v>1134</v>
      </c>
    </row>
    <row r="31" spans="1:8" ht="21">
      <c r="A31" s="312" t="s">
        <v>1117</v>
      </c>
      <c r="B31" s="312"/>
      <c r="C31" s="312"/>
      <c r="D31" s="312"/>
      <c r="E31" s="312"/>
      <c r="F31" s="312"/>
      <c r="G31" s="312"/>
      <c r="H31" s="312"/>
    </row>
    <row r="32" spans="1:8" ht="30.75">
      <c r="A32" s="17" t="s">
        <v>11</v>
      </c>
      <c r="B32" s="17"/>
      <c r="C32" s="17" t="s">
        <v>11</v>
      </c>
      <c r="D32" s="17" t="s">
        <v>1093</v>
      </c>
      <c r="E32" s="14" t="s">
        <v>1114</v>
      </c>
      <c r="F32" s="84" t="s">
        <v>1118</v>
      </c>
      <c r="G32" s="16">
        <f>G34*(44/12)</f>
        <v>1.8333333333333333</v>
      </c>
      <c r="H32" s="16" t="s">
        <v>1119</v>
      </c>
    </row>
    <row r="33" spans="1:8" ht="30.75">
      <c r="A33" s="17" t="s">
        <v>11</v>
      </c>
      <c r="B33" s="17"/>
      <c r="C33" s="17" t="s">
        <v>11</v>
      </c>
      <c r="D33" s="17" t="s">
        <v>1093</v>
      </c>
      <c r="E33" s="14" t="s">
        <v>1114</v>
      </c>
      <c r="F33" s="84" t="s">
        <v>1120</v>
      </c>
      <c r="G33" s="16">
        <f>G34*G35*(44/12)</f>
        <v>3.6666666666666665</v>
      </c>
      <c r="H33" s="16" t="s">
        <v>1121</v>
      </c>
    </row>
    <row r="34" spans="1:8" ht="30.75">
      <c r="A34" t="s">
        <v>10</v>
      </c>
      <c r="C34" t="s">
        <v>10</v>
      </c>
      <c r="D34" t="s">
        <v>119</v>
      </c>
      <c r="E34" s="10" t="s">
        <v>1122</v>
      </c>
      <c r="F34" s="81" t="s">
        <v>1123</v>
      </c>
      <c r="G34" s="4">
        <v>0.5</v>
      </c>
      <c r="H34" s="4"/>
    </row>
    <row r="35" spans="1:8" ht="30.75">
      <c r="A35" t="s">
        <v>10</v>
      </c>
      <c r="C35" t="s">
        <v>10</v>
      </c>
      <c r="D35" t="s">
        <v>119</v>
      </c>
      <c r="E35" s="10" t="s">
        <v>1124</v>
      </c>
      <c r="F35" s="81" t="s">
        <v>1125</v>
      </c>
      <c r="G35" s="4">
        <v>2</v>
      </c>
      <c r="H35" s="4"/>
    </row>
    <row r="36" spans="1:8" ht="21">
      <c r="A36" s="312" t="s">
        <v>1126</v>
      </c>
      <c r="B36" s="312"/>
      <c r="C36" s="312"/>
      <c r="D36" s="312"/>
      <c r="E36" s="312"/>
      <c r="F36" s="312"/>
      <c r="G36" s="312"/>
      <c r="H36" s="312"/>
    </row>
    <row r="37" spans="1:8" ht="30.75">
      <c r="A37" s="17" t="s">
        <v>11</v>
      </c>
      <c r="B37" s="17"/>
      <c r="C37" s="17" t="s">
        <v>11</v>
      </c>
      <c r="D37" s="17" t="s">
        <v>1093</v>
      </c>
      <c r="E37" s="14" t="s">
        <v>1114</v>
      </c>
      <c r="F37" s="84" t="s">
        <v>1115</v>
      </c>
      <c r="G37" s="16">
        <f>G38*G39</f>
        <v>11.15</v>
      </c>
      <c r="H37" s="16"/>
    </row>
    <row r="38" spans="1:8" ht="30.75">
      <c r="A38" t="s">
        <v>10</v>
      </c>
      <c r="C38" t="s">
        <v>10</v>
      </c>
      <c r="D38" t="s">
        <v>119</v>
      </c>
      <c r="E38" s="10" t="s">
        <v>1127</v>
      </c>
      <c r="F38" s="81" t="s">
        <v>1128</v>
      </c>
      <c r="G38" s="4">
        <v>0.5</v>
      </c>
      <c r="H38" s="4"/>
    </row>
    <row r="39" spans="1:8" ht="30.75">
      <c r="A39" t="s">
        <v>10</v>
      </c>
      <c r="C39" t="s">
        <v>10</v>
      </c>
      <c r="D39" t="s">
        <v>119</v>
      </c>
      <c r="E39" s="10" t="s">
        <v>1129</v>
      </c>
      <c r="F39" s="81" t="s">
        <v>1130</v>
      </c>
      <c r="G39" s="4">
        <v>22.3</v>
      </c>
      <c r="H39" s="4"/>
    </row>
  </sheetData>
  <mergeCells count="9">
    <mergeCell ref="A27:H27"/>
    <mergeCell ref="A31:H31"/>
    <mergeCell ref="A2:H2"/>
    <mergeCell ref="A36:H36"/>
    <mergeCell ref="A13:H13"/>
    <mergeCell ref="A9:H9"/>
    <mergeCell ref="A4:H4"/>
    <mergeCell ref="A22:H22"/>
    <mergeCell ref="A18:H18"/>
  </mergeCells>
  <dataValidations count="2">
    <dataValidation type="list" allowBlank="1" showInputMessage="1" showErrorMessage="1" sqref="G8 G26" xr:uid="{4A59359C-45A6-429F-B1FE-C2447C84C649}">
      <formula1>"Mass,Volume"</formula1>
    </dataValidation>
    <dataValidation type="list" allowBlank="1" showInputMessage="1" showErrorMessage="1" sqref="G7 G25" xr:uid="{51415A4E-A003-4454-91D2-B4CDE8F3AEE7}">
      <formula1>"Option A,Option B"</formula1>
    </dataValidation>
  </dataValidations>
  <pageMargins left="0.7" right="0.7" top="0.75" bottom="0.75" header="0.3" footer="0.3"/>
  <pageSetup scale="34"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05DCB-24C5-4E15-A78A-9A8D56BD1CBC}">
  <sheetPr codeName="Sheet5"/>
  <dimension ref="A1:I87"/>
  <sheetViews>
    <sheetView workbookViewId="0">
      <selection activeCell="C76" sqref="C76"/>
    </sheetView>
  </sheetViews>
  <sheetFormatPr defaultRowHeight="15"/>
  <cols>
    <col min="1" max="1" width="20.140625" customWidth="1"/>
    <col min="2" max="2" width="11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1135</v>
      </c>
      <c r="E1" t="s">
        <v>3</v>
      </c>
      <c r="F1" t="s">
        <v>8</v>
      </c>
      <c r="G1" t="s">
        <v>2</v>
      </c>
      <c r="H1" t="s">
        <v>1</v>
      </c>
    </row>
    <row r="2" spans="1:8" s="215" customFormat="1">
      <c r="B2" s="215" t="s">
        <v>1136</v>
      </c>
    </row>
    <row r="3" spans="1:8">
      <c r="B3" t="s">
        <v>1137</v>
      </c>
      <c r="C3" t="s">
        <v>1138</v>
      </c>
      <c r="D3" t="s">
        <v>10</v>
      </c>
      <c r="E3" t="s">
        <v>1139</v>
      </c>
      <c r="G3" t="s">
        <v>11</v>
      </c>
    </row>
    <row r="4" spans="1:8">
      <c r="B4" t="s">
        <v>1140</v>
      </c>
      <c r="C4" t="s">
        <v>1141</v>
      </c>
      <c r="D4" t="s">
        <v>10</v>
      </c>
      <c r="E4" t="s">
        <v>1139</v>
      </c>
      <c r="F4" t="s">
        <v>1142</v>
      </c>
      <c r="G4" t="s">
        <v>11</v>
      </c>
    </row>
    <row r="5" spans="1:8" ht="30">
      <c r="B5" s="7" t="s">
        <v>1143</v>
      </c>
      <c r="C5" t="s">
        <v>11</v>
      </c>
      <c r="D5" t="s">
        <v>10</v>
      </c>
      <c r="E5" t="s">
        <v>1139</v>
      </c>
      <c r="G5" t="s">
        <v>11</v>
      </c>
    </row>
    <row r="6" spans="1:8">
      <c r="B6" s="7" t="s">
        <v>1144</v>
      </c>
      <c r="C6" t="s">
        <v>11</v>
      </c>
      <c r="D6" t="s">
        <v>10</v>
      </c>
      <c r="E6" t="s">
        <v>1139</v>
      </c>
      <c r="G6" t="s">
        <v>11</v>
      </c>
    </row>
    <row r="7" spans="1:8">
      <c r="B7" s="7" t="s">
        <v>1145</v>
      </c>
      <c r="C7" t="s">
        <v>10</v>
      </c>
      <c r="D7" t="s">
        <v>10</v>
      </c>
      <c r="E7" t="s">
        <v>1139</v>
      </c>
      <c r="G7" t="s">
        <v>11</v>
      </c>
    </row>
    <row r="8" spans="1:8">
      <c r="B8" t="s">
        <v>1146</v>
      </c>
      <c r="C8" t="s">
        <v>1147</v>
      </c>
      <c r="D8" t="s">
        <v>10</v>
      </c>
      <c r="E8" t="s">
        <v>1139</v>
      </c>
      <c r="G8" t="s">
        <v>11</v>
      </c>
    </row>
    <row r="9" spans="1:8">
      <c r="B9" t="s">
        <v>1148</v>
      </c>
      <c r="C9" t="s">
        <v>1149</v>
      </c>
      <c r="D9" t="s">
        <v>10</v>
      </c>
      <c r="E9" t="s">
        <v>1139</v>
      </c>
      <c r="G9" t="s">
        <v>11</v>
      </c>
    </row>
    <row r="10" spans="1:8">
      <c r="B10" t="s">
        <v>1150</v>
      </c>
      <c r="C10" t="s">
        <v>1151</v>
      </c>
      <c r="D10" t="s">
        <v>10</v>
      </c>
      <c r="E10" t="s">
        <v>1139</v>
      </c>
      <c r="G10" t="s">
        <v>11</v>
      </c>
    </row>
    <row r="11" spans="1:8" ht="30">
      <c r="B11" s="137" t="s">
        <v>1152</v>
      </c>
      <c r="C11" t="s">
        <v>1153</v>
      </c>
      <c r="D11" t="str">
        <f>IF(C8="Option 2 (Estimated)","Yes","NA")</f>
        <v>NA</v>
      </c>
      <c r="E11" t="s">
        <v>1139</v>
      </c>
      <c r="G11" t="s">
        <v>11</v>
      </c>
    </row>
    <row r="12" spans="1:8">
      <c r="B12" s="137" t="s">
        <v>1154</v>
      </c>
      <c r="C12" t="s">
        <v>11</v>
      </c>
      <c r="D12" t="str">
        <f>IF(C8="Option 2 (Estimated)","Yes","NA")</f>
        <v>NA</v>
      </c>
      <c r="E12" t="s">
        <v>1139</v>
      </c>
      <c r="G12" t="s">
        <v>11</v>
      </c>
    </row>
    <row r="13" spans="1:8">
      <c r="B13" s="137" t="s">
        <v>1155</v>
      </c>
      <c r="C13" t="s">
        <v>10</v>
      </c>
      <c r="D13" t="str">
        <f>IF(C8="Option 2 (Estimated)","Yes","NA")</f>
        <v>NA</v>
      </c>
      <c r="E13" t="s">
        <v>1139</v>
      </c>
      <c r="G13" t="s">
        <v>11</v>
      </c>
    </row>
    <row r="14" spans="1:8">
      <c r="B14" s="137" t="s">
        <v>1156</v>
      </c>
      <c r="C14" t="s">
        <v>1157</v>
      </c>
      <c r="D14" t="str">
        <f>IF(C8="Option 2 (Estimated)","Yes","NA")</f>
        <v>NA</v>
      </c>
      <c r="E14" t="s">
        <v>1139</v>
      </c>
      <c r="G14" t="s">
        <v>11</v>
      </c>
    </row>
    <row r="15" spans="1:8">
      <c r="B15" s="137" t="s">
        <v>1158</v>
      </c>
      <c r="C15" t="s">
        <v>10</v>
      </c>
      <c r="D15" t="str">
        <f>IF(C8="Option 2 (Estimated)","Yes","NA")</f>
        <v>NA</v>
      </c>
      <c r="E15" t="s">
        <v>1139</v>
      </c>
      <c r="G15" t="s">
        <v>11</v>
      </c>
    </row>
    <row r="16" spans="1:8">
      <c r="B16" s="137" t="s">
        <v>1159</v>
      </c>
      <c r="C16" t="s">
        <v>11</v>
      </c>
      <c r="D16" t="str">
        <f>IF(C8="Option 2 (Estimated)","Yes","NA")</f>
        <v>NA</v>
      </c>
      <c r="E16" t="s">
        <v>1139</v>
      </c>
      <c r="G16" t="s">
        <v>11</v>
      </c>
    </row>
    <row r="17" spans="2:7" ht="30">
      <c r="B17" s="137" t="s">
        <v>1160</v>
      </c>
      <c r="C17" t="s">
        <v>1161</v>
      </c>
      <c r="D17" t="str">
        <f>IF(AND(C4="Application B",C6="Yes"),"Yes","No")</f>
        <v>No</v>
      </c>
      <c r="E17" t="s">
        <v>1139</v>
      </c>
      <c r="G17" t="s">
        <v>11</v>
      </c>
    </row>
    <row r="18" spans="2:7">
      <c r="B18" s="137" t="s">
        <v>1162</v>
      </c>
      <c r="C18" t="s">
        <v>11</v>
      </c>
      <c r="D18" t="str">
        <f>IF(C4="Application B","Yes","NA")</f>
        <v>Yes</v>
      </c>
      <c r="E18" t="s">
        <v>1139</v>
      </c>
      <c r="G18" t="s">
        <v>11</v>
      </c>
    </row>
    <row r="19" spans="2:7">
      <c r="B19" s="137" t="s">
        <v>1163</v>
      </c>
      <c r="C19" t="s">
        <v>1164</v>
      </c>
      <c r="D19" t="str">
        <f>IF(AND(C4="Application B",C18="Yes"),"NA","Yes")</f>
        <v>Yes</v>
      </c>
      <c r="E19" t="s">
        <v>1139</v>
      </c>
      <c r="G19" t="s">
        <v>11</v>
      </c>
    </row>
    <row r="20" spans="2:7">
      <c r="B20" t="s">
        <v>1165</v>
      </c>
      <c r="C20" t="s">
        <v>1166</v>
      </c>
      <c r="D20" t="s">
        <v>10</v>
      </c>
      <c r="E20" t="s">
        <v>1139</v>
      </c>
      <c r="F20" t="s">
        <v>1167</v>
      </c>
      <c r="G20" t="s">
        <v>11</v>
      </c>
    </row>
    <row r="21" spans="2:7">
      <c r="B21" s="137" t="s">
        <v>1168</v>
      </c>
      <c r="C21" t="s">
        <v>1169</v>
      </c>
      <c r="D21" t="str">
        <f>IF(C20="Default","Yes","NA")</f>
        <v>Yes</v>
      </c>
      <c r="E21" t="s">
        <v>1139</v>
      </c>
      <c r="G21" t="s">
        <v>11</v>
      </c>
    </row>
    <row r="22" spans="2:7">
      <c r="B22" s="137" t="s">
        <v>1170</v>
      </c>
      <c r="D22" t="str">
        <f>IF(C21="Other","Yes","NA")</f>
        <v>NA</v>
      </c>
      <c r="E22" t="s">
        <v>1139</v>
      </c>
      <c r="G22" t="s">
        <v>11</v>
      </c>
    </row>
    <row r="23" spans="2:7">
      <c r="B23" s="137" t="s">
        <v>1171</v>
      </c>
      <c r="C23" t="s">
        <v>11</v>
      </c>
      <c r="D23" t="s">
        <v>10</v>
      </c>
      <c r="E23" t="s">
        <v>1139</v>
      </c>
      <c r="G23" t="s">
        <v>11</v>
      </c>
    </row>
    <row r="24" spans="2:7" s="215" customFormat="1">
      <c r="B24" s="215" t="s">
        <v>1172</v>
      </c>
    </row>
    <row r="25" spans="2:7">
      <c r="B25" s="211" t="s">
        <v>1173</v>
      </c>
    </row>
    <row r="26" spans="2:7">
      <c r="B26" t="s">
        <v>1174</v>
      </c>
      <c r="C26" s="17">
        <f>IF(C8="Option 2 (Estimated)","NA",IF(C4="Application A",0.75,IF(AND(C4="Application B",C9="Humid/wet conditions"),0.85,IF(AND(C4="Application B",C9="Dry conditions"),0.8,))))</f>
        <v>0.85</v>
      </c>
      <c r="D26" t="str">
        <f>IF(C8="Option 1 (Default)","Yes","NA")</f>
        <v>Yes</v>
      </c>
      <c r="E26" t="s">
        <v>1175</v>
      </c>
      <c r="G26" t="s">
        <v>11</v>
      </c>
    </row>
    <row r="27" spans="2:7">
      <c r="B27" s="211" t="s">
        <v>1176</v>
      </c>
    </row>
    <row r="28" spans="2:7">
      <c r="B28" t="s">
        <v>1177</v>
      </c>
      <c r="C28" s="216" t="str">
        <f>IF(C8="Option 1 (Default)","NA",IF(C11="Weighed",0.02,IF(C11="Estimated",0.1)))</f>
        <v>NA</v>
      </c>
      <c r="D28" t="str">
        <f>IF(C8="Option 2 (Estimated)","Yes","NA")</f>
        <v>NA</v>
      </c>
      <c r="E28" t="s">
        <v>1175</v>
      </c>
      <c r="G28" t="s">
        <v>11</v>
      </c>
    </row>
    <row r="29" spans="2:7">
      <c r="B29" t="s">
        <v>1178</v>
      </c>
      <c r="C29" s="216" t="str">
        <f>IF(C8="Option 1 (Default)","NA",IF(C20="Measure",0.05,IF(C20="Default",0.1)))</f>
        <v>NA</v>
      </c>
      <c r="D29" t="str">
        <f>IF(C8="Option 2 (Estimated)","Yes","NA")</f>
        <v>NA</v>
      </c>
      <c r="E29" t="s">
        <v>1175</v>
      </c>
      <c r="G29" t="s">
        <v>11</v>
      </c>
    </row>
    <row r="30" spans="2:7">
      <c r="B30" t="s">
        <v>1179</v>
      </c>
      <c r="C30" s="216" t="str">
        <f>IF(C8="Option 1 (Default)","NA",IF(OR(C12="Yes",C13="Yes"),0.05,0.15))</f>
        <v>NA</v>
      </c>
      <c r="D30" t="str">
        <f>IF(C8="Option 2 (Estimated)","Yes","NA")</f>
        <v>NA</v>
      </c>
      <c r="E30" t="s">
        <v>1175</v>
      </c>
      <c r="G30" t="s">
        <v>11</v>
      </c>
    </row>
    <row r="31" spans="2:7">
      <c r="B31" t="s">
        <v>1180</v>
      </c>
      <c r="C31" s="216" t="str">
        <f>IF(C8="Option 1 (Default)","NA",IF(C12="Yes",0,0.05))</f>
        <v>NA</v>
      </c>
      <c r="D31" t="str">
        <f>IF(C8="Option 2 (Estimated)","Yes","NA")</f>
        <v>NA</v>
      </c>
      <c r="E31" t="s">
        <v>1175</v>
      </c>
      <c r="G31" t="s">
        <v>11</v>
      </c>
    </row>
    <row r="32" spans="2:7">
      <c r="B32" t="s">
        <v>1181</v>
      </c>
      <c r="C32" s="216" t="str">
        <f>IF(C8="Option 1 (Default)","NA",IF(C14="Managed",0,IF(C14="Unmanaged",0.5)))</f>
        <v>NA</v>
      </c>
      <c r="D32" t="str">
        <f>IF(C8="Option 2 (Estimated)","Yes","NA")</f>
        <v>NA</v>
      </c>
      <c r="E32" t="s">
        <v>1175</v>
      </c>
      <c r="G32" t="s">
        <v>11</v>
      </c>
    </row>
    <row r="33" spans="1:7" ht="17.25">
      <c r="B33" t="s">
        <v>1182</v>
      </c>
      <c r="C33" s="216" t="str">
        <f>IF(C8="Option 1 (Default)","NA",IF(AND(C4="Application B",C15="Yes",C84&gt;0.2),0.05,IF(AND(C4="Application A",C16="Yes"),0.05,0.2)))</f>
        <v>NA</v>
      </c>
      <c r="D33" t="str">
        <f>IF(C8="Option 2 (Estimated)","Yes","NA")</f>
        <v>NA</v>
      </c>
      <c r="E33" t="s">
        <v>1175</v>
      </c>
      <c r="G33" t="s">
        <v>11</v>
      </c>
    </row>
    <row r="34" spans="1:7">
      <c r="A34" t="s">
        <v>1183</v>
      </c>
      <c r="B34" t="s">
        <v>1184</v>
      </c>
      <c r="C34" s="17" t="str">
        <f>IF(C8="Option 1 (Default)","NA",SQRT(C28^2+C29^2+C30^2+C31^2+C32^2+C33^2))</f>
        <v>NA</v>
      </c>
      <c r="D34" t="str">
        <f>IF(C8="Option 2 (Estimated)","Yes","NA")</f>
        <v>NA</v>
      </c>
      <c r="E34" t="s">
        <v>1175</v>
      </c>
      <c r="G34" t="s">
        <v>11</v>
      </c>
    </row>
    <row r="35" spans="1:7">
      <c r="A35" t="s">
        <v>1185</v>
      </c>
      <c r="B35" t="s">
        <v>1186</v>
      </c>
      <c r="C35" s="17" t="str">
        <f>IF(C8="Option 1 (Default)","NA",1/(1+C34))</f>
        <v>NA</v>
      </c>
      <c r="D35" t="str">
        <f>IF(C8="Option 2 (Estimated)","Yes","NA")</f>
        <v>NA</v>
      </c>
      <c r="E35" t="s">
        <v>1175</v>
      </c>
      <c r="G35" t="s">
        <v>11</v>
      </c>
    </row>
    <row r="36" spans="1:7" s="215" customFormat="1">
      <c r="B36" s="215" t="s">
        <v>1187</v>
      </c>
    </row>
    <row r="37" spans="1:7">
      <c r="B37" s="211" t="s">
        <v>1188</v>
      </c>
    </row>
    <row r="38" spans="1:7">
      <c r="A38" t="s">
        <v>1189</v>
      </c>
      <c r="B38" t="s">
        <v>1190</v>
      </c>
      <c r="D38" t="str">
        <f>IF(C4="Application A","Yes","NA")</f>
        <v>NA</v>
      </c>
      <c r="E38" t="s">
        <v>119</v>
      </c>
      <c r="G38" t="s">
        <v>11</v>
      </c>
    </row>
    <row r="39" spans="1:7">
      <c r="B39" s="211" t="s">
        <v>1141</v>
      </c>
    </row>
    <row r="40" spans="1:7">
      <c r="A40" t="s">
        <v>1191</v>
      </c>
      <c r="B40" s="7" t="s">
        <v>1192</v>
      </c>
      <c r="C40">
        <v>0.5</v>
      </c>
      <c r="D40" t="str">
        <f>IF(AND(C4="Application B",C23="No"),"Yes","NA")</f>
        <v>Yes</v>
      </c>
      <c r="E40" t="s">
        <v>119</v>
      </c>
      <c r="G40" t="s">
        <v>10</v>
      </c>
    </row>
    <row r="41" spans="1:7">
      <c r="B41" s="217" t="s">
        <v>1193</v>
      </c>
    </row>
    <row r="42" spans="1:7">
      <c r="A42" t="s">
        <v>1194</v>
      </c>
      <c r="B42" s="7" t="s">
        <v>1195</v>
      </c>
      <c r="C42">
        <v>8</v>
      </c>
      <c r="D42" t="str">
        <f>IF(AND(C4="Application B",C23="No"),"Yes","NA")</f>
        <v>Yes</v>
      </c>
      <c r="E42" t="s">
        <v>119</v>
      </c>
      <c r="G42" t="s">
        <v>11</v>
      </c>
    </row>
    <row r="43" spans="1:7">
      <c r="A43" t="s">
        <v>1196</v>
      </c>
      <c r="B43" t="s">
        <v>1197</v>
      </c>
      <c r="C43">
        <v>1000</v>
      </c>
      <c r="D43" t="str">
        <f>IF(C4="Application B","Yes","NA")</f>
        <v>Yes</v>
      </c>
      <c r="E43" t="s">
        <v>119</v>
      </c>
      <c r="G43" t="s">
        <v>11</v>
      </c>
    </row>
    <row r="44" spans="1:7">
      <c r="A44" t="s">
        <v>1198</v>
      </c>
      <c r="B44" t="s">
        <v>1199</v>
      </c>
      <c r="C44" s="17">
        <f>IF(C4="Application A","NA",C40/C42)</f>
        <v>6.25E-2</v>
      </c>
      <c r="D44" t="str">
        <f>IF(AND(C4="Application B",C23="No"),"Yes","NA")</f>
        <v>Yes</v>
      </c>
      <c r="E44" t="s">
        <v>1175</v>
      </c>
      <c r="G44" t="s">
        <v>11</v>
      </c>
    </row>
    <row r="45" spans="1:7">
      <c r="A45" t="s">
        <v>1200</v>
      </c>
      <c r="B45" t="s">
        <v>1201</v>
      </c>
      <c r="C45" s="17">
        <f>IF(C4="Application A","NA",C43*C44)</f>
        <v>62.5</v>
      </c>
      <c r="D45" t="str">
        <f>IF(AND(C4="Application B",C23="No"),"Yes","NA")</f>
        <v>Yes</v>
      </c>
      <c r="E45" t="s">
        <v>1175</v>
      </c>
      <c r="G45" t="s">
        <v>11</v>
      </c>
    </row>
    <row r="46" spans="1:7" s="215" customFormat="1">
      <c r="B46" s="215" t="s">
        <v>1202</v>
      </c>
    </row>
    <row r="47" spans="1:7">
      <c r="B47" s="211" t="s">
        <v>1166</v>
      </c>
    </row>
    <row r="48" spans="1:7">
      <c r="A48" t="s">
        <v>1203</v>
      </c>
      <c r="B48" t="s">
        <v>1204</v>
      </c>
      <c r="C48" s="17" t="str">
        <f>IF(AND(C4="Application B",C6="Yes",C17="Default"),0.05,IF((C4="Application A"),0.05,"NA"))</f>
        <v>NA</v>
      </c>
      <c r="D48" t="str">
        <f>IF(AND(C4="Application B",C6="Yes",C17="Default"),"Yes",IF((C4="Application A"),"Yes","NA"))</f>
        <v>NA</v>
      </c>
      <c r="E48" t="s">
        <v>1175</v>
      </c>
      <c r="G48" t="s">
        <v>11</v>
      </c>
    </row>
    <row r="49" spans="1:9">
      <c r="B49" s="211" t="s">
        <v>1205</v>
      </c>
    </row>
    <row r="50" spans="1:9">
      <c r="A50" t="s">
        <v>1206</v>
      </c>
      <c r="B50" s="4" t="s">
        <v>1207</v>
      </c>
      <c r="C50">
        <v>0</v>
      </c>
      <c r="D50" t="str">
        <f>IF(AND(C4="Application B",C6="yes",C17="Measure"),"Yes","NA")</f>
        <v>NA</v>
      </c>
      <c r="E50" t="s">
        <v>119</v>
      </c>
      <c r="G50" t="s">
        <v>11</v>
      </c>
    </row>
    <row r="51" spans="1:9">
      <c r="A51" t="s">
        <v>1208</v>
      </c>
      <c r="B51" t="s">
        <v>1209</v>
      </c>
      <c r="C51">
        <v>0</v>
      </c>
      <c r="D51" t="str">
        <f>IF(AND(C4="Application B",C6="yes",C17="Measure"),"Yes","NA")</f>
        <v>NA</v>
      </c>
      <c r="E51" t="s">
        <v>119</v>
      </c>
      <c r="G51" t="s">
        <v>11</v>
      </c>
    </row>
    <row r="52" spans="1:9">
      <c r="A52" t="s">
        <v>1210</v>
      </c>
      <c r="B52" t="s">
        <v>1211</v>
      </c>
      <c r="C52">
        <v>0</v>
      </c>
      <c r="D52" t="str">
        <f>IF(AND(C4="Application B",C6="yes",C17="Measure"),"Yes","NA")</f>
        <v>NA</v>
      </c>
      <c r="E52" t="s">
        <v>119</v>
      </c>
      <c r="G52" t="s">
        <v>11</v>
      </c>
    </row>
    <row r="53" spans="1:9">
      <c r="A53" t="s">
        <v>1212</v>
      </c>
      <c r="B53" t="s">
        <v>1213</v>
      </c>
      <c r="C53">
        <v>0</v>
      </c>
      <c r="D53" t="str">
        <f>IF(AND(C4="Application B",C6="yes",C17="Measure"),"Yes","NA")</f>
        <v>NA</v>
      </c>
      <c r="E53" t="s">
        <v>119</v>
      </c>
      <c r="G53" t="s">
        <v>11</v>
      </c>
    </row>
    <row r="54" spans="1:9">
      <c r="A54" t="s">
        <v>1214</v>
      </c>
      <c r="B54" t="s">
        <v>1204</v>
      </c>
      <c r="C54" s="17" t="str">
        <f>IF(AND(C4="Application B",C6="Yes",C17="Measure"),0.7*(12/16)*C50/C51*(C52*C53),"NA")</f>
        <v>NA</v>
      </c>
      <c r="D54" t="str">
        <f>IF(AND(C4="Application B",C6="yes",C17="Measure"),"Yes","NA")</f>
        <v>NA</v>
      </c>
      <c r="E54" t="s">
        <v>1175</v>
      </c>
      <c r="G54" t="s">
        <v>11</v>
      </c>
    </row>
    <row r="55" spans="1:9">
      <c r="B55" s="211" t="s">
        <v>1215</v>
      </c>
    </row>
    <row r="56" spans="1:9">
      <c r="A56" t="s">
        <v>1216</v>
      </c>
      <c r="B56" s="137" t="s">
        <v>1217</v>
      </c>
      <c r="C56">
        <v>1</v>
      </c>
      <c r="D56" t="str">
        <f>IF(AND(C4="Application B",C7="yes"),"Yes","NA")</f>
        <v>Yes</v>
      </c>
      <c r="E56" t="s">
        <v>119</v>
      </c>
      <c r="G56" t="s">
        <v>11</v>
      </c>
    </row>
    <row r="57" spans="1:9">
      <c r="A57" t="s">
        <v>1208</v>
      </c>
      <c r="B57" t="s">
        <v>1209</v>
      </c>
      <c r="C57">
        <v>1</v>
      </c>
      <c r="D57" t="str">
        <f>IF(AND(C4="Application B",C7="yes"),"Yes","NA")</f>
        <v>Yes</v>
      </c>
      <c r="E57" t="s">
        <v>119</v>
      </c>
      <c r="G57" t="s">
        <v>11</v>
      </c>
      <c r="I57" s="4"/>
    </row>
    <row r="58" spans="1:9">
      <c r="A58" t="s">
        <v>1212</v>
      </c>
      <c r="B58" t="s">
        <v>1213</v>
      </c>
      <c r="C58">
        <v>1</v>
      </c>
      <c r="D58" t="str">
        <f>IF(AND(C4="Application B",C7="yes"),"Yes","NA")</f>
        <v>Yes</v>
      </c>
      <c r="E58" t="s">
        <v>119</v>
      </c>
      <c r="G58" t="s">
        <v>11</v>
      </c>
    </row>
    <row r="59" spans="1:9">
      <c r="A59" t="s">
        <v>1214</v>
      </c>
      <c r="B59" s="4" t="s">
        <v>1204</v>
      </c>
      <c r="C59" s="17">
        <f>IF(AND(C4="Application B",C7="Yes"),0.7*(12/16)*C56/(C57*C58),"NA")</f>
        <v>0.52499999999999991</v>
      </c>
      <c r="D59" t="str">
        <f>IF(AND(C4="Application B",C7="yes"),"Yes","NA")</f>
        <v>Yes</v>
      </c>
      <c r="E59" t="s">
        <v>1175</v>
      </c>
      <c r="G59" t="s">
        <v>11</v>
      </c>
    </row>
    <row r="60" spans="1:9" s="215" customFormat="1">
      <c r="B60" s="215" t="s">
        <v>1218</v>
      </c>
    </row>
    <row r="61" spans="1:9">
      <c r="B61" s="211" t="s">
        <v>1166</v>
      </c>
    </row>
    <row r="62" spans="1:9">
      <c r="A62" t="s">
        <v>1219</v>
      </c>
      <c r="B62" t="s">
        <v>1220</v>
      </c>
      <c r="C62" s="17">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1175</v>
      </c>
      <c r="G62" t="s">
        <v>11</v>
      </c>
    </row>
    <row r="63" spans="1:9">
      <c r="B63" s="211" t="s">
        <v>1221</v>
      </c>
    </row>
    <row r="64" spans="1:9">
      <c r="A64" t="s">
        <v>1222</v>
      </c>
      <c r="B64" t="s">
        <v>1223</v>
      </c>
      <c r="C64">
        <v>0</v>
      </c>
      <c r="D64" t="str">
        <f>IF(AND(C4="Application B",C18="Yes"),"Yes","NA")</f>
        <v>NA</v>
      </c>
      <c r="E64" t="s">
        <v>119</v>
      </c>
      <c r="G64" t="s">
        <v>11</v>
      </c>
    </row>
    <row r="65" spans="1:7">
      <c r="A65" t="s">
        <v>1224</v>
      </c>
      <c r="B65" t="s">
        <v>1225</v>
      </c>
      <c r="C65">
        <v>0</v>
      </c>
      <c r="D65" t="str">
        <f>IF(AND(C4="Application B",C18="Yes"),"Yes","NA")</f>
        <v>NA</v>
      </c>
      <c r="E65" t="s">
        <v>119</v>
      </c>
      <c r="G65" t="s">
        <v>11</v>
      </c>
    </row>
    <row r="66" spans="1:7">
      <c r="A66" t="s">
        <v>1226</v>
      </c>
      <c r="B66" t="s">
        <v>1220</v>
      </c>
      <c r="C66" s="17" t="str">
        <f>IF(AND(C4="Application B",C18="yes"),MAX((1-2/C65),C64/C65), "NA")</f>
        <v>NA</v>
      </c>
      <c r="D66" t="str">
        <f>IF(AND(C4="Application B",C18="Yes"),"Yes","NA")</f>
        <v>NA</v>
      </c>
      <c r="E66" t="s">
        <v>1175</v>
      </c>
      <c r="G66" t="s">
        <v>11</v>
      </c>
    </row>
    <row r="67" spans="1:7" s="215" customFormat="1">
      <c r="B67" s="215" t="s">
        <v>1227</v>
      </c>
    </row>
    <row r="68" spans="1:7">
      <c r="B68" s="211" t="s">
        <v>1166</v>
      </c>
    </row>
    <row r="69" spans="1:7">
      <c r="A69" t="s">
        <v>1228</v>
      </c>
      <c r="B69" t="s">
        <v>1213</v>
      </c>
      <c r="C69" s="216">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1175</v>
      </c>
      <c r="G69" t="s">
        <v>11</v>
      </c>
    </row>
    <row r="70" spans="1:7">
      <c r="B70" s="211" t="s">
        <v>1229</v>
      </c>
    </row>
    <row r="71" spans="1:7">
      <c r="A71" t="s">
        <v>1230</v>
      </c>
      <c r="B71" t="s">
        <v>1213</v>
      </c>
      <c r="C71">
        <v>0</v>
      </c>
      <c r="D71" t="str">
        <f>IF(AND(C4="Application B",C20="Measure"),"Yes","NA")</f>
        <v>NA</v>
      </c>
      <c r="E71" t="s">
        <v>119</v>
      </c>
      <c r="G71" t="s">
        <v>11</v>
      </c>
    </row>
    <row r="72" spans="1:7" s="215" customFormat="1" ht="18.75">
      <c r="B72" s="218" t="s">
        <v>1231</v>
      </c>
    </row>
    <row r="73" spans="1:7" ht="30">
      <c r="A73" t="s">
        <v>1232</v>
      </c>
      <c r="B73" s="7" t="s">
        <v>1233</v>
      </c>
      <c r="C73">
        <v>1</v>
      </c>
      <c r="D73" t="s">
        <v>10</v>
      </c>
      <c r="E73" t="s">
        <v>119</v>
      </c>
      <c r="G73" t="s">
        <v>11</v>
      </c>
    </row>
    <row r="74" spans="1:7">
      <c r="A74" t="s">
        <v>1234</v>
      </c>
      <c r="B74" t="s">
        <v>1235</v>
      </c>
      <c r="C74">
        <v>1</v>
      </c>
      <c r="D74" t="s">
        <v>10</v>
      </c>
      <c r="E74" t="s">
        <v>119</v>
      </c>
      <c r="G74" t="s">
        <v>11</v>
      </c>
    </row>
    <row r="75" spans="1:7">
      <c r="A75" t="s">
        <v>1214</v>
      </c>
      <c r="B75" t="s">
        <v>1204</v>
      </c>
      <c r="C75" s="17">
        <f>IF(C4="Application A",C48,IF(AND(C4="Application B",C6="Yes",C17="Default"),C48,IF(AND(C4="Application B",C6="Yes",C17="Measure"),C54, IF(AND(C4="Application B",C7="Yes",C17="Measure"),C59))))</f>
        <v>0.52499999999999991</v>
      </c>
      <c r="D75" t="s">
        <v>10</v>
      </c>
      <c r="E75" t="s">
        <v>1175</v>
      </c>
      <c r="G75" t="s">
        <v>11</v>
      </c>
    </row>
    <row r="76" spans="1:7">
      <c r="A76" t="s">
        <v>1236</v>
      </c>
      <c r="B76" t="s">
        <v>1201</v>
      </c>
      <c r="C76" s="17">
        <f>IF(C4="Application A",C38,IF(AND(C4="Application B",C23="No"),C45,IF(AND(C4="Application B",C23="Yes"),C43)))</f>
        <v>62.5</v>
      </c>
      <c r="D76" t="s">
        <v>10</v>
      </c>
      <c r="E76" t="s">
        <v>1175</v>
      </c>
      <c r="G76" t="s">
        <v>11</v>
      </c>
    </row>
    <row r="77" spans="1:7">
      <c r="A77" t="s">
        <v>1185</v>
      </c>
      <c r="B77" t="s">
        <v>1186</v>
      </c>
      <c r="C77" s="17">
        <f>IF(C8="Option 1 (Default)",C26,C35)</f>
        <v>0.85</v>
      </c>
      <c r="D77" t="s">
        <v>10</v>
      </c>
      <c r="E77" t="s">
        <v>1175</v>
      </c>
      <c r="G77" t="s">
        <v>11</v>
      </c>
    </row>
    <row r="78" spans="1:7" ht="15.75" thickBot="1">
      <c r="A78" t="s">
        <v>1237</v>
      </c>
      <c r="B78" t="s">
        <v>1238</v>
      </c>
      <c r="D78" t="s">
        <v>10</v>
      </c>
      <c r="E78" t="s">
        <v>119</v>
      </c>
      <c r="G78" t="s">
        <v>11</v>
      </c>
    </row>
    <row r="79" spans="1:7" ht="15.75" thickBot="1">
      <c r="A79" t="s">
        <v>1239</v>
      </c>
      <c r="B79" t="s">
        <v>1240</v>
      </c>
      <c r="C79" s="200">
        <v>28</v>
      </c>
      <c r="D79" t="s">
        <v>10</v>
      </c>
      <c r="E79" t="s">
        <v>1241</v>
      </c>
      <c r="G79" t="s">
        <v>11</v>
      </c>
    </row>
    <row r="80" spans="1:7" ht="15.75" thickBot="1">
      <c r="A80" t="s">
        <v>1242</v>
      </c>
      <c r="B80" t="s">
        <v>1243</v>
      </c>
      <c r="C80" s="200">
        <v>0.1</v>
      </c>
      <c r="D80" t="s">
        <v>10</v>
      </c>
      <c r="E80" t="s">
        <v>1241</v>
      </c>
      <c r="G80" t="s">
        <v>11</v>
      </c>
    </row>
    <row r="81" spans="1:7" ht="15.75" thickBot="1">
      <c r="A81" t="s">
        <v>1208</v>
      </c>
      <c r="B81" t="s">
        <v>1209</v>
      </c>
      <c r="C81" s="200">
        <v>0.5</v>
      </c>
      <c r="D81" t="s">
        <v>10</v>
      </c>
      <c r="E81" t="s">
        <v>1241</v>
      </c>
      <c r="G81" t="s">
        <v>11</v>
      </c>
    </row>
    <row r="82" spans="1:7">
      <c r="A82" t="s">
        <v>1244</v>
      </c>
      <c r="B82" t="s">
        <v>1220</v>
      </c>
      <c r="C82" s="17">
        <f>IF(AND(C4="Application B",C18="Yes"),C66,C62)</f>
        <v>0.8</v>
      </c>
      <c r="D82" t="s">
        <v>10</v>
      </c>
      <c r="E82" t="s">
        <v>1175</v>
      </c>
      <c r="G82" t="s">
        <v>11</v>
      </c>
    </row>
    <row r="83" spans="1:7">
      <c r="A83" t="s">
        <v>1230</v>
      </c>
      <c r="B83" t="s">
        <v>1213</v>
      </c>
      <c r="C83" s="216">
        <f>IF(C20="Default",C69,C71)</f>
        <v>0.4</v>
      </c>
      <c r="D83" t="s">
        <v>10</v>
      </c>
      <c r="E83" t="s">
        <v>1175</v>
      </c>
      <c r="G83" t="s">
        <v>11</v>
      </c>
    </row>
    <row r="84" spans="1:7">
      <c r="A84" t="s">
        <v>1245</v>
      </c>
      <c r="B84" t="s">
        <v>1246</v>
      </c>
      <c r="C84" s="17">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10</v>
      </c>
      <c r="E84" t="s">
        <v>1175</v>
      </c>
      <c r="F84" t="s">
        <v>1247</v>
      </c>
      <c r="G84" t="s">
        <v>11</v>
      </c>
    </row>
    <row r="85" spans="1:7">
      <c r="A85" t="s">
        <v>1248</v>
      </c>
      <c r="B85" t="s">
        <v>1249</v>
      </c>
      <c r="C85" s="17" t="str">
        <f>IF(C21="Other",C22,C21)</f>
        <v>Pulp, paper and cardboard (other than sludge)</v>
      </c>
      <c r="D85" t="s">
        <v>10</v>
      </c>
      <c r="E85" t="s">
        <v>1175</v>
      </c>
      <c r="G85" t="s">
        <v>11</v>
      </c>
    </row>
    <row r="86" spans="1:7">
      <c r="A86" t="s">
        <v>1250</v>
      </c>
      <c r="B86" t="s">
        <v>1251</v>
      </c>
      <c r="C86" s="17">
        <f>C77*(1-C78)*C79*(1-C80)*(16/12)*C81*C75*C82*(C76*C83*EXP(-C84*(C74-C73))*(1-EXP(-C84)))</f>
        <v>10.136870643302116</v>
      </c>
      <c r="D86" t="s">
        <v>10</v>
      </c>
      <c r="E86" t="s">
        <v>1175</v>
      </c>
      <c r="G86" t="s">
        <v>11</v>
      </c>
    </row>
    <row r="87" spans="1:7">
      <c r="B87" s="219" t="s">
        <v>1252</v>
      </c>
      <c r="F87" t="s">
        <v>1253</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2">
        <x14:dataValidation type="list" allowBlank="1" showInputMessage="1" showErrorMessage="1" xr:uid="{5E325FEC-3012-47C9-9749-A5B83E6846A3}">
          <x14:formula1>
            <xm:f>'Tool 04 - Dropdown Items'!$A$2:$A$4</xm:f>
          </x14:formula1>
          <xm:sqref>C3</xm:sqref>
        </x14:dataValidation>
        <x14:dataValidation type="list" allowBlank="1" showInputMessage="1" showErrorMessage="1" xr:uid="{8D9A8F38-E647-43DB-B6CD-A0DB5DDDE068}">
          <x14:formula1>
            <xm:f>'Tool 04 - Dropdown Items'!$H$2:$H$3</xm:f>
          </x14:formula1>
          <xm:sqref>C10</xm:sqref>
        </x14:dataValidation>
        <x14:dataValidation type="list" allowBlank="1" showInputMessage="1" showErrorMessage="1" xr:uid="{310DEC11-6389-49C6-85A0-E3A8D78AD302}">
          <x14:formula1>
            <xm:f>'Tool 04 - Dropdown Items'!$I$2:$I$11</xm:f>
          </x14:formula1>
          <xm:sqref>C21</xm:sqref>
        </x14:dataValidation>
        <x14:dataValidation type="list" allowBlank="1" showInputMessage="1" showErrorMessage="1" xr:uid="{F36FFC7E-9FA3-4B4D-8B43-0211FA3466F3}">
          <x14:formula1>
            <xm:f>'Tool 04 - Dropdown Items'!$F$2:$F$3</xm:f>
          </x14:formula1>
          <xm:sqref>C20</xm:sqref>
        </x14:dataValidation>
        <x14:dataValidation type="list" allowBlank="1" showInputMessage="1" showErrorMessage="1" xr:uid="{2E56190D-B127-4BEE-A448-848CDBD27D4E}">
          <x14:formula1>
            <xm:f>'Tool 04 - Dropdown Items'!$M$2:$M$5</xm:f>
          </x14:formula1>
          <xm:sqref>C19</xm:sqref>
        </x14:dataValidation>
        <x14:dataValidation type="list" allowBlank="1" showInputMessage="1" showErrorMessage="1" xr:uid="{B979CA62-E081-4124-B094-B3C3926E7162}">
          <x14:formula1>
            <xm:f>'Tool 04 - Dropdown Items'!$L$2:$L$3</xm:f>
          </x14:formula1>
          <xm:sqref>C14</xm:sqref>
        </x14:dataValidation>
        <x14:dataValidation type="list" allowBlank="1" showInputMessage="1" showErrorMessage="1" xr:uid="{08CB5E9B-E412-49AD-8EE4-4675A58E98EC}">
          <x14:formula1>
            <xm:f>'Tool 04 - Dropdown Items'!$K$2:$K$3</xm:f>
          </x14:formula1>
          <xm:sqref>C23 C17:C18</xm:sqref>
        </x14:dataValidation>
        <x14:dataValidation type="list" allowBlank="1" showInputMessage="1" showErrorMessage="1" xr:uid="{0D827EEF-5D64-4D5F-A1CC-17447AB5B9E1}">
          <x14:formula1>
            <xm:f>'Tool 04 - Dropdown Items'!$J$2:$J$3</xm:f>
          </x14:formula1>
          <xm:sqref>C11</xm:sqref>
        </x14:dataValidation>
        <x14:dataValidation type="list" allowBlank="1" showInputMessage="1" showErrorMessage="1" xr:uid="{A69F47B4-17AC-47DE-9058-85395666ABC6}">
          <x14:formula1>
            <xm:f>'Tool 04 - Dropdown Items'!$G$2:$G$3</xm:f>
          </x14:formula1>
          <xm:sqref>C9</xm:sqref>
        </x14:dataValidation>
        <x14:dataValidation type="list" allowBlank="1" showInputMessage="1" showErrorMessage="1" xr:uid="{78227999-BD3D-4EA5-AFEA-0F0AED7C2254}">
          <x14:formula1>
            <xm:f>'Tool 04 - Dropdown Items'!$E$2:$E$3</xm:f>
          </x14:formula1>
          <xm:sqref>C8</xm:sqref>
        </x14:dataValidation>
        <x14:dataValidation type="list" allowBlank="1" showInputMessage="1" showErrorMessage="1" xr:uid="{B8D1D8DF-55A2-49DE-B194-2A719539BE0A}">
          <x14:formula1>
            <xm:f>'Tool 04 - Dropdown Items'!$D$2:$D$3</xm:f>
          </x14:formula1>
          <xm:sqref>C12:C13 C23 C18 C5:C7 C15:C16</xm:sqref>
        </x14:dataValidation>
        <x14:dataValidation type="list" allowBlank="1" showInputMessage="1" showErrorMessage="1" xr:uid="{136F4C1F-31E6-4A32-82D3-C2D45FBA405F}">
          <x14:formula1>
            <xm:f>'Tool 04 - Dropdown Items'!$B$2:$B$3</xm:f>
          </x14:formula1>
          <xm:sqref>C4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EC8E-EDAB-4E38-96C1-60E37A59D24C}">
  <sheetPr codeName="Sheet6"/>
  <dimension ref="A1:D8"/>
  <sheetViews>
    <sheetView workbookViewId="0">
      <selection activeCell="B2" sqref="B2"/>
    </sheetView>
  </sheetViews>
  <sheetFormatPr defaultRowHeight="15"/>
  <cols>
    <col min="1" max="1" width="14.5703125" style="212" customWidth="1"/>
    <col min="2" max="2" width="26.5703125" customWidth="1"/>
    <col min="3" max="3" width="23.7109375" customWidth="1"/>
    <col min="4" max="4" width="25.140625" customWidth="1"/>
  </cols>
  <sheetData>
    <row r="1" spans="1:4" s="212" customFormat="1">
      <c r="B1" s="212" t="s">
        <v>1138</v>
      </c>
      <c r="C1" s="212" t="s">
        <v>1254</v>
      </c>
      <c r="D1" s="212" t="s">
        <v>1255</v>
      </c>
    </row>
    <row r="2" spans="1:4">
      <c r="A2" s="212" t="s">
        <v>1256</v>
      </c>
      <c r="B2">
        <f>IF('Tool 04 - SWDS-Yearly'!C3="Baseline Emissions (BE)",'Tool 04 - SWDS-Yearly'!C86)</f>
        <v>10.136870643302116</v>
      </c>
      <c r="C2" t="b">
        <f>IF('Tool 04 - SWDS-Yearly'!C3="Project Emissions (PE)",'Tool 04 - SWDS-Yearly'!C86)</f>
        <v>0</v>
      </c>
      <c r="D2" t="b">
        <f>IF('Tool 04 - SWDS-Yearly'!C3="Leakage Emissions (LE)",'Tool 04 - SWDS-Yearly'!C86)</f>
        <v>0</v>
      </c>
    </row>
    <row r="3" spans="1:4">
      <c r="A3" s="220" t="s">
        <v>1256</v>
      </c>
      <c r="B3" s="213"/>
      <c r="C3" s="213"/>
      <c r="D3" s="213"/>
    </row>
    <row r="4" spans="1:4">
      <c r="A4" s="220" t="s">
        <v>1256</v>
      </c>
      <c r="B4" s="213"/>
      <c r="C4" s="213"/>
      <c r="D4" s="213"/>
    </row>
    <row r="5" spans="1:4">
      <c r="A5" s="220" t="s">
        <v>1256</v>
      </c>
      <c r="B5" s="213"/>
      <c r="C5" s="213"/>
      <c r="D5" s="213"/>
    </row>
    <row r="6" spans="1:4">
      <c r="A6" s="220" t="s">
        <v>1256</v>
      </c>
      <c r="B6" s="213"/>
      <c r="C6" s="213"/>
      <c r="D6" s="213"/>
    </row>
    <row r="7" spans="1:4">
      <c r="A7" s="220" t="s">
        <v>1256</v>
      </c>
      <c r="B7" s="213"/>
      <c r="C7" s="213"/>
      <c r="D7" s="213"/>
    </row>
    <row r="8" spans="1:4" s="212" customFormat="1">
      <c r="A8" s="212" t="s">
        <v>1257</v>
      </c>
      <c r="B8" s="212">
        <f>SUM(B2:B7)</f>
        <v>10.136870643302116</v>
      </c>
      <c r="C8" s="212">
        <f t="shared" ref="C8" si="0">SUM(C2:C7)</f>
        <v>0</v>
      </c>
      <c r="D8" s="212">
        <f>SUM(D2:D7)</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3B02-DB81-414E-9FA0-441184A9E85E}">
  <sheetPr codeName="Sheet7"/>
  <dimension ref="A1:M11"/>
  <sheetViews>
    <sheetView workbookViewId="0">
      <selection activeCell="C44" sqref="C44"/>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212" t="s">
        <v>1258</v>
      </c>
      <c r="B1" s="212" t="s">
        <v>1259</v>
      </c>
      <c r="C1" s="212" t="s">
        <v>1260</v>
      </c>
      <c r="D1" s="212" t="s">
        <v>1261</v>
      </c>
      <c r="E1" s="212" t="s">
        <v>1262</v>
      </c>
      <c r="F1" s="212" t="s">
        <v>1263</v>
      </c>
      <c r="G1" s="212" t="s">
        <v>1264</v>
      </c>
      <c r="H1" s="212" t="s">
        <v>1265</v>
      </c>
      <c r="I1" s="212" t="s">
        <v>1266</v>
      </c>
    </row>
    <row r="2" spans="1:13">
      <c r="A2" t="s">
        <v>1138</v>
      </c>
      <c r="B2" t="s">
        <v>1188</v>
      </c>
      <c r="C2" t="s">
        <v>1267</v>
      </c>
      <c r="D2" t="s">
        <v>10</v>
      </c>
      <c r="E2" t="s">
        <v>1147</v>
      </c>
      <c r="F2" t="s">
        <v>1166</v>
      </c>
      <c r="G2" t="s">
        <v>1149</v>
      </c>
      <c r="H2" t="s">
        <v>1268</v>
      </c>
      <c r="I2" t="s">
        <v>1269</v>
      </c>
      <c r="J2" t="s">
        <v>1270</v>
      </c>
      <c r="K2" t="s">
        <v>1161</v>
      </c>
      <c r="L2" t="s">
        <v>1157</v>
      </c>
      <c r="M2" t="s">
        <v>1271</v>
      </c>
    </row>
    <row r="3" spans="1:13" ht="30">
      <c r="A3" t="s">
        <v>1254</v>
      </c>
      <c r="B3" t="s">
        <v>1141</v>
      </c>
      <c r="C3" t="s">
        <v>1272</v>
      </c>
      <c r="D3" t="s">
        <v>11</v>
      </c>
      <c r="E3" t="s">
        <v>1273</v>
      </c>
      <c r="F3" t="s">
        <v>1161</v>
      </c>
      <c r="G3" t="s">
        <v>1274</v>
      </c>
      <c r="H3" t="s">
        <v>1151</v>
      </c>
      <c r="I3" s="7" t="s">
        <v>1169</v>
      </c>
      <c r="J3" t="s">
        <v>1153</v>
      </c>
      <c r="K3" t="s">
        <v>1166</v>
      </c>
      <c r="L3" t="s">
        <v>1275</v>
      </c>
      <c r="M3" t="s">
        <v>1276</v>
      </c>
    </row>
    <row r="4" spans="1:13">
      <c r="A4" t="s">
        <v>1255</v>
      </c>
      <c r="I4" t="s">
        <v>1277</v>
      </c>
      <c r="M4" t="s">
        <v>1164</v>
      </c>
    </row>
    <row r="5" spans="1:13">
      <c r="I5" t="s">
        <v>1278</v>
      </c>
      <c r="M5" t="s">
        <v>1279</v>
      </c>
    </row>
    <row r="6" spans="1:13">
      <c r="I6" t="s">
        <v>1280</v>
      </c>
    </row>
    <row r="7" spans="1:13">
      <c r="I7" t="s">
        <v>1281</v>
      </c>
    </row>
    <row r="8" spans="1:13">
      <c r="I8" t="s">
        <v>1282</v>
      </c>
    </row>
    <row r="9" spans="1:13">
      <c r="I9" t="s">
        <v>1283</v>
      </c>
    </row>
    <row r="10" spans="1:13">
      <c r="I10" t="s">
        <v>1284</v>
      </c>
    </row>
    <row r="11" spans="1:13">
      <c r="I11" t="s">
        <v>1285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D086-E7B4-42E2-B86A-A19839519A8B}">
  <sheetPr codeName="Sheet8"/>
  <dimension ref="A1:H45"/>
  <sheetViews>
    <sheetView zoomScale="80" zoomScaleNormal="80" workbookViewId="0">
      <pane ySplit="1" topLeftCell="D4" activePane="bottomLeft" state="frozen"/>
      <selection pane="bottomLeft" activeCell="G15" sqref="G15"/>
      <selection activeCell="F11" sqref="F11"/>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6" t="s">
        <v>0</v>
      </c>
      <c r="B1" s="6" t="s">
        <v>1</v>
      </c>
      <c r="C1" s="5" t="s">
        <v>2</v>
      </c>
      <c r="D1" s="6" t="s">
        <v>3</v>
      </c>
      <c r="E1" s="6" t="s">
        <v>5</v>
      </c>
      <c r="F1" s="1" t="s">
        <v>6</v>
      </c>
      <c r="G1" s="1" t="s">
        <v>7</v>
      </c>
      <c r="H1" s="5" t="s">
        <v>8</v>
      </c>
    </row>
    <row r="2" spans="1:8" ht="30" customHeight="1">
      <c r="A2" s="303" t="s">
        <v>1286</v>
      </c>
      <c r="B2" s="303"/>
      <c r="C2" s="303"/>
      <c r="D2" s="303"/>
      <c r="E2" s="303"/>
      <c r="F2" s="303"/>
      <c r="G2" s="303"/>
      <c r="H2" s="303"/>
    </row>
    <row r="3" spans="1:8" ht="33" customHeight="1">
      <c r="A3" s="314" t="s">
        <v>1287</v>
      </c>
      <c r="B3" s="314"/>
      <c r="C3" s="314"/>
      <c r="D3" s="314"/>
      <c r="E3" s="314"/>
      <c r="F3" s="314"/>
      <c r="G3" s="314"/>
      <c r="H3" s="314"/>
    </row>
    <row r="4" spans="1:8" s="19" customFormat="1" ht="204.75">
      <c r="A4" s="103" t="s">
        <v>10</v>
      </c>
      <c r="B4" s="103"/>
      <c r="C4" s="103" t="s">
        <v>11</v>
      </c>
      <c r="D4" s="103" t="s">
        <v>1132</v>
      </c>
      <c r="E4" s="103"/>
      <c r="F4" s="104" t="s">
        <v>1288</v>
      </c>
      <c r="G4" s="104" t="s">
        <v>1289</v>
      </c>
      <c r="H4" s="105" t="s">
        <v>1290</v>
      </c>
    </row>
    <row r="5" spans="1:8" ht="30.75" customHeight="1">
      <c r="A5" s="315" t="s">
        <v>1291</v>
      </c>
      <c r="B5" s="315"/>
      <c r="C5" s="315"/>
      <c r="D5" s="315"/>
      <c r="E5" s="315"/>
      <c r="F5" s="315"/>
      <c r="G5" s="315"/>
      <c r="H5" s="315"/>
    </row>
    <row r="6" spans="1:8" ht="26.25">
      <c r="A6" s="20" t="s">
        <v>11</v>
      </c>
      <c r="B6" s="20"/>
      <c r="C6" s="20" t="s">
        <v>11</v>
      </c>
      <c r="D6" s="20" t="s">
        <v>1093</v>
      </c>
      <c r="E6" s="23" t="s">
        <v>1292</v>
      </c>
      <c r="F6" s="18" t="s">
        <v>1293</v>
      </c>
      <c r="G6" s="16">
        <f>SUM(G8*G7*(1+G9))</f>
        <v>0.73499999999999999</v>
      </c>
      <c r="H6" s="16"/>
    </row>
    <row r="7" spans="1:8" ht="26.25">
      <c r="A7" s="20" t="s">
        <v>11</v>
      </c>
      <c r="B7" s="20"/>
      <c r="C7" s="20" t="s">
        <v>11</v>
      </c>
      <c r="D7" s="17" t="s">
        <v>1294</v>
      </c>
      <c r="E7" s="106" t="s">
        <v>1295</v>
      </c>
      <c r="F7" s="18" t="s">
        <v>1296</v>
      </c>
      <c r="G7" s="16">
        <f>G32</f>
        <v>0.25</v>
      </c>
      <c r="H7" s="18" t="s">
        <v>1297</v>
      </c>
    </row>
    <row r="8" spans="1:8" ht="30">
      <c r="A8" s="19" t="s">
        <v>10</v>
      </c>
      <c r="B8" s="19"/>
      <c r="C8" s="19" t="s">
        <v>10</v>
      </c>
      <c r="D8" s="19" t="s">
        <v>119</v>
      </c>
      <c r="E8" t="s">
        <v>1298</v>
      </c>
      <c r="F8" s="7" t="s">
        <v>1299</v>
      </c>
      <c r="G8" s="4">
        <v>2.8</v>
      </c>
    </row>
    <row r="9" spans="1:8" ht="30">
      <c r="A9" s="19" t="s">
        <v>10</v>
      </c>
      <c r="B9" s="19"/>
      <c r="C9" s="19" t="s">
        <v>10</v>
      </c>
      <c r="D9" s="19" t="s">
        <v>119</v>
      </c>
      <c r="E9" t="s">
        <v>1300</v>
      </c>
      <c r="F9" s="7" t="s">
        <v>1301</v>
      </c>
      <c r="G9" s="4">
        <v>0.05</v>
      </c>
    </row>
    <row r="10" spans="1:8" ht="21" customHeight="1">
      <c r="A10" s="19" t="s">
        <v>10</v>
      </c>
      <c r="B10" s="19"/>
      <c r="C10" s="19" t="s">
        <v>10</v>
      </c>
      <c r="D10" s="19" t="s">
        <v>12</v>
      </c>
      <c r="E10" t="s">
        <v>1248</v>
      </c>
      <c r="F10" t="s">
        <v>1302</v>
      </c>
      <c r="G10" s="4">
        <v>0</v>
      </c>
    </row>
    <row r="11" spans="1:8" ht="26.25">
      <c r="A11" s="20" t="s">
        <v>11</v>
      </c>
      <c r="B11" s="20"/>
      <c r="C11" s="20" t="s">
        <v>11</v>
      </c>
      <c r="D11" s="20" t="s">
        <v>1093</v>
      </c>
      <c r="E11" s="23" t="s">
        <v>1303</v>
      </c>
      <c r="F11" s="18" t="s">
        <v>1304</v>
      </c>
      <c r="G11" s="16">
        <f>SUM(G13*G12*(1+G14))</f>
        <v>1.1287499999999999</v>
      </c>
      <c r="H11" s="16"/>
    </row>
    <row r="12" spans="1:8" ht="15.75">
      <c r="A12" s="20" t="s">
        <v>11</v>
      </c>
      <c r="B12" s="20"/>
      <c r="C12" s="20" t="s">
        <v>11</v>
      </c>
      <c r="D12" s="20" t="s">
        <v>1093</v>
      </c>
      <c r="E12" s="17" t="s">
        <v>1305</v>
      </c>
      <c r="F12" s="18" t="s">
        <v>1306</v>
      </c>
      <c r="G12" s="16">
        <f>G32</f>
        <v>0.25</v>
      </c>
      <c r="H12" s="18" t="s">
        <v>1297</v>
      </c>
    </row>
    <row r="13" spans="1:8" ht="30">
      <c r="A13" s="19" t="s">
        <v>10</v>
      </c>
      <c r="B13" s="19"/>
      <c r="C13" s="19" t="s">
        <v>10</v>
      </c>
      <c r="D13" s="19" t="s">
        <v>119</v>
      </c>
      <c r="E13" t="s">
        <v>1307</v>
      </c>
      <c r="F13" s="7" t="s">
        <v>1308</v>
      </c>
      <c r="G13" s="4">
        <v>4.3</v>
      </c>
    </row>
    <row r="14" spans="1:8" ht="30">
      <c r="A14" s="19" t="s">
        <v>10</v>
      </c>
      <c r="B14" s="19"/>
      <c r="C14" s="19" t="s">
        <v>10</v>
      </c>
      <c r="D14" s="19" t="s">
        <v>119</v>
      </c>
      <c r="E14" t="s">
        <v>1309</v>
      </c>
      <c r="F14" s="7" t="s">
        <v>1310</v>
      </c>
      <c r="G14" s="4">
        <v>0.05</v>
      </c>
    </row>
    <row r="15" spans="1:8" ht="30" customHeight="1">
      <c r="A15" s="19" t="s">
        <v>10</v>
      </c>
      <c r="B15" s="19"/>
      <c r="C15" s="19" t="s">
        <v>10</v>
      </c>
      <c r="D15" s="19" t="s">
        <v>12</v>
      </c>
      <c r="E15" t="s">
        <v>1245</v>
      </c>
      <c r="F15" t="s">
        <v>1311</v>
      </c>
      <c r="G15" s="4">
        <v>0</v>
      </c>
    </row>
    <row r="16" spans="1:8" ht="26.25">
      <c r="A16" s="20" t="s">
        <v>11</v>
      </c>
      <c r="B16" s="20"/>
      <c r="C16" s="20" t="s">
        <v>11</v>
      </c>
      <c r="D16" s="20" t="s">
        <v>1093</v>
      </c>
      <c r="E16" s="23" t="s">
        <v>1312</v>
      </c>
      <c r="F16" s="18" t="s">
        <v>1313</v>
      </c>
      <c r="G16" s="16">
        <f>SUM(G18*G17*(1+G19))</f>
        <v>0.39375000000000004</v>
      </c>
      <c r="H16" s="16"/>
    </row>
    <row r="17" spans="1:8" ht="15.75">
      <c r="A17" s="20" t="s">
        <v>11</v>
      </c>
      <c r="B17" s="20"/>
      <c r="C17" s="20" t="s">
        <v>11</v>
      </c>
      <c r="D17" s="20" t="s">
        <v>1093</v>
      </c>
      <c r="E17" s="17" t="s">
        <v>1314</v>
      </c>
      <c r="F17" s="18" t="s">
        <v>1315</v>
      </c>
      <c r="G17" s="16">
        <f>G32</f>
        <v>0.25</v>
      </c>
      <c r="H17" s="18" t="s">
        <v>1297</v>
      </c>
    </row>
    <row r="18" spans="1:8" ht="15.75">
      <c r="A18" s="19" t="s">
        <v>10</v>
      </c>
      <c r="B18" s="19"/>
      <c r="C18" s="19" t="s">
        <v>10</v>
      </c>
      <c r="D18" s="19" t="s">
        <v>119</v>
      </c>
      <c r="E18" t="s">
        <v>1316</v>
      </c>
      <c r="F18" s="7" t="s">
        <v>1317</v>
      </c>
      <c r="G18" s="4">
        <v>1.5</v>
      </c>
    </row>
    <row r="19" spans="1:8" ht="30">
      <c r="A19" s="19" t="s">
        <v>10</v>
      </c>
      <c r="B19" s="19"/>
      <c r="C19" s="19" t="s">
        <v>10</v>
      </c>
      <c r="D19" s="19" t="s">
        <v>119</v>
      </c>
      <c r="E19" t="s">
        <v>1318</v>
      </c>
      <c r="F19" s="7" t="s">
        <v>1319</v>
      </c>
      <c r="G19" s="4">
        <v>0.05</v>
      </c>
    </row>
    <row r="20" spans="1:8" ht="24" customHeight="1">
      <c r="A20" s="19" t="s">
        <v>10</v>
      </c>
      <c r="B20" s="19"/>
      <c r="C20" s="19" t="s">
        <v>10</v>
      </c>
      <c r="D20" s="19" t="s">
        <v>12</v>
      </c>
      <c r="E20" t="s">
        <v>1320</v>
      </c>
      <c r="F20" t="s">
        <v>1321</v>
      </c>
      <c r="G20" s="4">
        <v>0</v>
      </c>
    </row>
    <row r="21" spans="1:8" ht="36" customHeight="1">
      <c r="A21" s="313" t="s">
        <v>1322</v>
      </c>
      <c r="B21" s="313"/>
      <c r="C21" s="313"/>
      <c r="D21" s="313"/>
      <c r="E21" s="313"/>
      <c r="F21" s="313"/>
      <c r="G21" s="313"/>
      <c r="H21" s="313"/>
    </row>
    <row r="22" spans="1:8" ht="28.5" customHeight="1">
      <c r="A22" s="17" t="s">
        <v>11</v>
      </c>
      <c r="B22" s="17"/>
      <c r="C22" s="17" t="s">
        <v>11</v>
      </c>
      <c r="D22" s="17" t="s">
        <v>1093</v>
      </c>
      <c r="E22" s="23" t="s">
        <v>1323</v>
      </c>
      <c r="F22" s="18" t="s">
        <v>1324</v>
      </c>
      <c r="G22" s="16">
        <f>11400*1.3*G24</f>
        <v>0</v>
      </c>
      <c r="H22" s="16"/>
    </row>
    <row r="23" spans="1:8" ht="28.5" customHeight="1">
      <c r="A23" s="17" t="s">
        <v>11</v>
      </c>
      <c r="B23" s="17"/>
      <c r="C23" s="17" t="s">
        <v>11</v>
      </c>
      <c r="D23" s="17" t="s">
        <v>1093</v>
      </c>
      <c r="E23" s="23" t="s">
        <v>1325</v>
      </c>
      <c r="F23" s="18" t="s">
        <v>1326</v>
      </c>
      <c r="G23" s="16">
        <f>11400*1.3*G26</f>
        <v>0</v>
      </c>
      <c r="H23" s="16"/>
    </row>
    <row r="24" spans="1:8" ht="30">
      <c r="A24" t="s">
        <v>11</v>
      </c>
      <c r="C24" t="s">
        <v>10</v>
      </c>
      <c r="D24" t="s">
        <v>119</v>
      </c>
      <c r="E24" s="29" t="s">
        <v>1327</v>
      </c>
      <c r="F24" s="7" t="s">
        <v>1328</v>
      </c>
    </row>
    <row r="25" spans="1:8" ht="30">
      <c r="A25" t="s">
        <v>10</v>
      </c>
      <c r="C25" t="s">
        <v>10</v>
      </c>
      <c r="D25" t="s">
        <v>12</v>
      </c>
      <c r="E25" s="29" t="s">
        <v>1248</v>
      </c>
      <c r="F25" s="7" t="s">
        <v>1329</v>
      </c>
    </row>
    <row r="26" spans="1:8" ht="30">
      <c r="A26" t="s">
        <v>11</v>
      </c>
      <c r="C26" t="s">
        <v>10</v>
      </c>
      <c r="D26" t="s">
        <v>119</v>
      </c>
      <c r="E26" s="29" t="s">
        <v>1330</v>
      </c>
      <c r="F26" s="7" t="s">
        <v>1331</v>
      </c>
    </row>
    <row r="27" spans="1:8" ht="30">
      <c r="A27" t="s">
        <v>10</v>
      </c>
      <c r="C27" t="s">
        <v>10</v>
      </c>
      <c r="D27" t="s">
        <v>12</v>
      </c>
      <c r="E27" s="29" t="s">
        <v>1320</v>
      </c>
      <c r="F27" s="7" t="s">
        <v>1332</v>
      </c>
    </row>
    <row r="28" spans="1:8" ht="21">
      <c r="A28" s="314" t="s">
        <v>1333</v>
      </c>
      <c r="B28" s="314"/>
      <c r="C28" s="314"/>
      <c r="D28" s="314"/>
      <c r="E28" s="314"/>
      <c r="F28" s="314"/>
      <c r="G28" s="314"/>
      <c r="H28" s="314"/>
    </row>
    <row r="29" spans="1:8" ht="92.25" customHeight="1">
      <c r="A29" s="77" t="s">
        <v>10</v>
      </c>
      <c r="B29" s="77"/>
      <c r="C29" s="77" t="s">
        <v>11</v>
      </c>
      <c r="D29" s="77" t="s">
        <v>1132</v>
      </c>
      <c r="E29" s="78" t="s">
        <v>1334</v>
      </c>
      <c r="F29" s="83" t="s">
        <v>1335</v>
      </c>
      <c r="G29" s="77" t="s">
        <v>1336</v>
      </c>
      <c r="H29" s="78" t="s">
        <v>1337</v>
      </c>
    </row>
    <row r="30" spans="1:8" ht="102" customHeight="1">
      <c r="A30" s="77" t="s">
        <v>10</v>
      </c>
      <c r="B30" s="77"/>
      <c r="C30" s="77" t="s">
        <v>11</v>
      </c>
      <c r="D30" s="77" t="s">
        <v>1132</v>
      </c>
      <c r="E30" s="86" t="s">
        <v>1338</v>
      </c>
      <c r="F30" s="83" t="s">
        <v>1339</v>
      </c>
      <c r="G30" s="86" t="s">
        <v>1340</v>
      </c>
      <c r="H30" s="82"/>
    </row>
    <row r="31" spans="1:8" ht="68.25" customHeight="1">
      <c r="A31" s="77" t="s">
        <v>10</v>
      </c>
      <c r="B31" s="77"/>
      <c r="C31" s="77" t="s">
        <v>11</v>
      </c>
      <c r="D31" s="77" t="s">
        <v>1132</v>
      </c>
      <c r="E31" s="86" t="s">
        <v>1341</v>
      </c>
      <c r="F31" s="83" t="s">
        <v>1342</v>
      </c>
      <c r="G31" s="86" t="s">
        <v>11</v>
      </c>
      <c r="H31" s="82" t="s">
        <v>1343</v>
      </c>
    </row>
    <row r="32" spans="1:8" ht="70.5" customHeight="1">
      <c r="A32" s="17" t="s">
        <v>11</v>
      </c>
      <c r="B32" s="17"/>
      <c r="C32" s="17" t="s">
        <v>11</v>
      </c>
      <c r="D32" s="17" t="s">
        <v>1093</v>
      </c>
      <c r="E32" s="101" t="s">
        <v>1344</v>
      </c>
      <c r="F32" s="18" t="s">
        <v>1345</v>
      </c>
      <c r="G32" s="16">
        <v>0.25</v>
      </c>
      <c r="H32" s="84" t="s">
        <v>1346</v>
      </c>
    </row>
    <row r="33" spans="1:8" ht="31.5" customHeight="1">
      <c r="A33" s="312" t="s">
        <v>1347</v>
      </c>
      <c r="B33" s="312"/>
      <c r="C33" s="312"/>
      <c r="D33" s="312"/>
      <c r="E33" s="312"/>
      <c r="F33" s="312"/>
      <c r="G33" s="312"/>
      <c r="H33" s="312"/>
    </row>
    <row r="34" spans="1:8" ht="105">
      <c r="A34" s="77" t="s">
        <v>10</v>
      </c>
      <c r="B34" s="77"/>
      <c r="C34" s="77" t="s">
        <v>11</v>
      </c>
      <c r="D34" s="77" t="s">
        <v>1132</v>
      </c>
      <c r="E34" s="83" t="s">
        <v>1348</v>
      </c>
      <c r="F34" s="83" t="s">
        <v>1349</v>
      </c>
      <c r="G34" s="83" t="s">
        <v>1350</v>
      </c>
      <c r="H34" s="83" t="s">
        <v>1351</v>
      </c>
    </row>
    <row r="35" spans="1:8" ht="45">
      <c r="A35" s="77" t="s">
        <v>10</v>
      </c>
      <c r="B35" s="77"/>
      <c r="C35" s="77" t="s">
        <v>11</v>
      </c>
      <c r="D35" s="77" t="s">
        <v>1132</v>
      </c>
      <c r="E35" s="83" t="s">
        <v>1352</v>
      </c>
      <c r="F35" s="83" t="s">
        <v>1353</v>
      </c>
      <c r="G35" s="86" t="s">
        <v>1354</v>
      </c>
      <c r="H35" s="83" t="s">
        <v>1355</v>
      </c>
    </row>
    <row r="36" spans="1:8" ht="90">
      <c r="A36" s="77" t="s">
        <v>10</v>
      </c>
      <c r="B36" s="77"/>
      <c r="C36" s="77" t="s">
        <v>11</v>
      </c>
      <c r="D36" s="77" t="s">
        <v>1132</v>
      </c>
      <c r="E36" s="83" t="s">
        <v>1356</v>
      </c>
      <c r="F36" s="83" t="s">
        <v>1357</v>
      </c>
      <c r="G36" s="83" t="s">
        <v>1358</v>
      </c>
      <c r="H36" s="82" t="s">
        <v>1359</v>
      </c>
    </row>
    <row r="37" spans="1:8" ht="63" customHeight="1">
      <c r="A37" s="17" t="s">
        <v>11</v>
      </c>
      <c r="B37" s="17"/>
      <c r="C37" s="17" t="s">
        <v>11</v>
      </c>
      <c r="D37" s="17" t="s">
        <v>1093</v>
      </c>
      <c r="E37" s="101" t="s">
        <v>1344</v>
      </c>
      <c r="F37" s="18" t="s">
        <v>1360</v>
      </c>
      <c r="G37" s="16">
        <f>IF(G36="Heat Generation ignored",'Tool 05.2 Power Plants'!G3,(IF(G36="Fuel consumption",'Tool 05.2 Power Plants'!G4)))</f>
        <v>1.7670440000000003</v>
      </c>
      <c r="H37" s="16" t="s">
        <v>1361</v>
      </c>
    </row>
    <row r="38" spans="1:8" ht="21">
      <c r="A38" s="312" t="s">
        <v>1362</v>
      </c>
      <c r="B38" s="312"/>
      <c r="C38" s="312"/>
      <c r="D38" s="312"/>
      <c r="E38" s="312"/>
      <c r="F38" s="312"/>
      <c r="G38" s="312"/>
      <c r="H38" s="312"/>
    </row>
    <row r="39" spans="1:8" ht="90">
      <c r="A39" s="77" t="s">
        <v>10</v>
      </c>
      <c r="B39" s="77"/>
      <c r="C39" s="77" t="s">
        <v>11</v>
      </c>
      <c r="D39" s="77" t="s">
        <v>1132</v>
      </c>
      <c r="E39" s="83" t="s">
        <v>1363</v>
      </c>
      <c r="F39" s="83" t="s">
        <v>1364</v>
      </c>
      <c r="G39" s="86" t="s">
        <v>1105</v>
      </c>
      <c r="H39" s="82" t="s">
        <v>1365</v>
      </c>
    </row>
    <row r="40" spans="1:8" ht="45" customHeight="1">
      <c r="A40" s="17" t="s">
        <v>11</v>
      </c>
      <c r="B40" s="17"/>
      <c r="C40" s="17" t="s">
        <v>11</v>
      </c>
      <c r="D40" s="17" t="s">
        <v>1093</v>
      </c>
      <c r="E40" s="101" t="s">
        <v>1344</v>
      </c>
      <c r="F40" s="18" t="s">
        <v>1345</v>
      </c>
      <c r="G40" s="16">
        <f>IF(G39="Option A",1.3,0.4)</f>
        <v>1.3</v>
      </c>
      <c r="H40" s="102" t="s">
        <v>1366</v>
      </c>
    </row>
    <row r="41" spans="1:8" ht="21">
      <c r="A41" s="312"/>
      <c r="B41" s="312"/>
      <c r="C41" s="312"/>
      <c r="D41" s="312"/>
      <c r="E41" s="312"/>
      <c r="F41" s="312"/>
      <c r="G41" s="312"/>
      <c r="H41" s="312"/>
    </row>
    <row r="42" spans="1:8" ht="225">
      <c r="A42" s="77" t="s">
        <v>10</v>
      </c>
      <c r="B42" s="77"/>
      <c r="C42" s="77" t="s">
        <v>11</v>
      </c>
      <c r="D42" s="77" t="s">
        <v>1132</v>
      </c>
      <c r="E42" s="77"/>
      <c r="F42" s="83" t="s">
        <v>1367</v>
      </c>
      <c r="G42" s="86" t="s">
        <v>1368</v>
      </c>
      <c r="H42" s="78"/>
    </row>
    <row r="43" spans="1:8">
      <c r="A43" s="77" t="s">
        <v>10</v>
      </c>
      <c r="B43" s="77"/>
      <c r="C43" s="77" t="s">
        <v>11</v>
      </c>
      <c r="D43" s="77" t="s">
        <v>1369</v>
      </c>
      <c r="E43" s="77"/>
      <c r="F43" s="78" t="s">
        <v>1370</v>
      </c>
      <c r="G43" s="78" t="s">
        <v>1371</v>
      </c>
      <c r="H43" s="78"/>
    </row>
    <row r="44" spans="1:8" ht="36.75" customHeight="1">
      <c r="A44" s="77" t="s">
        <v>10</v>
      </c>
      <c r="B44" s="77"/>
      <c r="C44" s="77" t="s">
        <v>11</v>
      </c>
      <c r="D44" s="77" t="s">
        <v>1369</v>
      </c>
      <c r="E44" s="77"/>
      <c r="F44" s="78" t="s">
        <v>1372</v>
      </c>
      <c r="G44" s="78" t="s">
        <v>1373</v>
      </c>
      <c r="H44" s="78"/>
    </row>
    <row r="45" spans="1:8" ht="60">
      <c r="A45" s="77" t="s">
        <v>10</v>
      </c>
      <c r="B45" s="77"/>
      <c r="C45" s="77" t="s">
        <v>11</v>
      </c>
      <c r="D45" s="77" t="s">
        <v>1369</v>
      </c>
      <c r="E45" s="77"/>
      <c r="F45" s="78" t="s">
        <v>1374</v>
      </c>
      <c r="G45" s="78" t="s">
        <v>1375</v>
      </c>
      <c r="H45" s="78" t="s">
        <v>1376</v>
      </c>
    </row>
  </sheetData>
  <mergeCells count="8">
    <mergeCell ref="A38:H38"/>
    <mergeCell ref="A21:H21"/>
    <mergeCell ref="A41:H41"/>
    <mergeCell ref="A3:H3"/>
    <mergeCell ref="A2:H2"/>
    <mergeCell ref="A5:H5"/>
    <mergeCell ref="A33:H33"/>
    <mergeCell ref="A28:H28"/>
  </mergeCells>
  <phoneticPr fontId="7" type="noConversion"/>
  <dataValidations count="9">
    <dataValidation type="list" allowBlank="1" showInputMessage="1" showErrorMessage="1" sqref="G29" xr:uid="{78891731-2708-4EC4-A4F1-ED702B45DBBC}">
      <formula1>"Option A1,Option A2"</formula1>
    </dataValidation>
    <dataValidation type="list" allowBlank="1" showInputMessage="1" showErrorMessage="1" sqref="G30" xr:uid="{9738E4F5-4EDF-4F6F-B1D8-AD601BECD5E6}">
      <formula1>"Option 2.1,Option 2.2"</formula1>
    </dataValidation>
    <dataValidation type="list" allowBlank="1" showInputMessage="1" showErrorMessage="1" sqref="G31" xr:uid="{A2539530-D6B1-4831-B09A-5722C574E1B2}">
      <formula1>"Yes,No"</formula1>
    </dataValidation>
    <dataValidation type="list" allowBlank="1" showInputMessage="1" showErrorMessage="1" sqref="G4" xr:uid="{46E6383D-8242-4246-B804-50B00568F9AF}">
      <formula1>"A: From the Grid,B: Off-Grid Captive Power Plants,C: From the Grid and Captive Power Plant"</formula1>
    </dataValidation>
    <dataValidation type="list" allowBlank="1" showInputMessage="1" showErrorMessage="1" sqref="G34" xr:uid="{C7D56248-6D87-4466-87C5-31D9C1C5C950}">
      <formula1>"Yes: Alternative Approach, No: Generic Approach"</formula1>
    </dataValidation>
    <dataValidation type="list" allowBlank="1" showInputMessage="1" showErrorMessage="1" sqref="G35" xr:uid="{D72C0C55-7813-410A-834A-3BEA8579E783}">
      <formula1>"Monitored Data, Default Values"</formula1>
    </dataValidation>
    <dataValidation type="list" allowBlank="1" showInputMessage="1" showErrorMessage="1" sqref="G36" xr:uid="{8781B0FC-2237-4398-9D75-FBF0311C3736}">
      <formula1>"Heat Generation ignored,Fuel consumption"</formula1>
    </dataValidation>
    <dataValidation type="list" allowBlank="1" showInputMessage="1" showErrorMessage="1" sqref="G39" xr:uid="{56B6D4BF-041B-4784-BEF8-B4F4E59592B1}">
      <formula1>"Option A,Option B"</formula1>
    </dataValidation>
    <dataValidation type="list" allowBlank="1" showInputMessage="1" showErrorMessage="1" sqref="G42" xr:uid="{9927CA8C-61B5-44F4-B547-F20E24927D52}">
      <formula1>"Case 1,Case 2, Case 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
  <cp:revision/>
  <dcterms:created xsi:type="dcterms:W3CDTF">2023-08-10T21:37:31Z</dcterms:created>
  <dcterms:modified xsi:type="dcterms:W3CDTF">2023-12-20T16:37:15Z</dcterms:modified>
  <cp:category/>
  <cp:contentStatus/>
</cp:coreProperties>
</file>