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defaultThemeVersion="166925"/>
  <mc:AlternateContent xmlns:mc="http://schemas.openxmlformats.org/markup-compatibility/2006">
    <mc:Choice Requires="x15">
      <x15ac:absPath xmlns:x15ac="http://schemas.microsoft.com/office/spreadsheetml/2010/11/ac" url="https://envisionblockchain-my.sharepoint.com/personal/jailine_molina_envisionblockchain_com/Documents/"/>
    </mc:Choice>
  </mc:AlternateContent>
  <xr:revisionPtr revIDLastSave="0" documentId="8_{9DB5A993-F011-42C1-A612-4654F65907AA}" xr6:coauthVersionLast="47" xr6:coauthVersionMax="47" xr10:uidLastSave="{00000000-0000-0000-0000-000000000000}"/>
  <bookViews>
    <workbookView xWindow="28680" yWindow="-120" windowWidth="29040" windowHeight="15840" xr2:uid="{7CA4505D-C3EE-D44D-A20B-1E58640558CA}"/>
  </bookViews>
  <sheets>
    <sheet name="AMS-I.A." sheetId="1" r:id="rId1"/>
    <sheet name="ACM0002 Geothermal &amp; Hydro" sheetId="7" r:id="rId2"/>
    <sheet name="Power Density Integrated" sheetId="8" r:id="rId3"/>
    <sheet name="Tool 33 " sheetId="2" r:id="rId4"/>
    <sheet name="Tool 03" sheetId="13" r:id="rId5"/>
    <sheet name="Tool 04 - SWDS-Yearly" sheetId="14" r:id="rId6"/>
    <sheet name="SWDS Emissions Summary Tab " sheetId="15" r:id="rId7"/>
    <sheet name="Tool 04 Dropdown Items" sheetId="16" r:id="rId8"/>
    <sheet name="Tool 12 - Freight Trains" sheetId="17" r:id="rId9"/>
    <sheet name="Tool 12 Emissions Summary Tab" sheetId="18" r:id="rId10"/>
    <sheet name="Tool 12 Dropdown Items" sheetId="19" r:id="rId11"/>
    <sheet name="Tool 13" sheetId="20" r:id="rId12"/>
    <sheet name="MCF Defaults" sheetId="21" r:id="rId13"/>
    <sheet name="Tool 16" sheetId="33" r:id="rId14"/>
    <sheet name="Biomass Emissions Summary Tab " sheetId="34" r:id="rId15"/>
    <sheet name="Dropdown Items" sheetId="35" r:id="rId16"/>
    <sheet name="Default Values" sheetId="36" r:id="rId17"/>
    <sheet name="Tool 05.1" sheetId="22" r:id="rId18"/>
    <sheet name="Tool 05.2 Power Plants" sheetId="23" r:id="rId19"/>
    <sheet name="Tool 05.3 Default Values" sheetId="24" r:id="rId20"/>
    <sheet name="Tool 06" sheetId="38" r:id="rId21"/>
    <sheet name="Tool 14" sheetId="37" r:id="rId22"/>
    <sheet name="Tool 01" sheetId="27" r:id="rId23"/>
    <sheet name="IWA Properties" sheetId="28" r:id="rId24"/>
  </sheets>
  <externalReferences>
    <externalReference r:id="rId25"/>
    <externalReference r:id="rId26"/>
    <externalReference r:id="rId27"/>
    <externalReference r:id="rId28"/>
    <externalReference r:id="rId29"/>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5" i="20" l="1"/>
  <c r="G20" i="20"/>
  <c r="G16" i="20"/>
  <c r="G3" i="20"/>
  <c r="F67" i="37" s="1"/>
  <c r="F63" i="37"/>
  <c r="F50" i="38"/>
  <c r="F48" i="38"/>
  <c r="F67" i="38" s="1"/>
  <c r="F47" i="38" l="1"/>
  <c r="F45" i="38" s="1"/>
  <c r="F44" i="38" s="1"/>
  <c r="F64" i="38"/>
  <c r="F65" i="38"/>
  <c r="F66" i="38"/>
  <c r="F60" i="38" l="1"/>
  <c r="F62" i="38"/>
  <c r="F61" i="38"/>
  <c r="F58" i="38" s="1"/>
  <c r="F59" i="38" l="1"/>
  <c r="F57" i="38"/>
  <c r="F56" i="38" s="1"/>
  <c r="F54" i="38" s="1"/>
  <c r="F52" i="38" s="1"/>
  <c r="F69" i="38" s="1"/>
  <c r="F17" i="37" l="1"/>
  <c r="F55" i="37"/>
  <c r="F15" i="37" s="1"/>
  <c r="F47" i="37"/>
  <c r="F89" i="37"/>
  <c r="F87" i="37"/>
  <c r="F85" i="37"/>
  <c r="F83" i="37"/>
  <c r="F79" i="37"/>
  <c r="F77" i="37"/>
  <c r="F75" i="37"/>
  <c r="F69" i="37" s="1"/>
  <c r="F74" i="37"/>
  <c r="F72" i="37"/>
  <c r="F66" i="37"/>
  <c r="F65" i="37" s="1"/>
  <c r="F60" i="37"/>
  <c r="F57" i="37"/>
  <c r="F16" i="37" s="1"/>
  <c r="F52" i="37"/>
  <c r="F49" i="37"/>
  <c r="F14" i="37" s="1"/>
  <c r="F42" i="37"/>
  <c r="F35" i="37"/>
  <c r="F37" i="37" s="1"/>
  <c r="F29" i="37" s="1"/>
  <c r="F34" i="37"/>
  <c r="F31" i="37" s="1"/>
  <c r="F33" i="37"/>
  <c r="F32" i="37"/>
  <c r="F26" i="37"/>
  <c r="F24" i="37"/>
  <c r="F19" i="37" s="1"/>
  <c r="F23" i="37"/>
  <c r="F13" i="37"/>
  <c r="F28" i="37" l="1"/>
  <c r="G38" i="22" l="1"/>
  <c r="G37" i="22"/>
  <c r="G11" i="23"/>
  <c r="G10" i="23"/>
  <c r="G23" i="23"/>
  <c r="G22" i="23"/>
  <c r="G35" i="23"/>
  <c r="G34" i="23"/>
  <c r="G31" i="23"/>
  <c r="B11" i="34"/>
  <c r="B4" i="34"/>
  <c r="B3" i="34"/>
  <c r="D136" i="33"/>
  <c r="D135" i="33"/>
  <c r="D134" i="33"/>
  <c r="D133" i="33"/>
  <c r="D132" i="33"/>
  <c r="D131" i="33"/>
  <c r="D130" i="33"/>
  <c r="C130" i="33"/>
  <c r="C136" i="33" s="1"/>
  <c r="B12" i="34" s="1"/>
  <c r="D129" i="33"/>
  <c r="D128" i="33"/>
  <c r="D127" i="33"/>
  <c r="D126" i="33"/>
  <c r="D125" i="33"/>
  <c r="D124" i="33"/>
  <c r="C124" i="33"/>
  <c r="D123" i="33"/>
  <c r="D122" i="33"/>
  <c r="D121" i="33"/>
  <c r="D120" i="33"/>
  <c r="D119" i="33"/>
  <c r="D118" i="33"/>
  <c r="D117" i="33"/>
  <c r="D116" i="33"/>
  <c r="C116" i="33"/>
  <c r="B10" i="34" s="1"/>
  <c r="D115" i="33"/>
  <c r="D114" i="33"/>
  <c r="D113" i="33"/>
  <c r="D112" i="33"/>
  <c r="D111" i="33"/>
  <c r="C111" i="33"/>
  <c r="B9" i="34" s="1"/>
  <c r="D110" i="33"/>
  <c r="D109" i="33"/>
  <c r="D108" i="33"/>
  <c r="D107" i="33"/>
  <c r="D106" i="33"/>
  <c r="D105" i="33"/>
  <c r="D104" i="33"/>
  <c r="D103" i="33"/>
  <c r="D102" i="33"/>
  <c r="D101" i="33"/>
  <c r="C101" i="33"/>
  <c r="C107" i="33" s="1"/>
  <c r="B6" i="34" s="1"/>
  <c r="D100" i="33"/>
  <c r="D99" i="33"/>
  <c r="D98" i="33"/>
  <c r="D97" i="33"/>
  <c r="D96" i="33"/>
  <c r="D95" i="33"/>
  <c r="C95" i="33"/>
  <c r="D94" i="33"/>
  <c r="D93" i="33"/>
  <c r="D92" i="33"/>
  <c r="D91" i="33"/>
  <c r="D90" i="33"/>
  <c r="D89" i="33"/>
  <c r="D88" i="33"/>
  <c r="D87" i="33"/>
  <c r="D86" i="33"/>
  <c r="D85" i="33"/>
  <c r="C85" i="33"/>
  <c r="D84" i="33"/>
  <c r="D83" i="33"/>
  <c r="D82" i="33"/>
  <c r="D81" i="33"/>
  <c r="D80" i="33"/>
  <c r="D79" i="33"/>
  <c r="C79" i="33"/>
  <c r="C91" i="33" s="1"/>
  <c r="B5" i="34" s="1"/>
  <c r="D78" i="33"/>
  <c r="D77" i="33"/>
  <c r="D76" i="33"/>
  <c r="D75" i="33"/>
  <c r="D74" i="33"/>
  <c r="D73" i="33"/>
  <c r="D72" i="33"/>
  <c r="D71" i="33"/>
  <c r="D70" i="33"/>
  <c r="D69" i="33"/>
  <c r="D68" i="33"/>
  <c r="D66" i="33"/>
  <c r="C66" i="33"/>
  <c r="C70" i="33" s="1"/>
  <c r="D65" i="33"/>
  <c r="D64" i="33"/>
  <c r="D63" i="33"/>
  <c r="D62" i="33"/>
  <c r="D61" i="33"/>
  <c r="D60" i="33"/>
  <c r="D59" i="33"/>
  <c r="D58" i="33"/>
  <c r="D57" i="33"/>
  <c r="D56" i="33"/>
  <c r="D55" i="33"/>
  <c r="D54" i="33"/>
  <c r="C54" i="33"/>
  <c r="C56" i="33" s="1"/>
  <c r="D53" i="33"/>
  <c r="D52" i="33"/>
  <c r="D51" i="33"/>
  <c r="D50" i="33"/>
  <c r="D48" i="33"/>
  <c r="C48" i="33"/>
  <c r="D47" i="33"/>
  <c r="C47" i="33"/>
  <c r="D46" i="33"/>
  <c r="D45" i="33"/>
  <c r="D44" i="33"/>
  <c r="D43" i="33"/>
  <c r="C43" i="33"/>
  <c r="D42" i="33"/>
  <c r="D41" i="33"/>
  <c r="D40" i="33"/>
  <c r="D38" i="33"/>
  <c r="C38" i="33"/>
  <c r="D37" i="33"/>
  <c r="D36" i="33"/>
  <c r="D35" i="33"/>
  <c r="D34" i="33"/>
  <c r="D33" i="33"/>
  <c r="D32" i="33"/>
  <c r="D31" i="33"/>
  <c r="D30" i="33"/>
  <c r="D29" i="33"/>
  <c r="D28" i="33"/>
  <c r="D27" i="33"/>
  <c r="D26" i="33"/>
  <c r="D25" i="33"/>
  <c r="D24" i="33"/>
  <c r="D23" i="33"/>
  <c r="D22" i="33"/>
  <c r="D21" i="33"/>
  <c r="D20" i="33"/>
  <c r="D19" i="33"/>
  <c r="C17" i="33"/>
  <c r="D16" i="33"/>
  <c r="D15" i="33"/>
  <c r="D14" i="33"/>
  <c r="D13" i="33"/>
  <c r="D12" i="33"/>
  <c r="D11" i="33"/>
  <c r="D10" i="33"/>
  <c r="D9" i="33"/>
  <c r="D8" i="33"/>
  <c r="D7" i="33"/>
  <c r="D6" i="33"/>
  <c r="C71" i="33" l="1"/>
  <c r="B2" i="34" s="1"/>
  <c r="B7" i="34" s="1"/>
  <c r="B13" i="34"/>
  <c r="H72" i="1" l="1"/>
  <c r="C17" i="17" l="1"/>
  <c r="G8" i="23"/>
  <c r="G23" i="22"/>
  <c r="G22" i="22"/>
  <c r="G17" i="22"/>
  <c r="G16" i="22" s="1"/>
  <c r="G12" i="22"/>
  <c r="G11" i="22" s="1"/>
  <c r="G7" i="22"/>
  <c r="G6" i="22" s="1"/>
  <c r="G62" i="20"/>
  <c r="G55" i="20"/>
  <c r="G54" i="20"/>
  <c r="G53" i="20"/>
  <c r="G51" i="20"/>
  <c r="G50" i="20"/>
  <c r="G49" i="20"/>
  <c r="G44" i="20"/>
  <c r="G43" i="20" s="1"/>
  <c r="G28" i="20"/>
  <c r="G27" i="20" s="1"/>
  <c r="G24" i="20"/>
  <c r="G22" i="20" s="1"/>
  <c r="G9" i="20"/>
  <c r="I17" i="18"/>
  <c r="I13" i="18"/>
  <c r="H13" i="18"/>
  <c r="G13" i="18"/>
  <c r="F13" i="18"/>
  <c r="E13" i="18"/>
  <c r="D13" i="18"/>
  <c r="C13" i="18"/>
  <c r="B13" i="18"/>
  <c r="I3" i="18"/>
  <c r="I7" i="18" s="1"/>
  <c r="H3" i="18"/>
  <c r="G3" i="18"/>
  <c r="F3" i="18"/>
  <c r="E3" i="18"/>
  <c r="D3" i="18"/>
  <c r="C3" i="18"/>
  <c r="B3" i="18"/>
  <c r="A3" i="18"/>
  <c r="D21" i="17"/>
  <c r="D20" i="17"/>
  <c r="C20" i="17"/>
  <c r="C21" i="17" s="1"/>
  <c r="D19" i="17"/>
  <c r="D18" i="17"/>
  <c r="D17" i="17"/>
  <c r="D16" i="17"/>
  <c r="D15" i="17"/>
  <c r="D14" i="17"/>
  <c r="D2" i="15"/>
  <c r="D8" i="15" s="1"/>
  <c r="C2" i="15"/>
  <c r="C8" i="15" s="1"/>
  <c r="B2" i="15"/>
  <c r="B8" i="15" s="1"/>
  <c r="C85" i="14"/>
  <c r="C84" i="14"/>
  <c r="C75" i="14"/>
  <c r="D71" i="14"/>
  <c r="D69" i="14"/>
  <c r="C69" i="14"/>
  <c r="C83" i="14" s="1"/>
  <c r="D66" i="14"/>
  <c r="C66" i="14"/>
  <c r="D65" i="14"/>
  <c r="D64" i="14"/>
  <c r="D62" i="14"/>
  <c r="C62" i="14"/>
  <c r="C82" i="14" s="1"/>
  <c r="D59" i="14"/>
  <c r="C59" i="14"/>
  <c r="D58" i="14"/>
  <c r="D57" i="14"/>
  <c r="D56" i="14"/>
  <c r="D54" i="14"/>
  <c r="C54" i="14"/>
  <c r="D53" i="14"/>
  <c r="D52" i="14"/>
  <c r="D51" i="14"/>
  <c r="D50" i="14"/>
  <c r="D48" i="14"/>
  <c r="C48" i="14"/>
  <c r="D45" i="14"/>
  <c r="C45" i="14"/>
  <c r="C76" i="14" s="1"/>
  <c r="D44" i="14"/>
  <c r="C44" i="14"/>
  <c r="D43" i="14"/>
  <c r="D42" i="14"/>
  <c r="D40" i="14"/>
  <c r="D38" i="14"/>
  <c r="D35" i="14"/>
  <c r="C35" i="14"/>
  <c r="D34" i="14"/>
  <c r="C34" i="14"/>
  <c r="D33" i="14"/>
  <c r="C33" i="14"/>
  <c r="D32" i="14"/>
  <c r="C32" i="14"/>
  <c r="D31" i="14"/>
  <c r="C31" i="14"/>
  <c r="D30" i="14"/>
  <c r="C30" i="14"/>
  <c r="D29" i="14"/>
  <c r="C29" i="14"/>
  <c r="D28" i="14"/>
  <c r="C28" i="14"/>
  <c r="D26" i="14"/>
  <c r="C26" i="14"/>
  <c r="C77" i="14" s="1"/>
  <c r="D22" i="14"/>
  <c r="D21" i="14"/>
  <c r="D19" i="14"/>
  <c r="D18" i="14"/>
  <c r="D17" i="14"/>
  <c r="D16" i="14"/>
  <c r="D15" i="14"/>
  <c r="D14" i="14"/>
  <c r="D13" i="14"/>
  <c r="D12" i="14"/>
  <c r="D11" i="14"/>
  <c r="G37" i="13"/>
  <c r="G33" i="13"/>
  <c r="G32" i="13"/>
  <c r="G30" i="13"/>
  <c r="G28" i="13" s="1"/>
  <c r="G19" i="13"/>
  <c r="G15" i="13"/>
  <c r="G14" i="13"/>
  <c r="G12" i="13" s="1"/>
  <c r="H127" i="1" a="1"/>
  <c r="H127" i="1" s="1"/>
  <c r="H119" i="1"/>
  <c r="H118" i="1"/>
  <c r="H117" i="1"/>
  <c r="H116" i="1"/>
  <c r="H115" i="1"/>
  <c r="G32" i="23" l="1"/>
  <c r="G20" i="23"/>
  <c r="G7" i="23"/>
  <c r="G19" i="23"/>
  <c r="C86" i="14"/>
  <c r="G10" i="13"/>
  <c r="G3" i="13"/>
  <c r="H113" i="1"/>
  <c r="G4" i="23" l="1"/>
  <c r="G3" i="23"/>
  <c r="H111" i="1"/>
  <c r="H109" i="1"/>
  <c r="H110" i="1"/>
  <c r="H108" i="1"/>
  <c r="H134" i="1"/>
  <c r="H133" i="1"/>
  <c r="H132" i="1"/>
  <c r="G21" i="7"/>
  <c r="G3" i="8"/>
  <c r="G6" i="8" s="1"/>
  <c r="G15" i="7"/>
  <c r="G14" i="7"/>
  <c r="G5" i="7" s="1"/>
  <c r="G3" i="7" s="1"/>
  <c r="G13" i="7"/>
  <c r="G7" i="7"/>
  <c r="G4" i="7"/>
  <c r="H107" i="1" l="1"/>
  <c r="H105" i="1" s="1"/>
  <c r="H131" i="1"/>
  <c r="H98" i="1" l="1"/>
  <c r="H92" i="1"/>
  <c r="H84" i="1"/>
  <c r="H79" i="1"/>
  <c r="H67" i="1"/>
  <c r="H61" i="1"/>
  <c r="H52" i="1"/>
  <c r="H88" i="1" l="1"/>
  <c r="H58" i="1"/>
  <c r="H46" i="1" l="1"/>
  <c r="H43" i="1" s="1"/>
  <c r="H3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tc={26D3403C-65D7-484A-B53E-355EDB6D546C}</author>
    <author>tc={F6AB8585-A22D-CD44-8A1F-4DAEC9C0C6AE}</author>
    <author>tc={6DB9F140-3086-9143-9DF6-8DB49A683AEA}</author>
    <author>tc={B4CBA19C-5AC9-EF4D-8DD6-CF65CA34E9EE}</author>
    <author>tc={CFD729E1-041E-4B42-9BB3-CAB91DA65662}</author>
    <author>tc={8621C397-B410-5842-A475-C841C4536984}</author>
    <author>tc={7BB37307-7D93-BA40-A00E-965292CDAC83}</author>
    <author>tc={2469AB85-A2A7-2E41-82A6-F43888B99EBA}</author>
    <author>tc={A7924862-8D1B-3743-8322-025479EFE7BA}</author>
    <author>tc={8C868D16-C278-5440-B27F-DAC5EE3D8C89}</author>
    <author>tc={FF5999AA-1CF1-7341-9CC5-0F188CCBB88A}</author>
    <author>tc={A80C3BBC-D07A-1E4C-935A-4A921D595CA6}</author>
    <author>tc={F0E6FAAD-187B-FE42-A3B6-189268F8BCF9}</author>
    <author>tc={5337B32B-C888-0A42-B9E2-BC2EF5AF438C}</author>
    <author>tc={90A26CAA-3AA0-9F46-941C-E47906230798}</author>
    <author>tc={FBCB2B4F-4096-B146-AADD-806749235DB6}</author>
    <author>tc={5D8E2037-3365-684D-A048-D2FC331F0646}</author>
    <author>tc={9E7DF1BF-DFB1-D240-9700-D16F8A4F3AB0}</author>
  </authors>
  <commentList>
    <comment ref="G36" authorId="0" shapeId="0" xr:uid="{26D3403C-65D7-484A-B53E-355EDB6D546C}">
      <text>
        <t>[Threaded comment]
Your version of Excel allows you to read this threaded comment; however, any edits to it will get removed if the file is opened in a newer version of Excel. Learn more: https://go.microsoft.com/fwlink/?linkid=870924
Comment:
    Eq 1</t>
      </text>
    </comment>
    <comment ref="G38" authorId="1" shapeId="0" xr:uid="{F6AB8585-A22D-CD44-8A1F-4DAEC9C0C6AE}">
      <text>
        <t>[Threaded comment]
Your version of Excel allows you to read this threaded comment; however, any edits to it will get removed if the file is opened in a newer version of Excel. Learn more: https://go.microsoft.com/fwlink/?linkid=870924
Comment:
    Eq 2</t>
      </text>
    </comment>
    <comment ref="G72" authorId="2" shapeId="0" xr:uid="{6DB9F140-3086-9143-9DF6-8DB49A683AEA}">
      <text>
        <t>[Threaded comment]
Your version of Excel allows you to read this threaded comment; however, any edits to it will get removed if the file is opened in a newer version of Excel. Learn more: https://go.microsoft.com/fwlink/?linkid=870924
Comment:
    Eq 3</t>
      </text>
    </comment>
    <comment ref="G74" authorId="3" shapeId="0" xr:uid="{B4CBA19C-5AC9-EF4D-8DD6-CF65CA34E9EE}">
      <text>
        <t>[Threaded comment]
Your version of Excel allows you to read this threaded comment; however, any edits to it will get removed if the file is opened in a newer version of Excel. Learn more: https://go.microsoft.com/fwlink/?linkid=870924
Comment:
    Eq 4</t>
      </text>
    </comment>
    <comment ref="G88" authorId="4" shapeId="0" xr:uid="{CFD729E1-041E-4B42-9BB3-CAB91DA65662}">
      <text>
        <t>[Threaded comment]
Your version of Excel allows you to read this threaded comment; however, any edits to it will get removed if the file is opened in a newer version of Excel. Learn more: https://go.microsoft.com/fwlink/?linkid=870924
Comment:
    Eq 5</t>
      </text>
    </comment>
    <comment ref="G105" authorId="5" shapeId="0" xr:uid="{8621C397-B410-5842-A475-C841C4536984}">
      <text>
        <t>[Threaded comment]
Your version of Excel allows you to read this threaded comment; however, any edits to it will get removed if the file is opened in a newer version of Excel. Learn more: https://go.microsoft.com/fwlink/?linkid=870924
Comment:
    ACM0002 Geothermal &amp; Hydro</t>
      </text>
    </comment>
    <comment ref="G107" authorId="6" shapeId="0" xr:uid="{7BB37307-7D93-BA40-A00E-965292CDAC83}">
      <text>
        <t>[Threaded comment]
Your version of Excel allows you to read this threaded comment; however, any edits to it will get removed if the file is opened in a newer version of Excel. Learn more: https://go.microsoft.com/fwlink/?linkid=870924
Comment:
    TOOL16</t>
      </text>
    </comment>
    <comment ref="G108" authorId="7" shapeId="0" xr:uid="{2469AB85-A2A7-2E41-82A6-F43888B99EBA}">
      <text>
        <t>[Threaded comment]
Your version of Excel allows you to read this threaded comment; however, any edits to it will get removed if the file is opened in a newer version of Excel. Learn more: https://go.microsoft.com/fwlink/?linkid=870924
Comment:
    TOOL16</t>
      </text>
    </comment>
    <comment ref="G109" authorId="8" shapeId="0" xr:uid="{A7924862-8D1B-3743-8322-025479EFE7BA}">
      <text>
        <t>[Threaded comment]
Your version of Excel allows you to read this threaded comment; however, any edits to it will get removed if the file is opened in a newer version of Excel. Learn more: https://go.microsoft.com/fwlink/?linkid=870924
Comment:
    TOOL16</t>
      </text>
    </comment>
    <comment ref="G110" authorId="9" shapeId="0" xr:uid="{8C868D16-C278-5440-B27F-DAC5EE3D8C89}">
      <text>
        <t>[Threaded comment]
Your version of Excel allows you to read this threaded comment; however, any edits to it will get removed if the file is opened in a newer version of Excel. Learn more: https://go.microsoft.com/fwlink/?linkid=870924
Comment:
    TOOL16</t>
      </text>
    </comment>
    <comment ref="G111" authorId="10" shapeId="0" xr:uid="{FF5999AA-1CF1-7341-9CC5-0F188CCBB88A}">
      <text>
        <t>[Threaded comment]
Your version of Excel allows you to read this threaded comment; however, any edits to it will get removed if the file is opened in a newer version of Excel. Learn more: https://go.microsoft.com/fwlink/?linkid=870924
Comment:
    TOOL16</t>
      </text>
    </comment>
    <comment ref="G113" authorId="11" shapeId="0" xr:uid="{A80C3BBC-D07A-1E4C-935A-4A921D595CA6}">
      <text>
        <t>[Threaded comment]
Your version of Excel allows you to read this threaded comment; however, any edits to it will get removed if the file is opened in a newer version of Excel. Learn more: https://go.microsoft.com/fwlink/?linkid=870924
Comment:
    ACM0002 Geothermal &amp; Hydro</t>
      </text>
    </comment>
    <comment ref="G115" authorId="12" shapeId="0" xr:uid="{F0E6FAAD-187B-FE42-A3B6-189268F8BCF9}">
      <text>
        <t>[Threaded comment]
Your version of Excel allows you to read this threaded comment; however, any edits to it will get removed if the file is opened in a newer version of Excel. Learn more: https://go.microsoft.com/fwlink/?linkid=870924
Comment:
    TOOL16</t>
      </text>
    </comment>
    <comment ref="G116" authorId="13" shapeId="0" xr:uid="{5337B32B-C888-0A42-B9E2-BC2EF5AF438C}">
      <text>
        <t>[Threaded comment]
Your version of Excel allows you to read this threaded comment; however, any edits to it will get removed if the file is opened in a newer version of Excel. Learn more: https://go.microsoft.com/fwlink/?linkid=870924
Comment:
    TOOL16</t>
      </text>
    </comment>
    <comment ref="G117" authorId="14" shapeId="0" xr:uid="{90A26CAA-3AA0-9F46-941C-E47906230798}">
      <text>
        <t>[Threaded comment]
Your version of Excel allows you to read this threaded comment; however, any edits to it will get removed if the file is opened in a newer version of Excel. Learn more: https://go.microsoft.com/fwlink/?linkid=870924
Comment:
    TOOL16</t>
      </text>
    </comment>
    <comment ref="G118" authorId="15" shapeId="0" xr:uid="{FBCB2B4F-4096-B146-AADD-806749235DB6}">
      <text>
        <t>[Threaded comment]
Your version of Excel allows you to read this threaded comment; however, any edits to it will get removed if the file is opened in a newer version of Excel. Learn more: https://go.microsoft.com/fwlink/?linkid=870924
Comment:
    TOOL16</t>
      </text>
    </comment>
    <comment ref="G119" authorId="16" shapeId="0" xr:uid="{5D8E2037-3365-684D-A048-D2FC331F0646}">
      <text>
        <t>[Threaded comment]
Your version of Excel allows you to read this threaded comment; however, any edits to it will get removed if the file is opened in a newer version of Excel. Learn more: https://go.microsoft.com/fwlink/?linkid=870924
Comment:
    TOOL16</t>
      </text>
    </comment>
    <comment ref="G127" authorId="17" shapeId="0" xr:uid="{9E7DF1BF-DFB1-D240-9700-D16F8A4F3AB0}">
      <text>
        <t>[Threaded comment]
Your version of Excel allows you to read this threaded comment; however, any edits to it will get removed if the file is opened in a newer version of Excel. Learn more: https://go.microsoft.com/fwlink/?linkid=870924
Comment:
    TOOL16</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tc={658A58C9-DF09-46A9-8318-5DB87A05F575}</author>
    <author>tc={7F04D307-B8F5-43C7-AC00-9022A5CEEFA6}</author>
    <author>tc={6C31FF72-CBE7-49D5-A99F-FB8B47F144CF}</author>
  </authors>
  <commentList>
    <comment ref="A1" authorId="0" shapeId="0" xr:uid="{658A58C9-DF09-46A9-8318-5DB87A05F575}">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8" authorId="1" shapeId="0" xr:uid="{7F04D307-B8F5-43C7-AC00-9022A5CEEFA6}">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13" authorId="2" shapeId="0" xr:uid="{6C31FF72-CBE7-49D5-A99F-FB8B47F144CF}">
      <text>
        <t>[Threaded comment]
Your version of Excel allows you to read this threaded comment; however, any edits to it will get removed if the file is opened in a newer version of Excel. Learn more: https://go.microsoft.com/fwlink/?linkid=870924
Comment:
    Unless allowed by the methodology, only positive leakage, i.e. increased emissions outside the project boundary, can be accounted under this tool. If the result of the leakage calculation is negative, assume a value equals to zero.</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tc={13DF5B52-281B-DB48-9258-44E769F6C8DB}</author>
    <author>tc={34373172-DF46-FB44-BE7F-57B491CF25F5}</author>
    <author>tc={5FE5A2B3-6BDF-9D4E-B427-53E0E330EC59}</author>
    <author>tc={5EEB626A-159D-DE4A-A1E2-890D0A605219}</author>
    <author>tc={0E4206E0-14EC-F74D-9A54-93748DECF8D4}</author>
    <author>tc={068FE9D5-DECF-A24C-9C95-39EFEB0988EB}</author>
    <author>tc={56CCB49C-1569-784D-A262-DDA8C65308B8}</author>
    <author>tc={74C99BB0-B7A7-CB45-A36D-C2C88292F4F3}</author>
  </authors>
  <commentList>
    <comment ref="F6" authorId="0" shapeId="0" xr:uid="{13DF5B52-281B-DB48-9258-44E769F6C8DB}">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34373172-DF46-FB44-BE7F-57B491CF25F5}">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5FE5A2B3-6BDF-9D4E-B427-53E0E330EC59}">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5EEB626A-159D-DE4A-A1E2-890D0A605219}">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0E4206E0-14EC-F74D-9A54-93748DECF8D4}">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068FE9D5-DECF-A24C-9C95-39EFEB0988EB}">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56CCB49C-1569-784D-A262-DDA8C65308B8}">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74C99BB0-B7A7-CB45-A36D-C2C88292F4F3}">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tc={A13E5554-0619-AE46-968D-106D8399B580}</author>
    <author>tc={83B63896-A890-754A-9A69-8F4020F8AAE3}</author>
    <author>tc={FD752F9F-8934-D54E-AF03-12EC84329E9A}</author>
    <author>tc={CA5D8B72-FD0E-954C-AF5A-FDF0D290271B}</author>
    <author>tc={74F3303C-9181-8B43-B1AA-DA459F9E30DE}</author>
    <author>tc={85CACEF7-FD90-0640-8432-23FE95927B1C}</author>
    <author>tc={7ED628FB-3051-514C-BB85-69262E13D1DF}</author>
    <author>tc={D8A2B1E3-3D2A-B241-8640-00C38FEECED4}</author>
    <author>tc={A3A60352-E1FA-A947-864B-2AABC672A5E8}</author>
    <author>tc={560BED46-B5E4-3A4F-9AD7-762439EA04AE}</author>
    <author>tc={51A209CF-A9F6-7149-8A7F-5933A9014BF7}</author>
    <author>tc={232D33BD-8D43-FB44-9596-6880FD334E3F}</author>
    <author>tc={2F69D32C-9C76-4541-99FA-F81E9E98351E}</author>
    <author>tc={24129261-6858-214E-B403-2F0B825C4974}</author>
    <author>tc={5D2858CD-80C9-1644-A823-5040C8191504}</author>
    <author>tc={564BBBB9-8C20-AD46-9A3E-C9D037A5E00C}</author>
    <author>tc={B10FFF3A-B5F4-8E48-B11C-75210016BB1A}</author>
    <author>tc={14FC21B3-EC09-4445-994F-6163C49C4B35}</author>
    <author>tc={092C5A7C-B63A-7B40-BD2E-8CC0A58A6DA9}</author>
    <author>tc={D472D3F2-5D97-BF4A-A7C9-B2601373F8E8}</author>
  </authors>
  <commentList>
    <comment ref="F3" authorId="0" shapeId="0" xr:uid="{A13E5554-0619-AE46-968D-106D8399B580}">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83B63896-A890-754A-9A69-8F4020F8AAE3}">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FD752F9F-8934-D54E-AF03-12EC84329E9A}">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CA5D8B72-FD0E-954C-AF5A-FDF0D290271B}">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74F3303C-9181-8B43-B1AA-DA459F9E30DE}">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85CACEF7-FD90-0640-8432-23FE95927B1C}">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7ED628FB-3051-514C-BB85-69262E13D1DF}">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D8A2B1E3-3D2A-B241-8640-00C38FEECED4}">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A3A60352-E1FA-A947-864B-2AABC672A5E8}">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560BED46-B5E4-3A4F-9AD7-762439EA04AE}">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51A209CF-A9F6-7149-8A7F-5933A9014BF7}">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232D33BD-8D43-FB44-9596-6880FD334E3F}">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2F69D32C-9C76-4541-99FA-F81E9E98351E}">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24129261-6858-214E-B403-2F0B825C4974}">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5D2858CD-80C9-1644-A823-5040C8191504}">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564BBBB9-8C20-AD46-9A3E-C9D037A5E00C}">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B10FFF3A-B5F4-8E48-B11C-75210016BB1A}">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14FC21B3-EC09-4445-994F-6163C49C4B35}">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092C5A7C-B63A-7B40-BD2E-8CC0A58A6DA9}">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D472D3F2-5D97-BF4A-A7C9-B2601373F8E8}">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tc={A68D3C9A-297B-204C-B544-2D564DF5A4A2}</author>
  </authors>
  <commentList>
    <comment ref="D3" authorId="0" shapeId="0" xr:uid="{A68D3C9A-297B-204C-B544-2D564DF5A4A2}">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tc={81592903-67C8-441D-B7B6-E4A52512D239}</author>
    <author>tc={1DA0E428-FE80-4497-BDCA-8BA57ACD1051}</author>
    <author>tc={2C267DDA-5640-49A4-B3E6-2B7238F36362}</author>
    <author>tc={F0DF2E77-FDD0-43AB-BF65-CEFFAD42D250}</author>
    <author>tc={DF1A84C1-901F-43A7-9F15-08530795BC19}</author>
    <author>tc={95F22CB3-9E0D-4415-AFEF-B40CF1B2001C}</author>
    <author>tc={B567F26B-CA5B-4CA7-8597-53EA09E2AF9C}</author>
    <author>tc={1573046C-959D-4D17-98C9-AB3D43AF137C}</author>
    <author>tc={A73E5134-375C-4385-8724-96825FABF789}</author>
    <author>tc={14684210-4A1F-4216-A39B-424ECB9FB88D}</author>
    <author>tc={2A9A41EB-B71D-4A91-A76E-D0E635079C2B}</author>
    <author>tc={BE7142DA-5235-4A6C-9600-E03537C0292A}</author>
    <author>tc={DEAA7709-F77C-47A3-90BD-BEE3901DD0F4}</author>
    <author>tc={64BC3262-15B6-45BF-8867-B84F064844D5}</author>
    <author>tc={AFDC0F5B-ACE8-4DD6-9850-8BA4153A5166}</author>
    <author>tc={8FD43549-152F-4CAA-9048-E23F513115D2}</author>
    <author>tc={31C35A2B-8D91-408A-84FA-3B3385DB026A}</author>
    <author>tc={0C747B10-AE5E-43C1-ADFD-940BA19EDB10}</author>
    <author>tc={89BCA92F-EA32-4EAD-998C-57D7E167C78B}</author>
  </authors>
  <commentList>
    <comment ref="C44" authorId="0" shapeId="0" xr:uid="{81592903-67C8-441D-B7B6-E4A52512D239}">
      <text>
        <t>[Threaded comment]
Your version of Excel allows you to read this threaded comment; however, any edits to it will get removed if the file is opened in a newer version of Excel. Learn more: https://go.microsoft.com/fwlink/?linkid=870924
Comment:
    Eq 5</t>
      </text>
    </comment>
    <comment ref="C45" authorId="1" shapeId="0" xr:uid="{1DA0E428-FE80-4497-BDCA-8BA57ACD1051}">
      <text>
        <t>[Threaded comment]
Your version of Excel allows you to read this threaded comment; however, any edits to it will get removed if the file is opened in a newer version of Excel. Learn more: https://go.microsoft.com/fwlink/?linkid=870924
Comment:
    Eq 6</t>
      </text>
    </comment>
    <comment ref="C48" authorId="2" shapeId="0" xr:uid="{2C267DDA-5640-49A4-B3E6-2B7238F36362}">
      <text>
        <t>[Threaded comment]
Your version of Excel allows you to read this threaded comment; however, any edits to it will get removed if the file is opened in a newer version of Excel. Learn more: https://go.microsoft.com/fwlink/?linkid=870924
Comment:
    Eq 7</t>
      </text>
    </comment>
    <comment ref="C49" authorId="3" shapeId="0" xr:uid="{F0DF2E77-FDD0-43AB-BF65-CEFFAD42D250}">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0" authorId="4" shapeId="0" xr:uid="{DF1A84C1-901F-43A7-9F15-08530795BC19}">
      <text>
        <t>[Threaded comment]
Your version of Excel allows you to read this threaded comment; however, any edits to it will get removed if the file is opened in a newer version of Excel. Learn more: https://go.microsoft.com/fwlink/?linkid=870924
Comment:
    Eq 5 in tool 08</t>
      </text>
    </comment>
    <comment ref="C51" authorId="5" shapeId="0" xr:uid="{95F22CB3-9E0D-4415-AFEF-B40CF1B2001C}">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4" authorId="6" shapeId="0" xr:uid="{B567F26B-CA5B-4CA7-8597-53EA09E2AF9C}">
      <text>
        <t>[Threaded comment]
Your version of Excel allows you to read this threaded comment; however, any edits to it will get removed if the file is opened in a newer version of Excel. Learn more: https://go.microsoft.com/fwlink/?linkid=870924
Comment:
    Eq 3</t>
      </text>
    </comment>
    <comment ref="C56" authorId="7" shapeId="0" xr:uid="{1573046C-959D-4D17-98C9-AB3D43AF137C}">
      <text>
        <t>[Threaded comment]
Your version of Excel allows you to read this threaded comment; however, any edits to it will get removed if the file is opened in a newer version of Excel. Learn more: https://go.microsoft.com/fwlink/?linkid=870924
Comment:
    Eq 4</t>
      </text>
    </comment>
    <comment ref="C57" authorId="8" shapeId="0" xr:uid="{A73E5134-375C-4385-8724-96825FABF789}">
      <text>
        <t>[Threaded comment]
Your version of Excel allows you to read this threaded comment; however, any edits to it will get removed if the file is opened in a newer version of Excel. Learn more: https://go.microsoft.com/fwlink/?linkid=870924
Comment:
    Eq 8</t>
      </text>
    </comment>
    <comment ref="C58" authorId="9" shapeId="0" xr:uid="{14684210-4A1F-4216-A39B-424ECB9FB88D}">
      <text>
        <t>[Threaded comment]
Your version of Excel allows you to read this threaded comment; however, any edits to it will get removed if the file is opened in a newer version of Excel. Learn more: https://go.microsoft.com/fwlink/?linkid=870924
Comment:
    Eq 9</t>
      </text>
    </comment>
    <comment ref="C59" authorId="10" shapeId="0" xr:uid="{2A9A41EB-B71D-4A91-A76E-D0E635079C2B}">
      <text>
        <t>[Threaded comment]
Your version of Excel allows you to read this threaded comment; however, any edits to it will get removed if the file is opened in a newer version of Excel. Learn more: https://go.microsoft.com/fwlink/?linkid=870924
Comment:
    Eq 10</t>
      </text>
    </comment>
    <comment ref="C60" authorId="11" shapeId="0" xr:uid="{BE7142DA-5235-4A6C-9600-E03537C0292A}">
      <text>
        <t>[Threaded comment]
Your version of Excel allows you to read this threaded comment; however, any edits to it will get removed if the file is opened in a newer version of Excel. Learn more: https://go.microsoft.com/fwlink/?linkid=870924
Comment:
    Eq 11</t>
      </text>
    </comment>
    <comment ref="C61" authorId="12" shapeId="0" xr:uid="{DEAA7709-F77C-47A3-90BD-BEE3901DD0F4}">
      <text>
        <t>[Threaded comment]
Your version of Excel allows you to read this threaded comment; however, any edits to it will get removed if the file is opened in a newer version of Excel. Learn more: https://go.microsoft.com/fwlink/?linkid=870924
Comment:
    Eq 12</t>
      </text>
    </comment>
    <comment ref="C62" authorId="13" shapeId="0" xr:uid="{64BC3262-15B6-45BF-8867-B84F064844D5}">
      <text>
        <t>[Threaded comment]
Your version of Excel allows you to read this threaded comment; however, any edits to it will get removed if the file is opened in a newer version of Excel. Learn more: https://go.microsoft.com/fwlink/?linkid=870924
Comment:
    Eq 13</t>
      </text>
    </comment>
    <comment ref="C64" authorId="14" shapeId="0" xr:uid="{AFDC0F5B-ACE8-4DD6-9850-8BA4153A5166}">
      <text>
        <t>[Threaded comment]
Your version of Excel allows you to read this threaded comment; however, any edits to it will get removed if the file is opened in a newer version of Excel. Learn more: https://go.microsoft.com/fwlink/?linkid=870924
Comment:
    Eq 14</t>
      </text>
    </comment>
    <comment ref="C65" authorId="15" shapeId="0" xr:uid="{8FD43549-152F-4CAA-9048-E23F513115D2}">
      <text>
        <t>[Threaded comment]
Your version of Excel allows you to read this threaded comment; however, any edits to it will get removed if the file is opened in a newer version of Excel. Learn more: https://go.microsoft.com/fwlink/?linkid=870924
Comment:
    Eq 14</t>
      </text>
    </comment>
    <comment ref="C66" authorId="16" shapeId="0" xr:uid="{31C35A2B-8D91-408A-84FA-3B3385DB026A}">
      <text>
        <t>[Threaded comment]
Your version of Excel allows you to read this threaded comment; however, any edits to it will get removed if the file is opened in a newer version of Excel. Learn more: https://go.microsoft.com/fwlink/?linkid=870924
Comment:
    Eq 14</t>
      </text>
    </comment>
    <comment ref="C67" authorId="17" shapeId="0" xr:uid="{0C747B10-AE5E-43C1-ADFD-940BA19EDB10}">
      <text>
        <t>[Threaded comment]
Your version of Excel allows you to read this threaded comment; however, any edits to it will get removed if the file is opened in a newer version of Excel. Learn more: https://go.microsoft.com/fwlink/?linkid=870924
Comment:
    Eq 14</t>
      </text>
    </comment>
    <comment ref="C69" authorId="18" shapeId="0" xr:uid="{89BCA92F-EA32-4EAD-998C-57D7E167C78B}">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tc={9244E7C4-D1C2-476F-8B77-02EC50308BE0}</author>
    <author>tc={F87409E7-3D60-4604-8902-266C99C8208D}</author>
    <author>tc={CC78E025-C788-48F0-8440-ECA70F710C32}</author>
    <author>tc={1B956695-B10B-450B-8A3D-121D06C6439E}</author>
    <author>tc={1E9070EA-ED49-4AFB-AFB2-DF17366D275F}</author>
    <author>tc={4DC81CB5-5B7C-4977-9158-FEDFB6430E50}</author>
    <author>tc={927D7500-3F88-4C15-A7AD-267CB8FCB0B9}</author>
    <author>tc={850D0064-B6E6-4E23-A7E7-7E28D49B2379}</author>
    <author>tc={CE4CB946-089C-42AA-9E95-0C552670CCC7}</author>
    <author>tc={5BCFDF3B-136A-47D8-9684-45CB49EC1185}</author>
    <author>tc={5D582990-A7DF-4010-9D2A-5D2CC16BA4F7}</author>
    <author>tc={7832D3E7-543B-4171-8DD3-ED958140C0CF}</author>
    <author>tc={142487EC-5E12-4423-B726-C52B6D86727E}</author>
    <author>tc={D569AAD6-846E-42E3-BD17-42B25FA2B21E}</author>
    <author>tc={48BD38D0-BB27-426C-9F96-8C09B21EC93E}</author>
    <author>tc={3324CC5F-62E9-4FF2-BA0F-5D9069067E6C}</author>
    <author>tc={D1950F19-D9F7-4E21-8BDD-ED8A8A3FF564}</author>
    <author>tc={472F7B85-90D6-498C-A931-57B20B933DFD}</author>
    <author>tc={1C8CCA2E-04A2-42F2-9067-19A639BB2D56}</author>
    <author>tc={56DC9D28-86FA-4429-89DA-7E8C3396D272}</author>
    <author>tc={D574C588-BB1F-42E2-8F7E-800494698773}</author>
    <author>tc={BB90F9F8-85CD-4326-ACCD-5A74E1729D50}</author>
    <author>tc={6574F86B-119F-4794-AB4A-9CBDA9B69384}</author>
    <author>tc={D45300A5-CA77-49FC-A5DD-920A5A9DF350}</author>
    <author>tc={CC209F16-2C12-4214-8322-08A92AEEB8DE}</author>
    <author>tc={F70D13D2-3597-488E-8181-1F252E40B06B}</author>
    <author>tc={AD11F240-1424-4740-B614-6FF25EE3549B}</author>
  </authors>
  <commentList>
    <comment ref="E13" authorId="0" shapeId="0" xr:uid="{9244E7C4-D1C2-476F-8B77-02EC50308BE0}">
      <text>
        <t>[Threaded comment]
Your version of Excel allows you to read this threaded comment; however, any edits to it will get removed if the file is opened in a newer version of Excel. Learn more: https://go.microsoft.com/fwlink/?linkid=870924
Comment:
    Eq 1</t>
      </text>
    </comment>
    <comment ref="E14" authorId="1" shapeId="0" xr:uid="{F87409E7-3D60-4604-8902-266C99C8208D}">
      <text>
        <t>[Threaded comment]
Your version of Excel allows you to read this threaded comment; however, any edits to it will get removed if the file is opened in a newer version of Excel. Learn more: https://go.microsoft.com/fwlink/?linkid=870924
Comment:
    Eq 3</t>
      </text>
    </comment>
    <comment ref="E15" authorId="2" shapeId="0" xr:uid="{CC78E025-C788-48F0-8440-ECA70F710C32}">
      <text>
        <t>[Threaded comment]
Your version of Excel allows you to read this threaded comment; however, any edits to it will get removed if the file is opened in a newer version of Excel. Learn more: https://go.microsoft.com/fwlink/?linkid=870924
Comment:
    Tool 05</t>
      </text>
    </comment>
    <comment ref="F15" authorId="3" shapeId="0" xr:uid="{1B956695-B10B-450B-8A3D-121D06C6439E}">
      <text>
        <t>[Threaded comment]
Your version of Excel allows you to read this threaded comment; however, any edits to it will get removed if the file is opened in a newer version of Excel. Learn more: https://go.microsoft.com/fwlink/?linkid=870924
Comment:
    Comes from tool 03</t>
      </text>
    </comment>
    <comment ref="E16" authorId="4" shapeId="0" xr:uid="{1E9070EA-ED49-4AFB-AFB2-DF17366D275F}">
      <text>
        <t>[Threaded comment]
Your version of Excel allows you to read this threaded comment; however, any edits to it will get removed if the file is opened in a newer version of Excel. Learn more: https://go.microsoft.com/fwlink/?linkid=870924
Comment:
    Eq 4</t>
      </text>
    </comment>
    <comment ref="E19" authorId="5" shapeId="0" xr:uid="{4DC81CB5-5B7C-4977-9158-FEDFB6430E50}">
      <text>
        <t xml:space="preserve">[Threaded comment]
Your version of Excel allows you to read this threaded comment; however, any edits to it will get removed if the file is opened in a newer version of Excel. Learn more: https://go.microsoft.com/fwlink/?linkid=870924
Comment:
    Eq 4
Reply:
    Tool 8 Tool to determine the mass flow of a greenhouse gas in a gaseous stream </t>
      </text>
    </comment>
    <comment ref="E24" authorId="6" shapeId="0" xr:uid="{927D7500-3F88-4C15-A7AD-267CB8FCB0B9}">
      <text>
        <t>[Threaded comment]
Your version of Excel allows you to read this threaded comment; however, any edits to it will get removed if the file is opened in a newer version of Excel. Learn more: https://go.microsoft.com/fwlink/?linkid=870924
Comment:
    Eq 3</t>
      </text>
    </comment>
    <comment ref="E28" authorId="7" shapeId="0" xr:uid="{850D0064-B6E6-4E23-A7E7-7E28D49B2379}">
      <text>
        <t>[Threaded comment]
Your version of Excel allows you to read this threaded comment; however, any edits to it will get removed if the file is opened in a newer version of Excel. Learn more: https://go.microsoft.com/fwlink/?linkid=870924
Comment:
    Eq 9</t>
      </text>
    </comment>
    <comment ref="E29" authorId="8" shapeId="0" xr:uid="{CE4CB946-089C-42AA-9E95-0C552670CCC7}">
      <text>
        <t>[Threaded comment]
Your version of Excel allows you to read this threaded comment; however, any edits to it will get removed if the file is opened in a newer version of Excel. Learn more: https://go.microsoft.com/fwlink/?linkid=870924
Comment:
    Eq 15</t>
      </text>
    </comment>
    <comment ref="E31" authorId="9" shapeId="0" xr:uid="{5BCFDF3B-136A-47D8-9684-45CB49EC1185}">
      <text>
        <t>[Threaded comment]
Your version of Excel allows you to read this threaded comment; however, any edits to it will get removed if the file is opened in a newer version of Excel. Learn more: https://go.microsoft.com/fwlink/?linkid=870924
Comment:
    Eq 10</t>
      </text>
    </comment>
    <comment ref="F34" authorId="10" shapeId="0" xr:uid="{5D582990-A7DF-4010-9D2A-5D2CC16BA4F7}">
      <text>
        <t>[Threaded comment]
Your version of Excel allows you to read this threaded comment; however, any edits to it will get removed if the file is opened in a newer version of Excel. Learn more: https://go.microsoft.com/fwlink/?linkid=870924
Comment:
    Methane</t>
      </text>
    </comment>
    <comment ref="E37" authorId="11" shapeId="0" xr:uid="{7832D3E7-543B-4171-8DD3-ED958140C0CF}">
      <text>
        <t>[Threaded comment]
Your version of Excel allows you to read this threaded comment; however, any edits to it will get removed if the file is opened in a newer version of Excel. Learn more: https://go.microsoft.com/fwlink/?linkid=870924
Comment:
    Eq 16</t>
      </text>
    </comment>
    <comment ref="E38" authorId="12" shapeId="0" xr:uid="{142487EC-5E12-4423-B726-C52B6D86727E}">
      <text>
        <t>[Threaded comment]
Your version of Excel allows you to read this threaded comment; however, any edits to it will get removed if the file is opened in a newer version of Excel. Learn more: https://go.microsoft.com/fwlink/?linkid=870924
Comment:
    Eq 17</t>
      </text>
    </comment>
    <comment ref="E42" authorId="13" shapeId="0" xr:uid="{D569AAD6-846E-42E3-BD17-42B25FA2B21E}">
      <text>
        <t>[Threaded comment]
Your version of Excel allows you to read this threaded comment; however, any edits to it will get removed if the file is opened in a newer version of Excel. Learn more: https://go.microsoft.com/fwlink/?linkid=870924
Comment:
    Eq 2</t>
      </text>
    </comment>
    <comment ref="C46" authorId="14" shapeId="0" xr:uid="{48BD38D0-BB27-426C-9F96-8C09B21EC93E}">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47" authorId="15" shapeId="0" xr:uid="{3324CC5F-62E9-4FF2-BA0F-5D9069067E6C}">
      <text>
        <t>[Threaded comment]
Your version of Excel allows you to read this threaded comment; however, any edits to it will get removed if the file is opened in a newer version of Excel. Learn more: https://go.microsoft.com/fwlink/?linkid=870924
Comment:
    Eq 1
Reply:
    Tool 05</t>
      </text>
    </comment>
    <comment ref="E49" authorId="16" shapeId="0" xr:uid="{D1950F19-D9F7-4E21-8BDD-ED8A8A3FF564}">
      <text>
        <t>[Threaded comment]
Your version of Excel allows you to read this threaded comment; however, any edits to it will get removed if the file is opened in a newer version of Excel. Learn more: https://go.microsoft.com/fwlink/?linkid=870924
Comment:
    Eq 3</t>
      </text>
    </comment>
    <comment ref="C54" authorId="17" shapeId="0" xr:uid="{472F7B85-90D6-498C-A931-57B20B933DFD}">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55" authorId="18" shapeId="0" xr:uid="{1C8CCA2E-04A2-42F2-9067-19A639BB2D56}">
      <text>
        <t>[Threaded comment]
Your version of Excel allows you to read this threaded comment; however, any edits to it will get removed if the file is opened in a newer version of Excel. Learn more: https://go.microsoft.com/fwlink/?linkid=870924
Comment:
    Eq 1
Reply:
    Tool 03</t>
      </text>
    </comment>
    <comment ref="E57" authorId="19" shapeId="0" xr:uid="{56DC9D28-86FA-4429-89DA-7E8C3396D272}">
      <text>
        <t>[Threaded comment]
Your version of Excel allows you to read this threaded comment; however, any edits to it will get removed if the file is opened in a newer version of Excel. Learn more: https://go.microsoft.com/fwlink/?linkid=870924
Comment:
    Eq 4</t>
      </text>
    </comment>
    <comment ref="C62" authorId="20" shapeId="0" xr:uid="{D574C588-BB1F-42E2-8F7E-800494698773}">
      <text>
        <t>[Threaded comment]
Your version of Excel allows you to read this threaded comment; however, any edits to it will get removed if the file is opened in a newer version of Excel. Learn more: https://go.microsoft.com/fwlink/?linkid=870924
Comment:
    Data comes from Tool 06</t>
      </text>
    </comment>
    <comment ref="E63" authorId="21" shapeId="0" xr:uid="{BB90F9F8-85CD-4326-ACCD-5A74E1729D50}">
      <text>
        <t>[Threaded comment]
Your version of Excel allows you to read this threaded comment; however, any edits to it will get removed if the file is opened in a newer version of Excel. Learn more: https://go.microsoft.com/fwlink/?linkid=870924
Comment:
    Tool 06
Reply:
    Eq 15</t>
      </text>
    </comment>
    <comment ref="E65" authorId="22" shapeId="0" xr:uid="{6574F86B-119F-4794-AB4A-9CBDA9B69384}">
      <text>
        <t>[Threaded comment]
Your version of Excel allows you to read this threaded comment; however, any edits to it will get removed if the file is opened in a newer version of Excel. Learn more: https://go.microsoft.com/fwlink/?linkid=870924
Comment:
    Eq 5</t>
      </text>
    </comment>
    <comment ref="E69" authorId="23" shapeId="0" xr:uid="{D45300A5-CA77-49FC-A5DD-920A5A9DF350}">
      <text>
        <t>[Threaded comment]
Your version of Excel allows you to read this threaded comment; however, any edits to it will get removed if the file is opened in a newer version of Excel. Learn more: https://go.microsoft.com/fwlink/?linkid=870924
Comment:
    Eq 6</t>
      </text>
    </comment>
    <comment ref="E77" authorId="24" shapeId="0" xr:uid="{CC209F16-2C12-4214-8322-08A92AEEB8DE}">
      <text>
        <t>[Threaded comment]
Your version of Excel allows you to read this threaded comment; however, any edits to it will get removed if the file is opened in a newer version of Excel. Learn more: https://go.microsoft.com/fwlink/?linkid=870924
Comment:
    Eq 7</t>
      </text>
    </comment>
    <comment ref="E83" authorId="25" shapeId="0" xr:uid="{F70D13D2-3597-488E-8181-1F252E40B06B}">
      <text>
        <t>[Threaded comment]
Your version of Excel allows you to read this threaded comment; however, any edits to it will get removed if the file is opened in a newer version of Excel. Learn more: https://go.microsoft.com/fwlink/?linkid=870924
Comment:
    Eq 8</t>
      </text>
    </comment>
    <comment ref="E89" authorId="26" shapeId="0" xr:uid="{AD11F240-1424-4740-B614-6FF25EE3549B}">
      <text>
        <t>[Threaded comment]
Your version of Excel allows you to read this threaded comment; however, any edits to it will get removed if the file is opened in a newer version of Excel. Learn more: https://go.microsoft.com/fwlink/?linkid=870924
Comment:
    Eq 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tc={47BEF09F-2237-6A4E-9F83-C7A861BFD732}</author>
    <author>tc={5E666D6B-195E-594C-BC1A-A94C672C0C5A}</author>
    <author>tc={7C904CC1-014C-1241-9CBD-5012D6B28AB1}</author>
    <author>tc={1FDB6489-F7A5-FE49-9434-14FD30C74D7E}</author>
    <author>tc={1534E144-76E0-484B-9E8D-139044FD747A}</author>
    <author>tc={C9499978-D265-1747-A973-8BDC8844EE15}</author>
    <author>tc={015BBE73-07A0-5746-8EE0-33C2307C3846}</author>
    <author>tc={ACE94F3F-8B89-1944-842F-A070A95511A4}</author>
  </authors>
  <commentList>
    <comment ref="F3" authorId="0" shapeId="0" xr:uid="{47BEF09F-2237-6A4E-9F83-C7A861BFD732}">
      <text>
        <t>[Threaded comment]
Your version of Excel allows you to read this threaded comment; however, any edits to it will get removed if the file is opened in a newer version of Excel. Learn more: https://go.microsoft.com/fwlink/?linkid=870924
Comment:
    Equation #2</t>
      </text>
    </comment>
    <comment ref="F4" authorId="1" shapeId="0" xr:uid="{5E666D6B-195E-594C-BC1A-A94C672C0C5A}">
      <text>
        <t>[Threaded comment]
Your version of Excel allows you to read this threaded comment; however, any edits to it will get removed if the file is opened in a newer version of Excel. Learn more: https://go.microsoft.com/fwlink/?linkid=870924
Comment:
    Equation #3</t>
      </text>
    </comment>
    <comment ref="F5" authorId="2" shapeId="0" xr:uid="{7C904CC1-014C-1241-9CBD-5012D6B28AB1}">
      <text>
        <t>[Threaded comment]
Your version of Excel allows you to read this threaded comment; however, any edits to it will get removed if the file is opened in a newer version of Excel. Learn more: https://go.microsoft.com/fwlink/?linkid=870924
Comment:
    Equation #4</t>
      </text>
    </comment>
    <comment ref="F7" authorId="3" shapeId="0" xr:uid="{1FDB6489-F7A5-FE49-9434-14FD30C74D7E}">
      <text>
        <t>[Threaded comment]
Your version of Excel allows you to read this threaded comment; however, any edits to it will get removed if the file is opened in a newer version of Excel. Learn more: https://go.microsoft.com/fwlink/?linkid=870924
Comment:
    Equation #3</t>
      </text>
    </comment>
    <comment ref="F13" authorId="4" shapeId="0" xr:uid="{1534E144-76E0-484B-9E8D-139044FD747A}">
      <text>
        <t>[Threaded comment]
Your version of Excel allows you to read this threaded comment; however, any edits to it will get removed if the file is opened in a newer version of Excel. Learn more: https://go.microsoft.com/fwlink/?linkid=870924
Comment:
    Equation #4</t>
      </text>
    </comment>
    <comment ref="F14" authorId="5" shapeId="0" xr:uid="{C9499978-D265-1747-A973-8BDC8844EE15}">
      <text>
        <t>[Threaded comment]
Your version of Excel allows you to read this threaded comment; however, any edits to it will get removed if the file is opened in a newer version of Excel. Learn more: https://go.microsoft.com/fwlink/?linkid=870924
Comment:
    Equation #5</t>
      </text>
    </comment>
    <comment ref="F15" authorId="6" shapeId="0" xr:uid="{015BBE73-07A0-5746-8EE0-33C2307C3846}">
      <text>
        <t>[Threaded comment]
Your version of Excel allows you to read this threaded comment; however, any edits to it will get removed if the file is opened in a newer version of Excel. Learn more: https://go.microsoft.com/fwlink/?linkid=870924
Comment:
    Equation #6</t>
      </text>
    </comment>
    <comment ref="F21" authorId="7" shapeId="0" xr:uid="{ACE94F3F-8B89-1944-842F-A070A95511A4}">
      <text>
        <t>[Threaded comment]
Your version of Excel allows you to read this threaded comment; however, any edits to it will get removed if the file is opened in a newer version of Excel. Learn more: https://go.microsoft.com/fwlink/?linkid=870924
Comment:
    Equation #9 &amp; #10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tc={96413492-89CB-1346-A969-10A5DAF48899}</author>
    <author>tc={39B5FC09-36EF-4042-B88D-C5D3BCF4E8BB}</author>
  </authors>
  <commentList>
    <comment ref="F3" authorId="0" shapeId="0" xr:uid="{96413492-89CB-1346-A969-10A5DAF48899}">
      <text>
        <t>[Threaded comment]
Your version of Excel allows you to read this threaded comment; however, any edits to it will get removed if the file is opened in a newer version of Excel. Learn more: https://go.microsoft.com/fwlink/?linkid=870924
Comment:
    Equation #8</t>
      </text>
    </comment>
    <comment ref="F6" authorId="1" shapeId="0" xr:uid="{39B5FC09-36EF-4042-B88D-C5D3BCF4E8BB}">
      <text>
        <t>[Threaded comment]
Your version of Excel allows you to read this threaded comment; however, any edits to it will get removed if the file is opened in a newer version of Excel. Learn more: https://go.microsoft.com/fwlink/?linkid=870924
Comment:
    Equation #9 &amp; #10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tc={6DC797ED-461E-1545-87FA-1EA8D4B19253}</author>
  </authors>
  <commentList>
    <comment ref="F10" authorId="0" shapeId="0" xr:uid="{6DC797ED-461E-1545-87FA-1EA8D4B19253}">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tc={87BF3BD3-918D-C749-BAD5-6979CD3BB717}</author>
    <author>tc={1759444D-C0D0-CD42-A220-D7B22496CDA3}</author>
    <author>tc={702AC67C-5132-2C41-B279-96F4B8EC3AA9}</author>
    <author>tc={58A97CFC-607F-C64A-B3B3-85B5B215D55C}</author>
    <author>tc={26D0F9FB-5218-9141-A4A6-E1D4BBCAFC75}</author>
    <author>tc={BC74A192-0D46-3B45-B942-6B878EC477B9}</author>
    <author>tc={7FDDA259-A56F-294C-A886-298324E330E9}</author>
    <author>tc={9A75B998-310E-6A43-97E7-CC9407E4B2C0}</author>
  </authors>
  <commentList>
    <comment ref="B34" authorId="0" shapeId="0" xr:uid="{87BF3BD3-918D-C749-BAD5-6979CD3BB717}">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1759444D-C0D0-CD42-A220-D7B22496CDA3}">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702AC67C-5132-2C41-B279-96F4B8EC3AA9}">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58A97CFC-607F-C64A-B3B3-85B5B215D55C}">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26D0F9FB-5218-9141-A4A6-E1D4BBCAFC75}">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BC74A192-0D46-3B45-B942-6B878EC477B9}">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7FDDA259-A56F-294C-A886-298324E330E9}">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9A75B998-310E-6A43-97E7-CC9407E4B2C0}">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tc={E035A680-0011-AD4E-81D8-2046E9517D86}</author>
  </authors>
  <commentList>
    <comment ref="A2" authorId="0" shapeId="0" xr:uid="{E035A680-0011-AD4E-81D8-2046E9517D86}">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tc={91F5F009-7414-E444-B521-C50F439C59B4}</author>
  </authors>
  <commentList>
    <comment ref="A3" authorId="0" shapeId="0" xr:uid="{91F5F009-7414-E444-B521-C50F439C59B4}">
      <text>
        <t xml:space="preserve">[Threaded comment]
Your version of Excel allows you to read this threaded comment; however, any edits to it will get removed if the file is opened in a newer version of Excel. Learn more: https://go.microsoft.com/fwlink/?linkid=870924
Comment:
    Add a line for each transportation activity (f).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tc={ACDF3E79-6A4B-704E-92FE-DA0B9DA87822}</author>
    <author>tc={4274C863-2A82-1B44-A646-5FB740BCF84E}</author>
    <author>tc={EB7794F0-BEF7-5C45-918C-912DF960379F}</author>
    <author>tc={B5D9AEF8-A625-CF4B-87CF-D8C8960EF7E1}</author>
    <author>tc={11E774C7-9FC9-9B41-A51F-DC2F959ED823}</author>
    <author>tc={D8053A43-10DD-E74D-A7F8-28902C0AD6CE}</author>
    <author>tc={5DB67B6D-FE36-264E-8BAD-BD756DD822B5}</author>
    <author>tc={BB7301B7-24AF-6340-9190-97B6F4F01B21}</author>
    <author>tc={0D65D85D-A7FC-6743-AA67-094B5BF4C11F}</author>
  </authors>
  <commentList>
    <comment ref="F9" authorId="0" shapeId="0" xr:uid="{ACDF3E79-6A4B-704E-92FE-DA0B9DA87822}">
      <text>
        <t>[Threaded comment]
Your version of Excel allows you to read this threaded comment; however, any edits to it will get removed if the file is opened in a newer version of Excel. Learn more: https://go.microsoft.com/fwlink/?linkid=870924
Comment:
    Eq 2</t>
      </text>
    </comment>
    <comment ref="F16" authorId="1" shapeId="0" xr:uid="{4274C863-2A82-1B44-A646-5FB740BCF84E}">
      <text>
        <t>[Threaded comment]
Your version of Excel allows you to read this threaded comment; however, any edits to it will get removed if the file is opened in a newer version of Excel. Learn more: https://go.microsoft.com/fwlink/?linkid=870924
Comment:
    Tool 05</t>
      </text>
    </comment>
    <comment ref="F20" authorId="2" shapeId="0" xr:uid="{EB7794F0-BEF7-5C45-918C-912DF960379F}">
      <text>
        <t>[Threaded comment]
Your version of Excel allows you to read this threaded comment; however, any edits to it will get removed if the file is opened in a newer version of Excel. Learn more: https://go.microsoft.com/fwlink/?linkid=870924
Comment:
    Tool 03</t>
      </text>
    </comment>
    <comment ref="F22" authorId="3" shapeId="0" xr:uid="{B5D9AEF8-A625-CF4B-87CF-D8C8960EF7E1}">
      <text>
        <t>[Threaded comment]
Your version of Excel allows you to read this threaded comment; however, any edits to it will get removed if the file is opened in a newer version of Excel. Learn more: https://go.microsoft.com/fwlink/?linkid=870924
Comment:
    Eq 4</t>
      </text>
    </comment>
    <comment ref="F27" authorId="4" shapeId="0" xr:uid="{11E774C7-9FC9-9B41-A51F-DC2F959ED823}">
      <text>
        <t>[Threaded comment]
Your version of Excel allows you to read this threaded comment; however, any edits to it will get removed if the file is opened in a newer version of Excel. Learn more: https://go.microsoft.com/fwlink/?linkid=870924
Comment:
    Eq 5</t>
      </text>
    </comment>
    <comment ref="F28" authorId="5" shapeId="0" xr:uid="{D8053A43-10DD-E74D-A7F8-28902C0AD6CE}">
      <text>
        <t>[Threaded comment]
Your version of Excel allows you to read this threaded comment; however, any edits to it will get removed if the file is opened in a newer version of Excel. Learn more: https://go.microsoft.com/fwlink/?linkid=870924
Comment:
    Eq 6 for option 1 and default for option 2</t>
      </text>
    </comment>
    <comment ref="F43" authorId="6" shapeId="0" xr:uid="{5DB67B6D-FE36-264E-8BAD-BD756DD822B5}">
      <text>
        <t>[Threaded comment]
Your version of Excel allows you to read this threaded comment; however, any edits to it will get removed if the file is opened in a newer version of Excel. Learn more: https://go.microsoft.com/fwlink/?linkid=870924
Comment:
    Eq 7</t>
      </text>
    </comment>
    <comment ref="F44" authorId="7" shapeId="0" xr:uid="{BB7301B7-24AF-6340-9190-97B6F4F01B21}">
      <text>
        <t>[Threaded comment]
Your version of Excel allows you to read this threaded comment; however, any edits to it will get removed if the file is opened in a newer version of Excel. Learn more: https://go.microsoft.com/fwlink/?linkid=870924
Comment:
    Eq 8 for option 1 and default for option 2</t>
      </text>
    </comment>
    <comment ref="F49" authorId="8" shapeId="0" xr:uid="{0D65D85D-A7FC-6743-AA67-094B5BF4C11F}">
      <text>
        <t xml:space="preserve">[Threaded comment]
Your version of Excel allows you to read this threaded comment; however, any edits to it will get removed if the file is opened in a newer version of Excel. Learn more: https://go.microsoft.com/fwlink/?linkid=870924
Comment:
    Eq 9 with if/then for run-off wastewater that is collected and re-circulated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tc={FCDADEE1-7B57-40AD-A1ED-C54DFAA306F3}</author>
    <author>tc={F86A4886-EB3F-4A2C-BD0B-318E6F8BB178}</author>
    <author>tc={07B7AF7F-BE78-4D5B-A070-233774652D6C}</author>
    <author>tc={6DABC065-05ED-4574-91CB-E0D94529FB0F}</author>
    <author>tc={5E61A3BA-31BC-4FE1-91EB-81359CD8685C}</author>
    <author>tc={7AE6E3B9-92AF-400F-B4D3-62A02D4F0F4A}</author>
    <author>tc={94942C42-BA51-4275-800D-1D7FB06AD638}</author>
    <author>tc={2D495812-173B-4D1B-92B6-31A14E66F3D8}</author>
    <author>tc={2FD85ACB-585E-42B2-A003-06A7312B4393}</author>
    <author>tc={53AD4059-9BD7-4607-94F6-AE5474E1BA0A}</author>
    <author>tc={3FBB80CE-30A9-4B73-9FD5-7369829A0681}</author>
    <author>tc={F3DD8F2A-C0E4-4916-821D-57BCF7DA922C}</author>
    <author>tc={45C2D95A-7A28-49F8-A10D-5D87297619C1}</author>
    <author>tc={3E070A6F-C552-433E-9BD9-E96D5BEF84CF}</author>
    <author>tc={1D026F5B-126F-4F8A-9187-5A2BFC9A7421}</author>
  </authors>
  <commentList>
    <comment ref="B38" authorId="0" shapeId="0" xr:uid="{FCDADEE1-7B57-40AD-A1ED-C54DFAA306F3}">
      <text>
        <t>[Threaded comment]
Your version of Excel allows you to read this threaded comment; however, any edits to it will get removed if the file is opened in a newer version of Excel. Learn more: https://go.microsoft.com/fwlink/?linkid=870924
Comment:
    Equation 8</t>
      </text>
    </comment>
    <comment ref="B43" authorId="1" shapeId="0" xr:uid="{F86A4886-EB3F-4A2C-BD0B-318E6F8BB178}">
      <text>
        <t>[Threaded comment]
Your version of Excel allows you to read this threaded comment; however, any edits to it will get removed if the file is opened in a newer version of Excel. Learn more: https://go.microsoft.com/fwlink/?linkid=870924
Comment:
    Equation 7</t>
      </text>
    </comment>
    <comment ref="B48" authorId="2" shapeId="0" xr:uid="{07B7AF7F-BE78-4D5B-A070-233774652D6C}">
      <text>
        <t>[Threaded comment]
Your version of Excel allows you to read this threaded comment; however, any edits to it will get removed if the file is opened in a newer version of Excel. Learn more: https://go.microsoft.com/fwlink/?linkid=870924
Comment:
    Equation 6</t>
      </text>
    </comment>
    <comment ref="B54" authorId="3" shapeId="0" xr:uid="{6DABC065-05ED-4574-91CB-E0D94529FB0F}">
      <text>
        <t>[Threaded comment]
Your version of Excel allows you to read this threaded comment; however, any edits to it will get removed if the file is opened in a newer version of Excel. Learn more: https://go.microsoft.com/fwlink/?linkid=870924
Comment:
    Equation 5</t>
      </text>
    </comment>
    <comment ref="B56" authorId="4" shapeId="0" xr:uid="{5E61A3BA-31BC-4FE1-91EB-81359CD8685C}">
      <text>
        <t>[Threaded comment]
Your version of Excel allows you to read this threaded comment; however, any edits to it will get removed if the file is opened in a newer version of Excel. Learn more: https://go.microsoft.com/fwlink/?linkid=870924
Comment:
    Equation 4</t>
      </text>
    </comment>
    <comment ref="B66" authorId="5" shapeId="0" xr:uid="{7AE6E3B9-92AF-400F-B4D3-62A02D4F0F4A}">
      <text>
        <t>[Threaded comment]
Your version of Excel allows you to read this threaded comment; however, any edits to it will get removed if the file is opened in a newer version of Excel. Learn more: https://go.microsoft.com/fwlink/?linkid=870924
Comment:
    Equation 3</t>
      </text>
    </comment>
    <comment ref="B70" authorId="6" shapeId="0" xr:uid="{94942C42-BA51-4275-800D-1D7FB06AD638}">
      <text>
        <t>[Threaded comment]
Your version of Excel allows you to read this threaded comment; however, any edits to it will get removed if the file is opened in a newer version of Excel. Learn more: https://go.microsoft.com/fwlink/?linkid=870924
Comment:
    Equation 2</t>
      </text>
    </comment>
    <comment ref="B71" authorId="7" shapeId="0" xr:uid="{2D495812-173B-4D1B-92B6-31A14E66F3D8}">
      <text>
        <t>[Threaded comment]
Your version of Excel allows you to read this threaded comment; however, any edits to it will get removed if the file is opened in a newer version of Excel. Learn more: https://go.microsoft.com/fwlink/?linkid=870924
Comment:
    Equation 1</t>
      </text>
    </comment>
    <comment ref="B79" authorId="8" shapeId="0" xr:uid="{2FD85ACB-585E-42B2-A003-06A7312B4393}">
      <text>
        <t>[Threaded comment]
Your version of Excel allows you to read this threaded comment; however, any edits to it will get removed if the file is opened in a newer version of Excel. Learn more: https://go.microsoft.com/fwlink/?linkid=870924
Comment:
    Equation 13</t>
      </text>
    </comment>
    <comment ref="B85" authorId="9" shapeId="0" xr:uid="{53AD4059-9BD7-4607-94F6-AE5474E1BA0A}">
      <text>
        <t>[Threaded comment]
Your version of Excel allows you to read this threaded comment; however, any edits to it will get removed if the file is opened in a newer version of Excel. Learn more: https://go.microsoft.com/fwlink/?linkid=870924
Comment:
    Equation 11</t>
      </text>
    </comment>
    <comment ref="B91" authorId="10" shapeId="0" xr:uid="{3FBB80CE-30A9-4B73-9FD5-7369829A0681}">
      <text>
        <t>[Threaded comment]
Your version of Excel allows you to read this threaded comment; however, any edits to it will get removed if the file is opened in a newer version of Excel. Learn more: https://go.microsoft.com/fwlink/?linkid=870924
Comment:
    Equation 9</t>
      </text>
    </comment>
    <comment ref="B95" authorId="11" shapeId="0" xr:uid="{F3DD8F2A-C0E4-4916-821D-57BCF7DA922C}">
      <text>
        <t>[Threaded comment]
Your version of Excel allows you to read this threaded comment; however, any edits to it will get removed if the file is opened in a newer version of Excel. Learn more: https://go.microsoft.com/fwlink/?linkid=870924
Comment:
    Equation 14</t>
      </text>
    </comment>
    <comment ref="B101" authorId="12" shapeId="0" xr:uid="{45C2D95A-7A28-49F8-A10D-5D87297619C1}">
      <text>
        <t>[Threaded comment]
Your version of Excel allows you to read this threaded comment; however, any edits to it will get removed if the file is opened in a newer version of Excel. Learn more: https://go.microsoft.com/fwlink/?linkid=870924
Comment:
    Equation 12</t>
      </text>
    </comment>
    <comment ref="B107" authorId="13" shapeId="0" xr:uid="{3E070A6F-C552-433E-9BD9-E96D5BEF84CF}">
      <text>
        <t>[Threaded comment]
Your version of Excel allows you to read this threaded comment; however, any edits to it will get removed if the file is opened in a newer version of Excel. Learn more: https://go.microsoft.com/fwlink/?linkid=870924
Comment:
    Equation 10</t>
      </text>
    </comment>
    <comment ref="B116" authorId="14" shapeId="0" xr:uid="{1D026F5B-126F-4F8A-9187-5A2BFC9A7421}">
      <text>
        <t>[Threaded comment]
Your version of Excel allows you to read this threaded comment; however, any edits to it will get removed if the file is opened in a newer version of Excel. Learn more: https://go.microsoft.com/fwlink/?linkid=870924
Comment:
    Equation 15</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<sst xmlns="http://schemas.openxmlformats.org/spreadsheetml/2006/main" count="4382" uniqueCount="2092">
  <si>
    <t>Required Field</t>
  </si>
  <si>
    <t xml:space="preserve">Selective Disclosure </t>
  </si>
  <si>
    <t>Allow Multiple Answers</t>
  </si>
  <si>
    <t>Schema Type</t>
  </si>
  <si>
    <t xml:space="preserve">Properties </t>
  </si>
  <si>
    <t>Parameter</t>
  </si>
  <si>
    <t>Question</t>
  </si>
  <si>
    <t>Answer</t>
  </si>
  <si>
    <t xml:space="preserve">Notes </t>
  </si>
  <si>
    <t>Project Details</t>
  </si>
  <si>
    <t>Yes</t>
  </si>
  <si>
    <t>No</t>
  </si>
  <si>
    <t>String</t>
  </si>
  <si>
    <t>N/A</t>
  </si>
  <si>
    <t>Summary of the Project Description</t>
  </si>
  <si>
    <t>The Project consists in the installation of a greenfield renewable power plant. The Project will rely on solar power source through photovoltaic conversion technology to produce electricity, which will be delivered to X Energy Project.</t>
  </si>
  <si>
    <t>ActivityImpactModule.projectScope</t>
  </si>
  <si>
    <t>Sectoral Scope</t>
  </si>
  <si>
    <t xml:space="preserve">Project Scope: 01 </t>
  </si>
  <si>
    <t>ActivityImpactModule.projectType</t>
  </si>
  <si>
    <t>Project Type</t>
  </si>
  <si>
    <t xml:space="preserve">Project Category: Energy industries (renewable - / non-renewable sources) </t>
  </si>
  <si>
    <t>AccountableImpactOrganization.activityImpactModules</t>
  </si>
  <si>
    <t>Type of Activity</t>
  </si>
  <si>
    <t>Displacement of more-GHG-intensive, non-renewable electricity applications by introducing renewable energy technologies</t>
  </si>
  <si>
    <t>ActivityImpactModule.projectScale</t>
  </si>
  <si>
    <t>Project Scale</t>
  </si>
  <si>
    <t>Small-scale</t>
  </si>
  <si>
    <t>ActivityImpactModule.GeographicLocation.latitude</t>
  </si>
  <si>
    <t>Project Location Latitude</t>
  </si>
  <si>
    <t>6.381592° W</t>
  </si>
  <si>
    <t>ActivityImpactModule.GeographicLocation.longitude</t>
  </si>
  <si>
    <t>Project Location Longitude</t>
  </si>
  <si>
    <t>14.697886° N</t>
  </si>
  <si>
    <t>ActivityImpactModule.GeographicLocation.geoJsonOrKml</t>
  </si>
  <si>
    <t>Project Location GeoJSON (GeoJSON supports the following geometry types: Point, LineString, Polygon, MultiPoint, MultiLineString, MultiPolygon.)</t>
  </si>
  <si>
    <t>[14.697886, -6.381592]</t>
  </si>
  <si>
    <t>Project Eligibility</t>
  </si>
  <si>
    <t>The project is eligible under the scope of the VCS Program because: It results in CO2 emission reductions, one of the six Kyoto Protocol greenhouse gases, It consists in electricity generation using (small scale) solar power plant in a Least Developed Country.</t>
  </si>
  <si>
    <t>AccountableImpactOrganization.name</t>
  </si>
  <si>
    <t>Project Participant Organization Name</t>
  </si>
  <si>
    <t>X Energy Project</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</si>
  <si>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</si>
  <si>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</si>
  <si>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</si>
  <si>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</si>
  <si>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</si>
  <si>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</si>
  <si>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</si>
  <si>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</si>
  <si>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Mali</t>
  </si>
  <si>
    <t>Phone Number</t>
  </si>
  <si>
    <t xml:space="preserve">Project Participant Telephone </t>
  </si>
  <si>
    <t>(555) 222-3131</t>
  </si>
  <si>
    <t>Email</t>
  </si>
  <si>
    <t>Project Participant Email</t>
  </si>
  <si>
    <t>JD@gmail.com</t>
  </si>
  <si>
    <t>AccountableImpactOrganization.owners</t>
  </si>
  <si>
    <t>Project Ownership</t>
  </si>
  <si>
    <t>Participation under other GHG Programs</t>
  </si>
  <si>
    <t>Other Forms of Environmental Credit</t>
  </si>
  <si>
    <t xml:space="preserve">Select all that apply </t>
  </si>
  <si>
    <t>QualityStandard.methodologyAndTools</t>
  </si>
  <si>
    <t>Title and Reference of Methodologies</t>
  </si>
  <si>
    <t>CDM - AMS-I.A.</t>
  </si>
  <si>
    <t xml:space="preserve">Date  </t>
  </si>
  <si>
    <t>ActivityImpactModule.projectStartDate</t>
  </si>
  <si>
    <t>Project Start Date</t>
  </si>
  <si>
    <t>Date Range</t>
  </si>
  <si>
    <t>ActivityImpactModule.projectCreditingPeriod</t>
  </si>
  <si>
    <t>Crediting Period</t>
  </si>
  <si>
    <t>05/01/2018-05/01/2025</t>
  </si>
  <si>
    <t>ActivityImpactModule.projectMonitoringPeriod</t>
  </si>
  <si>
    <t>Monitoring Period</t>
  </si>
  <si>
    <t>Monitoring Plan</t>
  </si>
  <si>
    <t>Monitoring plan was structured based on AMS-I.A. criteria</t>
  </si>
  <si>
    <t>Compliance with Laws, Statutes and Other Regulatory Frameworks</t>
  </si>
  <si>
    <t>To date, there are no regulations and policies preventing the implementation of the project</t>
  </si>
  <si>
    <t>CoBenefit.unSdg</t>
  </si>
  <si>
    <t>Sustainable development</t>
  </si>
  <si>
    <t>SDG 8, SDG 13</t>
  </si>
  <si>
    <t>Further Information</t>
  </si>
  <si>
    <t>Questionnaire</t>
  </si>
  <si>
    <t xml:space="preserve">Select One </t>
  </si>
  <si>
    <t>To calculate your baseline emissions will you be using: Option 1: based on the electricity consumption of the households/user, Option 2: based on the annual electricity generation by the project activity, or Option 3: based on a trend-adjusted projection of historical fuel consumption?</t>
  </si>
  <si>
    <t>Option 1</t>
  </si>
  <si>
    <t xml:space="preserve">Will your projct emissions be resulting from geothermal power plants (e.g. noncondensable gases, electricity/fossil fuel consumption), from water reservoirs of hydro power plants, or from other renewable energy project activities? </t>
  </si>
  <si>
    <t>Other Renewable Energy</t>
  </si>
  <si>
    <t xml:space="preserve">Leakage emissions need to be considered for your project if either the energy generation equipment was transferred from another project activity or if the project activities utilize  biomass and/or biomass residues. If thse cases do not apply select none. </t>
  </si>
  <si>
    <t>None</t>
  </si>
  <si>
    <t xml:space="preserve">Baseline Emissions </t>
  </si>
  <si>
    <t>Auto-Calculate</t>
  </si>
  <si>
    <r>
      <rPr>
        <i/>
        <sz val="11"/>
        <color theme="1"/>
        <rFont val="Calibri (Body)"/>
      </rPr>
      <t>BE</t>
    </r>
    <r>
      <rPr>
        <i/>
        <vertAlign val="subscript"/>
        <sz val="11"/>
        <color theme="1"/>
        <rFont val="Calibri (Body)"/>
      </rPr>
      <t>y</t>
    </r>
  </si>
  <si>
    <t>Baseline emissions in year y (t CO2)</t>
  </si>
  <si>
    <t xml:space="preserve">If baseline emissions are based on electricity consumption of the households/user then use fiel H36 in "AMS-I.A." schema, if based on the annual electricity generation by the project activity then use field H72 in "AMS-I.A." schema, if based on a trend-adjusted projection of historical fuel consumption then use field H84 in "AMS-I.A." scheema </t>
  </si>
  <si>
    <t>Option 1. Baseline Emissions</t>
  </si>
  <si>
    <t xml:space="preserve">Yes </t>
  </si>
  <si>
    <t>Value shoul total to 19,904</t>
  </si>
  <si>
    <t xml:space="preserve">No </t>
  </si>
  <si>
    <t xml:space="preserve">Are you calculating energy emissions or using the equivalent level of lighting service instead for renewable energy? </t>
  </si>
  <si>
    <t xml:space="preserve">Lighting Service </t>
  </si>
  <si>
    <r>
      <rPr>
        <i/>
        <sz val="11"/>
        <color theme="1"/>
        <rFont val="Calibri (Body)"/>
      </rPr>
      <t>E</t>
    </r>
    <r>
      <rPr>
        <i/>
        <vertAlign val="subscript"/>
        <sz val="11"/>
        <color theme="1"/>
        <rFont val="Calibri (Body)"/>
      </rPr>
      <t>𝐵𝐿,y</t>
    </r>
  </si>
  <si>
    <t>Energy baseline in year y (kWh)</t>
  </si>
  <si>
    <t xml:space="preserve">If energy emissions are calculated then use the equation =SUM(H43,H58), if the equivalent level of lighting service is considered instead of energy then use field H39 in "AMS-I.A." schema </t>
  </si>
  <si>
    <t xml:space="preserve">Number </t>
  </si>
  <si>
    <r>
      <rPr>
        <i/>
        <sz val="11"/>
        <color theme="1"/>
        <rFont val="Calibri (Body)"/>
      </rPr>
      <t>L</t>
    </r>
    <r>
      <rPr>
        <i/>
        <vertAlign val="subscript"/>
        <sz val="11"/>
        <color theme="1"/>
        <rFont val="Calibri (Body)"/>
      </rPr>
      <t>𝐵𝐿,y</t>
    </r>
  </si>
  <si>
    <t xml:space="preserve">Lighting service equivalent in year y </t>
  </si>
  <si>
    <r>
      <rPr>
        <i/>
        <sz val="11"/>
        <color theme="1"/>
        <rFont val="Calibri (Body)"/>
      </rPr>
      <t>EF</t>
    </r>
    <r>
      <rPr>
        <i/>
        <vertAlign val="subscript"/>
        <sz val="11"/>
        <color theme="1"/>
        <rFont val="Calibri (Body)"/>
      </rPr>
      <t>𝐶𝑂2,y</t>
    </r>
  </si>
  <si>
    <t>Emission factor (t CO2/kWh)</t>
  </si>
  <si>
    <t xml:space="preserve">[Click to add Electricity Generation Unit] </t>
  </si>
  <si>
    <t xml:space="preserve">Renewable Electricity Generation Unit Type </t>
  </si>
  <si>
    <t>i</t>
  </si>
  <si>
    <t>Type of renewable electricity generation unit(s) implemented by the project activity</t>
  </si>
  <si>
    <t xml:space="preserve">[Click to add Consumer Type] </t>
  </si>
  <si>
    <t xml:space="preserve">Consumer Type (e.g. households, rural health centres, rural schools, grain milling, water pumping, irrigation, etc.) </t>
  </si>
  <si>
    <t>c</t>
  </si>
  <si>
    <t>Type of consumer (e.g. households, rural health centres, rural schools, grain milling, water pumping, irrigation, etc.) covered by the project activity</t>
  </si>
  <si>
    <r>
      <rPr>
        <i/>
        <sz val="11"/>
        <color theme="1"/>
        <rFont val="Calibri (Body)"/>
      </rPr>
      <t>n</t>
    </r>
    <r>
      <rPr>
        <i/>
        <vertAlign val="subscript"/>
        <sz val="11"/>
        <color theme="1"/>
        <rFont val="Calibri (Body)"/>
      </rPr>
      <t>𝑐,i</t>
    </r>
  </si>
  <si>
    <t>Number of consumers type c supplied with renewable electricity generation unit(s) type I</t>
  </si>
  <si>
    <r>
      <rPr>
        <i/>
        <sz val="11"/>
        <color theme="1"/>
        <rFont val="Calibri (Body)"/>
      </rPr>
      <t>EC</t>
    </r>
    <r>
      <rPr>
        <i/>
        <vertAlign val="subscript"/>
        <sz val="11"/>
        <color theme="1"/>
        <rFont val="Calibri (Body)"/>
      </rPr>
      <t>𝑐,𝑖,y</t>
    </r>
  </si>
  <si>
    <t>Electricity consumption by user type c supplied with unit type i in year y (kWh)</t>
  </si>
  <si>
    <t>TDL</t>
  </si>
  <si>
    <t>Average technical transmission and distribution losses that would have been observed in diesel powered mini-grids installed by public programmes or distribution companies in isolated areas, expressed as a fraction</t>
  </si>
  <si>
    <r>
      <t>n</t>
    </r>
    <r>
      <rPr>
        <i/>
        <vertAlign val="subscript"/>
        <sz val="11"/>
        <color theme="1"/>
        <rFont val="Calibri (Body)"/>
      </rPr>
      <t>𝑐,i</t>
    </r>
  </si>
  <si>
    <r>
      <t>EC</t>
    </r>
    <r>
      <rPr>
        <i/>
        <vertAlign val="subscript"/>
        <sz val="11"/>
        <color theme="1"/>
        <rFont val="Calibri (Body)"/>
      </rPr>
      <t>𝑐,𝑖,y</t>
    </r>
  </si>
  <si>
    <t xml:space="preserve">Option 2. Baseline Emissions </t>
  </si>
  <si>
    <t>Are you calculating energy emissions or using the equivalent level of lighting service instead for renewable energy?</t>
  </si>
  <si>
    <t xml:space="preserve">If energy emissions are calculated then use the equation =SUM(H79,H84), if the equivalent level of lighting service is considered instead of energy then use field H75 in "AMS-I.A." schema </t>
  </si>
  <si>
    <r>
      <rPr>
        <i/>
        <sz val="11"/>
        <color theme="1"/>
        <rFont val="Calibri (Body)"/>
      </rPr>
      <t>EG</t>
    </r>
    <r>
      <rPr>
        <i/>
        <vertAlign val="subscript"/>
        <sz val="11"/>
        <color theme="1"/>
        <rFont val="Calibri (Body)"/>
      </rPr>
      <t>𝑖,y</t>
    </r>
  </si>
  <si>
    <t>Electricity generation by the project activity unit(s) type i in year y (kWh)</t>
  </si>
  <si>
    <t xml:space="preserve">Option 3. Baseline Emissions </t>
  </si>
  <si>
    <r>
      <t>𝐵𝐸</t>
    </r>
    <r>
      <rPr>
        <i/>
        <vertAlign val="subscript"/>
        <sz val="11"/>
        <color theme="1"/>
        <rFont val="Calibri (Body)"/>
      </rPr>
      <t>y</t>
    </r>
  </si>
  <si>
    <t xml:space="preserve">Does this specific case involve lighting devices? If yes, a daily usage of 3.5 hours per day shall be assumed
for the projection of the fuel consumption (𝐹𝐶𝑗,y). </t>
  </si>
  <si>
    <t xml:space="preserve">If yes is selected, apply a default value of '3.5' for 𝐹𝐶𝑗,y in fields H91 and H97 in "AMS-I.A." schema. </t>
  </si>
  <si>
    <t xml:space="preserve">[Click to add Fuel Type] </t>
  </si>
  <si>
    <t xml:space="preserve">Combustion Fuel Type </t>
  </si>
  <si>
    <t>j</t>
  </si>
  <si>
    <t>Fuel type used for combustion</t>
  </si>
  <si>
    <r>
      <rPr>
        <i/>
        <sz val="11"/>
        <color theme="1"/>
        <rFont val="Calibri (Body)"/>
      </rPr>
      <t>FC</t>
    </r>
    <r>
      <rPr>
        <i/>
        <vertAlign val="subscript"/>
        <sz val="11"/>
        <color theme="1"/>
        <rFont val="Calibri (Body)"/>
      </rPr>
      <t>𝑗,y</t>
    </r>
  </si>
  <si>
    <t>Projected fuel consumption of fuel type j in year y (mass or volume unit)</t>
  </si>
  <si>
    <r>
      <t>NCV</t>
    </r>
    <r>
      <rPr>
        <i/>
        <vertAlign val="subscript"/>
        <sz val="11"/>
        <color theme="1"/>
        <rFont val="Calibri (Body)"/>
      </rPr>
      <t>j</t>
    </r>
  </si>
  <si>
    <t>Net calorific value of fuel type j (GJ per mass or volume unit)</t>
  </si>
  <si>
    <r>
      <rPr>
        <i/>
        <sz val="11"/>
        <color theme="1"/>
        <rFont val="Calibri (Body)"/>
      </rPr>
      <t>EF</t>
    </r>
    <r>
      <rPr>
        <i/>
        <vertAlign val="subscript"/>
        <sz val="11"/>
        <color theme="1"/>
        <rFont val="Calibri (Body)"/>
      </rPr>
      <t>𝐶𝑂2,j</t>
    </r>
  </si>
  <si>
    <t>CO2 emission factor of fuel type j (t CO2/GJ)</t>
  </si>
  <si>
    <r>
      <rPr>
        <i/>
        <sz val="11"/>
        <color theme="1"/>
        <rFont val="Calibri (Body)"/>
      </rPr>
      <t>NCV</t>
    </r>
    <r>
      <rPr>
        <i/>
        <vertAlign val="subscript"/>
        <sz val="11"/>
        <color theme="1"/>
        <rFont val="Calibri (Body)"/>
      </rPr>
      <t>j</t>
    </r>
  </si>
  <si>
    <t>Project Emissions</t>
  </si>
  <si>
    <r>
      <t>PE</t>
    </r>
    <r>
      <rPr>
        <i/>
        <vertAlign val="subscript"/>
        <sz val="11"/>
        <color theme="1"/>
        <rFont val="Calibri (Body)"/>
      </rPr>
      <t xml:space="preserve">y </t>
    </r>
  </si>
  <si>
    <t>Project emissions in year y (t CO2/yr)</t>
  </si>
  <si>
    <t>If the project emissions are related to the operation of geothermal power plants (e.g. noncondensable gases, electricity/fossil fuel consumption) then use field H105 in "AMS-I.A." schema,  if project emissions are from water reservoirs of hydro power plants then use field H113 in "AMS-I.A." schema, if  project emissions are from other types of renewable energy projects then use field H121 in "AMS-I.A." schema</t>
  </si>
  <si>
    <t xml:space="preserve">Project Emissions - Geothermal Power Plants </t>
  </si>
  <si>
    <t>Do project activities utilize biomass and/or biomass residues?</t>
  </si>
  <si>
    <r>
      <t>PE</t>
    </r>
    <r>
      <rPr>
        <i/>
        <vertAlign val="subscript"/>
        <sz val="11"/>
        <color theme="1"/>
        <rFont val="Calibri (Body)"/>
      </rPr>
      <t>BC</t>
    </r>
  </si>
  <si>
    <t>Project emissions resulting from the cultivation of biomass in a dedicated plantation of a CDM project activity that uses biomass</t>
  </si>
  <si>
    <r>
      <t>PE</t>
    </r>
    <r>
      <rPr>
        <i/>
        <vertAlign val="subscript"/>
        <sz val="11"/>
        <color theme="1"/>
        <rFont val="Calibri (Body)"/>
      </rPr>
      <t>BT</t>
    </r>
  </si>
  <si>
    <t>Project emissions resulting from the transportation of biomass</t>
  </si>
  <si>
    <r>
      <t>PE</t>
    </r>
    <r>
      <rPr>
        <i/>
        <vertAlign val="subscript"/>
        <sz val="11"/>
        <color theme="1"/>
        <rFont val="Calibri (Body)"/>
      </rPr>
      <t>BP</t>
    </r>
  </si>
  <si>
    <t xml:space="preserve">Project emissions resulting from the processing of biomass </t>
  </si>
  <si>
    <r>
      <t>PE</t>
    </r>
    <r>
      <rPr>
        <i/>
        <vertAlign val="subscript"/>
        <sz val="11"/>
        <color theme="1"/>
        <rFont val="Calibri (Body)"/>
      </rPr>
      <t>BRT</t>
    </r>
  </si>
  <si>
    <t>Project emissions resulting from the transportation of biomass residues</t>
  </si>
  <si>
    <r>
      <t>PE</t>
    </r>
    <r>
      <rPr>
        <i/>
        <vertAlign val="subscript"/>
        <sz val="11"/>
        <color theme="1"/>
        <rFont val="Calibri (Body)"/>
      </rPr>
      <t>BRP</t>
    </r>
  </si>
  <si>
    <t>Project emissions resulting from the processing of biomass residues</t>
  </si>
  <si>
    <t xml:space="preserve">Project Emissions - Water Reservoirs of Hydro Power Plants </t>
  </si>
  <si>
    <t>Project Emissions - Other Renewable Energy</t>
  </si>
  <si>
    <t xml:space="preserve">Leakage Emissions  </t>
  </si>
  <si>
    <r>
      <t>LE</t>
    </r>
    <r>
      <rPr>
        <i/>
        <vertAlign val="subscript"/>
        <sz val="11"/>
        <color theme="1"/>
        <rFont val="Calibri (Body)"/>
      </rPr>
      <t xml:space="preserve">y </t>
    </r>
  </si>
  <si>
    <t>Leakage emissions in year y (t CO2/yr)</t>
  </si>
  <si>
    <t xml:space="preserve">If leakage emissions are from energy generating equipment being  transferred from another activity then use field H125 in "AMS-I.A." schema, if leakage emissions are from project activities utilizing biomass and/or biomass residues then use field H127 of "AMS-I.A." schema, if leakage emissions do not need to be considered then use field H129 in "AMS-I.A." schema </t>
  </si>
  <si>
    <t>Leakage Emissions  - Transferred Energy Equipment</t>
  </si>
  <si>
    <t>Leakage Emissions  - Biomass</t>
  </si>
  <si>
    <t xml:space="preserve">Leakage Emissions  - None </t>
  </si>
  <si>
    <t>Emissions Reduction</t>
  </si>
  <si>
    <t>ImpactClaim.quantity</t>
  </si>
  <si>
    <r>
      <t>ER</t>
    </r>
    <r>
      <rPr>
        <i/>
        <vertAlign val="subscript"/>
        <sz val="11"/>
        <color theme="1"/>
        <rFont val="Calibri (Body)"/>
      </rPr>
      <t>y</t>
    </r>
  </si>
  <si>
    <t>Emission reductions in year y (t CO2e/yr)</t>
  </si>
  <si>
    <t>ImpactClaimCheckpoint.efBefore</t>
  </si>
  <si>
    <r>
      <t>BE</t>
    </r>
    <r>
      <rPr>
        <i/>
        <vertAlign val="subscript"/>
        <sz val="11"/>
        <color theme="1"/>
        <rFont val="Calibri (Body)"/>
      </rPr>
      <t>y</t>
    </r>
    <r>
      <rPr>
        <i/>
        <sz val="11"/>
        <color theme="1"/>
        <rFont val="Calibri"/>
        <family val="2"/>
        <scheme val="minor"/>
      </rPr>
      <t xml:space="preserve"> </t>
    </r>
  </si>
  <si>
    <t>Baseline emissions in year y (t CO2e/yr)</t>
  </si>
  <si>
    <t>ImpactClaimCheckpoint.efAfter</t>
  </si>
  <si>
    <r>
      <t>PE</t>
    </r>
    <r>
      <rPr>
        <i/>
        <vertAlign val="subscript"/>
        <sz val="11"/>
        <color theme="1"/>
        <rFont val="Calibri (Body)"/>
      </rPr>
      <t>y</t>
    </r>
    <r>
      <rPr>
        <i/>
        <sz val="11"/>
        <color theme="1"/>
        <rFont val="Calibri"/>
        <family val="2"/>
        <scheme val="minor"/>
      </rPr>
      <t xml:space="preserve"> </t>
    </r>
  </si>
  <si>
    <r>
      <t>LE</t>
    </r>
    <r>
      <rPr>
        <vertAlign val="subscript"/>
        <sz val="11"/>
        <color theme="1"/>
        <rFont val="Calibri (Body)"/>
      </rPr>
      <t xml:space="preserve">y </t>
    </r>
  </si>
  <si>
    <t>Leakage emissions in year y (t CO2/y)</t>
  </si>
  <si>
    <t>Selective Disclosure</t>
  </si>
  <si>
    <t>Multiple Answers</t>
  </si>
  <si>
    <t>Notes</t>
  </si>
  <si>
    <t>Emissions from the operation of dry steam, flash steam and binary geothermal power plants due to non-condensable gases and/or working fluid</t>
  </si>
  <si>
    <t>no</t>
  </si>
  <si>
    <r>
      <t>PE</t>
    </r>
    <r>
      <rPr>
        <vertAlign val="subscript"/>
        <sz val="18"/>
        <color theme="1"/>
        <rFont val="Calibri"/>
        <family val="2"/>
        <scheme val="minor"/>
      </rPr>
      <t>GP,y</t>
    </r>
  </si>
  <si>
    <t xml:space="preserve"> Project emissions from the operation of dry, flash steam or binary geothermal power plants in year y (t CO2e/yr) </t>
  </si>
  <si>
    <r>
      <t>PE</t>
    </r>
    <r>
      <rPr>
        <vertAlign val="subscript"/>
        <sz val="18"/>
        <color theme="1"/>
        <rFont val="Calibri"/>
        <family val="2"/>
        <scheme val="minor"/>
      </rPr>
      <t>dry or flash steam,y</t>
    </r>
  </si>
  <si>
    <t xml:space="preserve">Average mass fraction of carbon dioxide in the produced steam in year y (tCO2/t steam) </t>
  </si>
  <si>
    <r>
      <t>PE</t>
    </r>
    <r>
      <rPr>
        <vertAlign val="subscript"/>
        <sz val="18"/>
        <color theme="1"/>
        <rFont val="Calibri"/>
        <family val="2"/>
        <scheme val="minor"/>
      </rPr>
      <t>binary,y</t>
    </r>
  </si>
  <si>
    <t xml:space="preserve">Average mass fraction of methane in the produced steam in year y (tCH4/t steam) </t>
  </si>
  <si>
    <t>Project emissions from dry or flash steam geothermal power plants</t>
  </si>
  <si>
    <t>yes</t>
  </si>
  <si>
    <t>Number</t>
  </si>
  <si>
    <r>
      <t>W</t>
    </r>
    <r>
      <rPr>
        <vertAlign val="subscript"/>
        <sz val="18"/>
        <color theme="1"/>
        <rFont val="Calibri"/>
        <family val="2"/>
        <scheme val="minor"/>
      </rPr>
      <t>steam,CO2,y</t>
    </r>
  </si>
  <si>
    <t xml:space="preserve">Average mass fraction of CO2 in the produced steam in year y (t CO2/t steam) </t>
  </si>
  <si>
    <r>
      <t>W</t>
    </r>
    <r>
      <rPr>
        <vertAlign val="subscript"/>
        <sz val="18"/>
        <color theme="1"/>
        <rFont val="Calibri"/>
        <family val="2"/>
        <scheme val="minor"/>
      </rPr>
      <t>steam,CH4,y</t>
    </r>
  </si>
  <si>
    <t>Average mass fraction of CH4 in the produced steam in year y (t CH4/t steam)</t>
  </si>
  <si>
    <r>
      <t>GWP</t>
    </r>
    <r>
      <rPr>
        <vertAlign val="subscript"/>
        <sz val="18"/>
        <color theme="1"/>
        <rFont val="Calibri"/>
        <family val="2"/>
        <scheme val="minor"/>
      </rPr>
      <t>CH4</t>
    </r>
  </si>
  <si>
    <t xml:space="preserve">Global warming potential of CH4 valid for the relevant commitment period (t CO2e/t CH4) </t>
  </si>
  <si>
    <t>Check for default values.</t>
  </si>
  <si>
    <r>
      <t>M</t>
    </r>
    <r>
      <rPr>
        <vertAlign val="subscript"/>
        <sz val="18"/>
        <color theme="1"/>
        <rFont val="Calibri"/>
        <family val="2"/>
        <scheme val="minor"/>
      </rPr>
      <t>steam,y</t>
    </r>
  </si>
  <si>
    <t xml:space="preserve">Quantity of steam produced in year y (t steam/yr) </t>
  </si>
  <si>
    <t>Project emissions from binary geothermal power plants</t>
  </si>
  <si>
    <r>
      <t>PE</t>
    </r>
    <r>
      <rPr>
        <vertAlign val="subscript"/>
        <sz val="18"/>
        <color theme="1"/>
        <rFont val="Calibri"/>
        <family val="2"/>
        <scheme val="minor"/>
      </rPr>
      <t>steam,y</t>
    </r>
  </si>
  <si>
    <t>Project emissions from the operation of binary geothermal power plants due to physical leakage of non-condensable gases in year y (t CO2e/yr). In case the difference between steam inflow and outflow to the power plant is less than 1%, then the project participants are not required to account these project emissions</t>
  </si>
  <si>
    <r>
      <t>PE</t>
    </r>
    <r>
      <rPr>
        <vertAlign val="subscript"/>
        <sz val="18"/>
        <color theme="1"/>
        <rFont val="Calibri"/>
        <family val="2"/>
        <scheme val="minor"/>
      </rPr>
      <t>working fluid,y</t>
    </r>
  </si>
  <si>
    <t>Project emissions from the operation of binary geothermal power plants due to physical leakage of working fluid contained in heat exchangers in year y (t CO2e/yr)</t>
  </si>
  <si>
    <r>
      <t>M</t>
    </r>
    <r>
      <rPr>
        <vertAlign val="subscript"/>
        <sz val="18"/>
        <color theme="1"/>
        <rFont val="Calibri"/>
        <family val="2"/>
        <scheme val="minor"/>
      </rPr>
      <t>inflow,y</t>
    </r>
  </si>
  <si>
    <t xml:space="preserve">Quantity of steam entering the geothermal plant in year y (t steam/yr) </t>
  </si>
  <si>
    <r>
      <t>M</t>
    </r>
    <r>
      <rPr>
        <vertAlign val="subscript"/>
        <sz val="18"/>
        <color theme="1"/>
        <rFont val="Calibri"/>
        <family val="2"/>
        <scheme val="minor"/>
      </rPr>
      <t>outflow,y</t>
    </r>
  </si>
  <si>
    <t>Quantity of steam leaving the geothermal plant in year y (t steam/yr)</t>
  </si>
  <si>
    <r>
      <t>M</t>
    </r>
    <r>
      <rPr>
        <vertAlign val="subscript"/>
        <sz val="18"/>
        <color theme="1"/>
        <rFont val="Calibri"/>
        <family val="2"/>
        <scheme val="minor"/>
      </rPr>
      <t>working fluid,y</t>
    </r>
  </si>
  <si>
    <t>Quantity of working fluid leaked/reinjected in year y (t working fluid/yr)</t>
  </si>
  <si>
    <r>
      <t>GWP</t>
    </r>
    <r>
      <rPr>
        <vertAlign val="subscript"/>
        <sz val="18"/>
        <color theme="1"/>
        <rFont val="Calibri"/>
        <family val="2"/>
        <scheme val="minor"/>
      </rPr>
      <t>working fluid</t>
    </r>
  </si>
  <si>
    <t>Global Warming Potential for the working fluid used in the binary geothermal power plan</t>
  </si>
  <si>
    <t>Project emissions from water reservoirs of hydro power plants</t>
  </si>
  <si>
    <r>
      <t>PE</t>
    </r>
    <r>
      <rPr>
        <vertAlign val="subscript"/>
        <sz val="18"/>
        <color theme="1"/>
        <rFont val="Calibri"/>
        <family val="2"/>
        <scheme val="minor"/>
      </rPr>
      <t>HP,y</t>
    </r>
  </si>
  <si>
    <t xml:space="preserve">Project emissions from water reservoirs of hydro power plants in year y (tCO2e/yr) </t>
  </si>
  <si>
    <r>
      <t xml:space="preserve">Emissions from water reservoirs of </t>
    </r>
    <r>
      <rPr>
        <b/>
        <u/>
        <sz val="16"/>
        <color rgb="FF000000"/>
        <rFont val="Calibri"/>
        <family val="2"/>
        <scheme val="minor"/>
      </rPr>
      <t>integrated</t>
    </r>
    <r>
      <rPr>
        <b/>
        <sz val="16"/>
        <color rgb="FF000000"/>
        <rFont val="Calibri"/>
        <family val="2"/>
        <scheme val="minor"/>
      </rPr>
      <t xml:space="preserve"> hydro power plants </t>
    </r>
  </si>
  <si>
    <t>number</t>
  </si>
  <si>
    <t>PD</t>
  </si>
  <si>
    <t xml:space="preserve">Power density of the project activity (W/m2) </t>
  </si>
  <si>
    <r>
      <t>Cap</t>
    </r>
    <r>
      <rPr>
        <i/>
        <vertAlign val="subscript"/>
        <sz val="18"/>
        <color theme="1"/>
        <rFont val="Calibri"/>
        <family val="2"/>
        <scheme val="minor"/>
      </rPr>
      <t>PJ,i</t>
    </r>
  </si>
  <si>
    <r>
      <t xml:space="preserve">Installed capacity of the hydro power plant after the implementation of the project activity (W)
</t>
    </r>
    <r>
      <rPr>
        <i/>
        <sz val="12"/>
        <color theme="1"/>
        <rFont val="Calibri"/>
        <family val="2"/>
        <scheme val="minor"/>
      </rPr>
      <t>i</t>
    </r>
    <r>
      <rPr>
        <sz val="12"/>
        <color theme="1"/>
        <rFont val="Calibri"/>
        <family val="2"/>
        <scheme val="minor"/>
      </rPr>
      <t xml:space="preserve">=Individual power plants included in integrated hydro power project </t>
    </r>
  </si>
  <si>
    <r>
      <t>A</t>
    </r>
    <r>
      <rPr>
        <i/>
        <vertAlign val="subscript"/>
        <sz val="18"/>
        <color theme="1"/>
        <rFont val="Calibri"/>
        <family val="2"/>
        <scheme val="minor"/>
      </rPr>
      <t>PJ,j</t>
    </r>
  </si>
  <si>
    <r>
      <t>Area of the single or multiple reservoirs measured in the surface of the water, after the implementation of the project activity, when the reservoir is full (m</t>
    </r>
    <r>
      <rPr>
        <vertAlign val="superscript"/>
        <sz val="12"/>
        <color theme="1"/>
        <rFont val="Calibri"/>
        <family val="2"/>
        <scheme val="minor"/>
      </rPr>
      <t>2</t>
    </r>
    <r>
      <rPr>
        <sz val="12"/>
        <color theme="1"/>
        <rFont val="Calibri"/>
        <family val="2"/>
        <scheme val="minor"/>
      </rPr>
      <t xml:space="preserve">) 
</t>
    </r>
    <r>
      <rPr>
        <i/>
        <sz val="12"/>
        <color theme="1"/>
        <rFont val="Calibri"/>
        <family val="2"/>
        <scheme val="minor"/>
      </rPr>
      <t>j</t>
    </r>
    <r>
      <rPr>
        <sz val="12"/>
        <color theme="1"/>
        <rFont val="Calibri"/>
        <family val="2"/>
        <scheme val="minor"/>
      </rPr>
      <t xml:space="preserve">=Individual reservoirs included in integrated hydro power project </t>
    </r>
  </si>
  <si>
    <t>auto-calculate</t>
  </si>
  <si>
    <t>2 Options:
- If the power density of the project activity using equation 8 (in cell G3) is greater than 4 W/m2 and less than or equal to 10 W/m2 then use equation in G6
- If the power density of the project activity is greater than 10 W/m2 then PEhp,y=0</t>
  </si>
  <si>
    <r>
      <t>EF</t>
    </r>
    <r>
      <rPr>
        <vertAlign val="subscript"/>
        <sz val="18"/>
        <color theme="1"/>
        <rFont val="Calibri"/>
        <family val="2"/>
        <scheme val="minor"/>
      </rPr>
      <t>Res</t>
    </r>
  </si>
  <si>
    <t xml:space="preserve">Default emission factor for emissions from reservoirs of hydro power plants (kg CO2e/MWh) </t>
  </si>
  <si>
    <r>
      <t>TEG</t>
    </r>
    <r>
      <rPr>
        <vertAlign val="subscript"/>
        <sz val="18"/>
        <color theme="1"/>
        <rFont val="Calibri"/>
        <family val="2"/>
        <scheme val="minor"/>
      </rPr>
      <t>y</t>
    </r>
  </si>
  <si>
    <t>Total electricity produced by the project activity, including the electricity supplied to the grid and the electricity supplied to internal loads, in year y (MWh)</t>
  </si>
  <si>
    <t>Carbon dioxide emission factor for diesel generating system used for offgrid power generation purposes</t>
  </si>
  <si>
    <t>Table 1</t>
  </si>
  <si>
    <t>Cases</t>
  </si>
  <si>
    <t>Mini-grid with 24 hour service</t>
  </si>
  <si>
    <t>(a) Mini-grid with temporary service (4 – 6 hr/day); (b) Productive applications; (c) Water pumps</t>
  </si>
  <si>
    <t>Mini-grid with storage</t>
  </si>
  <si>
    <t>Load factors [%]</t>
  </si>
  <si>
    <t>Size</t>
  </si>
  <si>
    <t>&lt;15 kilowatts (kW)</t>
  </si>
  <si>
    <t xml:space="preserve">&gt;=15 &lt;35 kW </t>
  </si>
  <si>
    <t>&gt;=35 &lt;135 kW</t>
  </si>
  <si>
    <t>&gt;=135&lt;200 kW</t>
  </si>
  <si>
    <t>&gt; 200 kW</t>
  </si>
  <si>
    <t>Carbon dioxide emission factor for kerosene used for lighting applications</t>
  </si>
  <si>
    <r>
      <rPr>
        <sz val="11"/>
        <color rgb="FF000000"/>
        <rFont val="Calibri"/>
        <family val="2"/>
      </rPr>
      <t xml:space="preserve">For the </t>
    </r>
    <r>
      <rPr>
        <b/>
        <sz val="11"/>
        <color rgb="FF000000"/>
        <rFont val="Calibri"/>
        <family val="2"/>
      </rPr>
      <t>first 55 kWh</t>
    </r>
    <r>
      <rPr>
        <sz val="11"/>
        <color rgb="FF000000"/>
        <rFont val="Calibri"/>
        <family val="2"/>
      </rPr>
      <t xml:space="preserve"> of electricity supplied to the user by the project electricity generating system in a given year</t>
    </r>
  </si>
  <si>
    <t>2.72 kg</t>
  </si>
  <si>
    <t xml:space="preserve">Electricity supplied that is above 55kWh </t>
  </si>
  <si>
    <t xml:space="preserve">Table 1 </t>
  </si>
  <si>
    <t>Wood-to-charcoal conversion factor</t>
  </si>
  <si>
    <t>Wood-to-charcoal conversion factor; kg of fuelwood (wet basis)
per kg of charcoal (dry basis)</t>
  </si>
  <si>
    <t>Fraction of non-renewable biomass</t>
  </si>
  <si>
    <t>The fraction of non-renewable biomass (fNRB)</t>
  </si>
  <si>
    <t>Efficiency of pre-project cooking device</t>
  </si>
  <si>
    <t>A three-stone fire using firewood (not charcoal)</t>
  </si>
  <si>
    <t>A cookstove with no improved combustion air supply or flue gas ventilation</t>
  </si>
  <si>
    <t>Other type of devices</t>
  </si>
  <si>
    <t xml:space="preserve">Tool 03: Tool to calculate project or leakage CO2 emissions from fossil fuel combustion </t>
  </si>
  <si>
    <t>Auto-Calculated</t>
  </si>
  <si>
    <r>
      <t>PE</t>
    </r>
    <r>
      <rPr>
        <vertAlign val="subscript"/>
        <sz val="18"/>
        <color theme="1"/>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</si>
  <si>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</si>
  <si>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</si>
  <si>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</si>
  <si>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</si>
  <si>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</si>
  <si>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</si>
  <si>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</si>
  <si>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</si>
  <si>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</si>
  <si>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</si>
  <si>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</si>
  <si>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</si>
  <si>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</si>
  <si>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</si>
  <si>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</si>
  <si>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</si>
  <si>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</si>
  <si>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</si>
  <si>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</si>
  <si>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</si>
  <si>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</si>
  <si>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</si>
  <si>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</si>
  <si>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</si>
  <si>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</si>
  <si>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</si>
  <si>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</si>
  <si>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</si>
  <si>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</si>
  <si>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</si>
  <si>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</si>
  <si>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</si>
  <si>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</si>
  <si>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</si>
  <si>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</si>
  <si>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</si>
  <si>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</si>
  <si>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</si>
  <si>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</si>
  <si>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</si>
  <si>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</si>
  <si>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Required</t>
  </si>
  <si>
    <t xml:space="preserve">Questionnaire </t>
  </si>
  <si>
    <t xml:space="preserve">To which emission category is the tool being applied? </t>
  </si>
  <si>
    <t>Baseline Emissions (BE)</t>
  </si>
  <si>
    <t>Select one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</si>
  <si>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</si>
  <si>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</si>
  <si>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</si>
  <si>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</si>
  <si>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</si>
  <si>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</si>
  <si>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</si>
  <si>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</si>
  <si>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</si>
  <si>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</si>
  <si>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</si>
  <si>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</si>
  <si>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</si>
  <si>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</si>
  <si>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</si>
  <si>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</si>
  <si>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</si>
  <si>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</si>
  <si>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</si>
  <si>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</si>
  <si>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</si>
  <si>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</si>
  <si>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</si>
  <si>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</si>
  <si>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</si>
  <si>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</si>
  <si>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</si>
  <si>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</si>
  <si>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</si>
  <si>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</si>
  <si>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</si>
  <si>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</si>
  <si>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</si>
  <si>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</si>
  <si>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</si>
  <si>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Auto-calculate</t>
  </si>
  <si>
    <t>Option 2: Uncertainty Analysis</t>
  </si>
  <si>
    <t>a (W)</t>
  </si>
  <si>
    <t>b (DOCj)</t>
  </si>
  <si>
    <t>c (DOCf)</t>
  </si>
  <si>
    <t>d (F)</t>
  </si>
  <si>
    <t>e (MCFy)</t>
  </si>
  <si>
    <r>
      <t>g [e</t>
    </r>
    <r>
      <rPr>
        <vertAlign val="superscript"/>
        <sz val="11"/>
        <color theme="1"/>
        <rFont val="Calibri"/>
        <family val="2"/>
        <scheme val="minor"/>
      </rPr>
      <t>−𝑘𝑗×(𝑦−𝑥)</t>
    </r>
    <r>
      <rPr>
        <sz val="12"/>
        <color theme="1"/>
        <rFont val="Calibri"/>
        <family val="2"/>
        <scheme val="minor"/>
      </rPr>
      <t xml:space="preserve"> × (1 − e</t>
    </r>
    <r>
      <rPr>
        <vertAlign val="superscript"/>
        <sz val="11"/>
        <color theme="1"/>
        <rFont val="Calibri"/>
        <family val="2"/>
        <scheme val="minor"/>
      </rPr>
      <t>−𝑘𝑗</t>
    </r>
    <r>
      <rPr>
        <sz val="12"/>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</si>
  <si>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</si>
  <si>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</si>
  <si>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</si>
  <si>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</si>
  <si>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</si>
  <si>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</si>
  <si>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</si>
  <si>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</si>
  <si>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</si>
  <si>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</si>
  <si>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</si>
  <si>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</si>
  <si>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</si>
  <si>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</si>
  <si>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</si>
  <si>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</si>
  <si>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</si>
  <si>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</si>
  <si>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</si>
  <si>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</si>
  <si>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</si>
  <si>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</si>
  <si>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</si>
  <si>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</si>
  <si>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</si>
  <si>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</si>
  <si>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</si>
  <si>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</si>
  <si>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</si>
  <si>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</si>
  <si>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</si>
  <si>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</si>
  <si>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</si>
  <si>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</si>
  <si>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</si>
  <si>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</si>
  <si>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</si>
  <si>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</si>
  <si>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</si>
  <si>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</si>
  <si>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</si>
  <si>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</si>
  <si>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</si>
  <si>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</si>
  <si>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</si>
  <si>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</si>
  <si>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</si>
  <si>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</si>
  <si>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</si>
  <si>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</si>
  <si>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</si>
  <si>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</si>
  <si>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</si>
  <si>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</si>
  <si>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</si>
  <si>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</si>
  <si>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𝐺𝑊𝑃𝐶𝐻4</t>
  </si>
  <si>
    <t>Global Warming Potential of methane</t>
  </si>
  <si>
    <t>Fixed Default</t>
  </si>
  <si>
    <t>𝑂X</t>
  </si>
  <si>
    <t>Oxidation factor (reflecting the amount of methane from SWDS that is oxidized in the soil or other material covering the waste)</t>
  </si>
  <si>
    <t>𝑀𝐶𝐹𝑦</t>
  </si>
  <si>
    <t>k</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</si>
  <si>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</si>
  <si>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</si>
  <si>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</si>
  <si>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</si>
  <si>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</si>
  <si>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</si>
  <si>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</si>
  <si>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Project Emissions (PE)</t>
  </si>
  <si>
    <t>Leakage Emissions (LE)</t>
  </si>
  <si>
    <t>CH4,SWDS,y,j</t>
  </si>
  <si>
    <t>Total</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</si>
  <si>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</si>
  <si>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</si>
  <si>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</si>
  <si>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</si>
  <si>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</si>
  <si>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</si>
  <si>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</si>
  <si>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</si>
  <si>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</si>
  <si>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</si>
  <si>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</si>
  <si>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</si>
  <si>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</si>
  <si>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</si>
  <si>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Monthly</t>
  </si>
  <si>
    <t>Option 2 (Estimated)</t>
  </si>
  <si>
    <t>Dry conditions</t>
  </si>
  <si>
    <t>Unmanaged</t>
  </si>
  <si>
    <t>Semi-aerobic managed solid waste disposal sites</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</si>
  <si>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</si>
  <si>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</si>
  <si>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</si>
  <si>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</si>
  <si>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</si>
  <si>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</si>
  <si>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</si>
  <si>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</si>
  <si>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</si>
  <si>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 xml:space="preserve">Question </t>
  </si>
  <si>
    <t xml:space="preserve">Answer </t>
  </si>
  <si>
    <t xml:space="preserve">Multiple Answers </t>
  </si>
  <si>
    <t xml:space="preserve">Is transportation the main project activity? </t>
  </si>
  <si>
    <t>Select One</t>
  </si>
  <si>
    <t xml:space="preserve">Is the tool being used to calculate project emissions (PEtr,m) or leakage emissions (LEtr,m)? </t>
  </si>
  <si>
    <t>Project emissions (PEtr,m)</t>
  </si>
  <si>
    <t>f</t>
  </si>
  <si>
    <t xml:space="preserve">Which freight transportation activities (f) will occur under the project activity? </t>
  </si>
  <si>
    <t>Activity 1</t>
  </si>
  <si>
    <t>Click to add transportation activity (f)</t>
  </si>
  <si>
    <r>
      <t xml:space="preserve">All fields below must be completed for </t>
    </r>
    <r>
      <rPr>
        <u/>
        <sz val="11"/>
        <color theme="1"/>
        <rFont val="Calibri"/>
        <family val="2"/>
        <scheme val="minor"/>
      </rPr>
      <t>each</t>
    </r>
    <r>
      <rPr>
        <sz val="12"/>
        <color theme="1"/>
        <rFont val="Calibri"/>
        <family val="2"/>
        <scheme val="minor"/>
      </rPr>
      <t xml:space="preserve"> transportation activity </t>
    </r>
  </si>
  <si>
    <t>For each freight transportation activities (f), the origin of the freight (to the extent that this is known at validation)</t>
  </si>
  <si>
    <t>Source 1</t>
  </si>
  <si>
    <t>For each freight transportation activities (f), the destination of the freight (to the extent that this is known at validation)</t>
  </si>
  <si>
    <t>Facility 1</t>
  </si>
  <si>
    <t>For each freight transportation activities (f), the type(s) of freight that are planned to be transported</t>
  </si>
  <si>
    <t>Sugar cane bagasse</t>
  </si>
  <si>
    <t xml:space="preserve">For each freight transportation activities (f), the planned number of trips made </t>
  </si>
  <si>
    <t>FRf,m</t>
  </si>
  <si>
    <t>For each freight transportation activities (f), the planned quantity of freight that should be transported (t)</t>
  </si>
  <si>
    <t xml:space="preserve">Total mass of freight transported in freight transportation activity f in monitoring period m (t) </t>
  </si>
  <si>
    <t xml:space="preserve">For each freight transportation activities (f),which option will be used to determine project or leakage emissions from road transportation of freight? </t>
  </si>
  <si>
    <t>Option A: Monitoring fuel consumption</t>
  </si>
  <si>
    <t>For each freight transportation activities (f), select the mode of transportation</t>
  </si>
  <si>
    <t>Road Vehicle</t>
  </si>
  <si>
    <t>For each freight transportation activities (f), select the vehicle class</t>
  </si>
  <si>
    <t>Heavy</t>
  </si>
  <si>
    <t xml:space="preserve">Please detail and document how data on fuel consumption is collected and checked. </t>
  </si>
  <si>
    <t xml:space="preserve">The monitoring plan shall document how data on fuel consumption is collected and checked. </t>
  </si>
  <si>
    <t>[PE, LE] tr,m</t>
  </si>
  <si>
    <t>[Project or Leakage] emissions from transportation of freight in monitoring
period m</t>
  </si>
  <si>
    <t>Referenced Parameter</t>
  </si>
  <si>
    <t xml:space="preserve">Element process j corresponds to the combustion of fuels in the vehicles. If biofuels are used, then the corresponding CO2 emission factor of the fossil fuels that would most likely be used in the absence of the use of biofuels should be used. If biofuel blends are consumed, then the CO2 emission factor of the fossil fuel used in the blend shall be used, as a conservative simplification. The monitored fuel consumption shall include fuel consumed by the vehicles on both outbound and return trips, even if the vehicles also transport freight not associated with the project activity. </t>
  </si>
  <si>
    <t>Option B: Using conservative default values</t>
  </si>
  <si>
    <t>Df,m</t>
  </si>
  <si>
    <t>Road (or rail line) distance between the origin and the destination (km)</t>
  </si>
  <si>
    <t xml:space="preserve">Return trip distance between the origin and destination of freight transportation activity f in monitoring period m (km) </t>
  </si>
  <si>
    <t>EFco2,f</t>
  </si>
  <si>
    <t>Default CO2 emission factor for freight transportation activity f
(g CO2/t km)</t>
  </si>
  <si>
    <t xml:space="preserve">Auto-calculation </t>
  </si>
  <si>
    <t>[Project or Leakage] Emissions from transportation of freight in monitoring
period m</t>
  </si>
  <si>
    <t>Project Emissions Monitoring Summary Table</t>
  </si>
  <si>
    <t>Activity (f)</t>
  </si>
  <si>
    <t>Freight Type</t>
  </si>
  <si>
    <t>Weight (t)</t>
  </si>
  <si>
    <t>Origin</t>
  </si>
  <si>
    <t>Destination</t>
  </si>
  <si>
    <t>Road Distance (km)</t>
  </si>
  <si>
    <t>Transportation Mode</t>
  </si>
  <si>
    <t>Vehicle Class</t>
  </si>
  <si>
    <t>PEtr,m</t>
  </si>
  <si>
    <t>Leakage Emissions Monitoring Summary Table</t>
  </si>
  <si>
    <t>Options</t>
  </si>
  <si>
    <t>Binary Yes/No</t>
  </si>
  <si>
    <t>Mode of Transportation</t>
  </si>
  <si>
    <t>Type of Emissions Estimates</t>
  </si>
  <si>
    <t>Rail</t>
  </si>
  <si>
    <t xml:space="preserve">Light </t>
  </si>
  <si>
    <t>Leakage emissions (LEtr,m)</t>
  </si>
  <si>
    <t>Project emissions from composting</t>
  </si>
  <si>
    <t>PECOMP,y</t>
  </si>
  <si>
    <t>Project emissions associated with composting in year y (t CO2e/yr)</t>
  </si>
  <si>
    <t>Determination of the quantity of waste composted (Qy)</t>
  </si>
  <si>
    <t>If/Then</t>
  </si>
  <si>
    <t>There are two options to determine the quantity of waste composted in year y. Select one: 
Option 1: Procedure using a weighing device
Option 2: Procedure without using a weighing device</t>
  </si>
  <si>
    <t>Determination of the quantity of waste composted (Qy) Option 1</t>
  </si>
  <si>
    <t>Qy</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</si>
  <si>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</si>
  <si>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</si>
  <si>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</si>
  <si>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</si>
  <si>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</si>
  <si>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</si>
  <si>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</si>
  <si>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</si>
  <si>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</si>
  <si>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</si>
  <si>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</si>
  <si>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</si>
  <si>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</si>
  <si>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</si>
  <si>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</si>
  <si>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</si>
  <si>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</si>
  <si>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</si>
  <si>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</si>
  <si>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tproject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</si>
  <si>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</si>
  <si>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</si>
  <si>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</si>
  <si>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</si>
  <si>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</si>
  <si>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x</t>
  </si>
  <si>
    <t>Number of composting cycles c for which emissions were measured in year y (at least three)</t>
  </si>
  <si>
    <t>[Click to add composting cycles for which measurements were undertaken]</t>
  </si>
  <si>
    <t xml:space="preserve">c </t>
  </si>
  <si>
    <t>Composting cycle for which measurements were undertaken</t>
  </si>
  <si>
    <t>Cycle 1</t>
  </si>
  <si>
    <t>ECCCH4,c</t>
  </si>
  <si>
    <t>Methane emissions from composting during the composting cycle c (t CH4)</t>
  </si>
  <si>
    <t>ECCN2O,c</t>
  </si>
  <si>
    <t>Nitrous oxide emissions from composting during the composting cycle c (t N2O)</t>
  </si>
  <si>
    <t>Qc</t>
  </si>
  <si>
    <t>Quantity of waste composted in composting cycle c (t)</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</si>
  <si>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</si>
  <si>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</si>
  <si>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</si>
  <si>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</si>
  <si>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</si>
  <si>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</si>
  <si>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</si>
  <si>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</si>
  <si>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</si>
  <si>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</si>
  <si>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</si>
  <si>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</si>
  <si>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</si>
  <si>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</si>
  <si>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</si>
  <si>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</si>
  <si>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</si>
  <si>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</si>
  <si>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</si>
  <si>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</si>
  <si>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</si>
  <si>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</si>
  <si>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</si>
  <si>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</si>
  <si>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GWPCH4</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</si>
  <si>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</si>
  <si>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</si>
  <si>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</si>
  <si>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</si>
  <si>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</si>
  <si>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</si>
  <si>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</si>
  <si>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</si>
  <si>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</si>
  <si>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</si>
  <si>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</si>
  <si>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</si>
  <si>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</si>
  <si>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Leakage Emissions</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</si>
  <si>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</si>
  <si>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</si>
  <si>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</si>
  <si>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</si>
  <si>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</si>
  <si>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</si>
  <si>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</si>
  <si>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</si>
  <si>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</si>
  <si>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</si>
  <si>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</si>
  <si>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</si>
  <si>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</si>
  <si>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 xml:space="preserve">What is the scale of the project </t>
  </si>
  <si>
    <t>Small or Micro</t>
  </si>
  <si>
    <t xml:space="preserve">Are biomass residues consumed in a CDM project activity, and the biomass residues can be utilized after processing or without processing? </t>
  </si>
  <si>
    <t xml:space="preserve">Do the project activities include biomass cultivation? </t>
  </si>
  <si>
    <t>Does the land on which biomass is cultivated contain wetlands?</t>
  </si>
  <si>
    <t>Does the land on which biomass is cultivated contain organic soils?</t>
  </si>
  <si>
    <t>Is the land on which biomass is cultivated subjected to flood irrigation?</t>
  </si>
  <si>
    <t>Does the land on which biomass is cultivated contain forest or contained forest since 31 December 1989?</t>
  </si>
  <si>
    <t xml:space="preserve">Is desalination a substantial source of water in the host country? </t>
  </si>
  <si>
    <t xml:space="preserve">Does the land on which biomass is cultivated contain a forest plantation? </t>
  </si>
  <si>
    <t xml:space="preserve">Will the forest plantation be harvested before the start of the project and the land be neither reforested nor will regenerate on its own into a forest in the absence of the project activity? </t>
  </si>
  <si>
    <t>Identify and describe realistic and credible alternatives with regard to the possible land use scenarios that would occur in the absence of the project activity.</t>
  </si>
  <si>
    <t xml:space="preserve">String </t>
  </si>
  <si>
    <t>Assess the economic attractiveness of the existing forest plantation by applying Step 2 of the “TOOL01: Tool for the demonstration and assessment of additionality. Does sensitivity analysis conclude that the proposed CDM project activity is unlikely to be the most financially attractive or is unlikely to be financially attractive?</t>
  </si>
  <si>
    <t>Pull answer from Tool 01, Step 2</t>
  </si>
  <si>
    <t xml:space="preserve">Confirm, based on the plantation management practices in the region for the considered species, that it is the common practice to harvest the forest plantation and that the forest will not be reforested or regenerate back to forest in the absence of the project activity. </t>
  </si>
  <si>
    <t>Use relevant credible evidence, including but not limited to official land use maps,
satellite images/aerial photographs, cadastral information, official land use records.</t>
  </si>
  <si>
    <t>Image and/or document upload</t>
  </si>
  <si>
    <t>Applicability</t>
  </si>
  <si>
    <t xml:space="preserve">Auto-calculate </t>
  </si>
  <si>
    <t xml:space="preserve">Is the tool being used to calculate project emissions (PE) or leakage emissions (LE)? </t>
  </si>
  <si>
    <t xml:space="preserve">Will project emissions resulting from cultivation of biomass (PEbc,y) be included or omitted? </t>
  </si>
  <si>
    <t>Omitted</t>
  </si>
  <si>
    <t>Indicate the soil amendment agent type applied</t>
  </si>
  <si>
    <t>Urea</t>
  </si>
  <si>
    <r>
      <t>Will pr</t>
    </r>
    <r>
      <rPr>
        <sz val="11"/>
        <rFont val="Calibri"/>
        <family val="2"/>
        <scheme val="minor"/>
      </rPr>
      <t>oject emissions resulting from energy consumption (electricity and fuel) for biomass seeding and harvesting (PEbsh,ec,y)</t>
    </r>
    <r>
      <rPr>
        <sz val="12"/>
        <color theme="1"/>
        <rFont val="Calibri"/>
        <family val="2"/>
        <scheme val="minor"/>
      </rPr>
      <t xml:space="preserve"> be included or omitted? </t>
    </r>
  </si>
  <si>
    <t>Small scale project activities may, unless otherwise required by the methodology, neglect emissions from energy consumption associated with seeding and harvesting of biomass.</t>
  </si>
  <si>
    <t xml:space="preserve">Will project emissions resulting from transportation of biomass (PEbt,y) be included or omitted? </t>
  </si>
  <si>
    <t xml:space="preserve">Will project emissions resulting from transportation of biomass residues  (PEbrt,y) be included or omitted? </t>
  </si>
  <si>
    <t xml:space="preserve">Will project emissions resulting from processing of biomass (PEbp,y) be included or omitted? </t>
  </si>
  <si>
    <t xml:space="preserve">Will project emissions resulting from processing of biomass residues (PEbrp,y) be included or omitted? </t>
  </si>
  <si>
    <t xml:space="preserve">Is the wastewater originating from the processing of the biomass and biomass residues (partly) treated under anaerobic conditions with the methane from the wastewater not being captured and flared or combusted? </t>
  </si>
  <si>
    <t>NA</t>
  </si>
  <si>
    <t xml:space="preserve">Will leakage emissions due to shift of pre-project activities resulting from cultivation of biomass in a dedicated plantation (LEbc,y) be included or omitted? </t>
  </si>
  <si>
    <t>Was or would the plantation area have been abandoned land prior to the implementation of the project activity?</t>
  </si>
  <si>
    <t>Was the plantation area used prior to the implementation of the project area, but the pre-project land use of the plantation area will be accommodated for, providing at least the same level of service during the project activity, within the land area included in the project boundary?</t>
  </si>
  <si>
    <t>The project area may be expanded to accommodate for this condition.</t>
  </si>
  <si>
    <t xml:space="preserve">Will leakage emissions due to diversion of biomass residues from other
applications (LEbr,div,y) be included or omitted? </t>
  </si>
  <si>
    <t>Indicate the alternative scenario of the biomass residues in absence of the project activity</t>
  </si>
  <si>
    <t>B4: The biomass residues are used for energy or non-energy applications, or the primary source of the biomass residues and/or their fate cannot be clearly identified.</t>
  </si>
  <si>
    <t xml:space="preserve">Will leakage emissions due to the transportation of biomass residues outside
of the project boundary (LEbrt,y) be included or omitted? </t>
  </si>
  <si>
    <t xml:space="preserve">Will leakage emissions due to  processing of biomass residues outside the
project boundary (LEbrp,y) be included or omitted? </t>
  </si>
  <si>
    <t>PEbc,y</t>
  </si>
  <si>
    <t>Project emissions resulting from cultivation of biomass in a dedicated plantation in year y</t>
  </si>
  <si>
    <t>𝐴fr,𝑖,y</t>
  </si>
  <si>
    <t>Area of stratum i of land subjected to clearance or fire in year y (ha)</t>
  </si>
  <si>
    <t>𝑏i</t>
  </si>
  <si>
    <t>Fuel biomass consumption per hectare in stratum i of land subjected to clearance or fire (t dry matter/ha)</t>
  </si>
  <si>
    <t>Ri</t>
  </si>
  <si>
    <t>Root-shoot ratio (i.e. ratio of below-ground biomass to aboveground biomass) for stratum i of land subjected to clearance or fire</t>
  </si>
  <si>
    <t>𝑃𝐸bby</t>
  </si>
  <si>
    <t>Project emissions resulting from clearance or burning of biomass, in year y (t CO2e)</t>
  </si>
  <si>
    <t>[Click to add stratum]</t>
  </si>
  <si>
    <t xml:space="preserve">Repeat equation 8 for each stratum. </t>
  </si>
  <si>
    <t>𝑃𝐸bsh,ec,y</t>
  </si>
  <si>
    <t>Project emissions resulting from energy consumption (electricity and fuel) for biomass seeding and harvesting in year y (t CO2e)</t>
  </si>
  <si>
    <t xml:space="preserve">𝑃𝐸bsh,𝑒𝑙𝑒𝑐𝑡𝑟𝑖𝑐𝑖𝑡𝑦,𝑦 </t>
  </si>
  <si>
    <t>Project emissions from the consumption of electricity for biomass seeding and harvesting in year y (tCO2e)</t>
  </si>
  <si>
    <t>Parameter 𝑃𝐸ec,y from Tool 05</t>
  </si>
  <si>
    <t xml:space="preserve">Referenced Parameter </t>
  </si>
  <si>
    <t>𝑃𝐸bsh,𝑓𝑢𝑒𝑙,y</t>
  </si>
  <si>
    <t>Project emissions from the consumption of fossil fuels for biomass seeding and harvesting in year y (tCO2e)</t>
  </si>
  <si>
    <t>Parameter 𝑃𝐸fc,𝑗,y from Tool 03</t>
  </si>
  <si>
    <t>𝑃𝐸sa,y</t>
  </si>
  <si>
    <t>Project emissions resulting from soil amendment in year y (t CO2e)</t>
  </si>
  <si>
    <t>𝑞sa.𝑖,y</t>
  </si>
  <si>
    <t>Rate of application of soil amendment agent type i in year y (t/ha)</t>
  </si>
  <si>
    <t>𝐴sa,𝑖,y</t>
  </si>
  <si>
    <t>Area of land in which soil amendment agent type i is applied in year y (ha)</t>
  </si>
  <si>
    <t>𝐸𝐹sa,i,y</t>
  </si>
  <si>
    <t>Emission factor for CO2 emissions from application of soil amendment agent type i (t CO2e/t)</t>
  </si>
  <si>
    <t>Default values for limestone (0.12 t CO2e/t), dolomite (0.13 t CO2e/t) and urea (0.20 t CO2e/t) shall be used</t>
  </si>
  <si>
    <t xml:space="preserve">Repeat equation 6 for each stratum. </t>
  </si>
  <si>
    <t>𝑃𝐸sf,y</t>
  </si>
  <si>
    <t>Project emissions resulting from of soil fertilization and management in year y (t CO2e)</t>
  </si>
  <si>
    <t>𝑞n,y</t>
  </si>
  <si>
    <t>Rate of nitrogen applied in year y (t N/ha)</t>
  </si>
  <si>
    <t>𝐴ftm,y</t>
  </si>
  <si>
    <t>Area of land subjected to soil fertilization and management in year y (ha)</t>
  </si>
  <si>
    <t>𝐸𝐹ft</t>
  </si>
  <si>
    <t xml:space="preserve">Aggregate emission factor for N2O and CO2 emissions resulting from production and application of nitrogen (t CO2e/(t N)). </t>
  </si>
  <si>
    <t>Fixed default</t>
  </si>
  <si>
    <t xml:space="preserve">A default value of 11.29 t CO2e/(t N) shall be used. </t>
  </si>
  <si>
    <t>𝑃𝐸sm,y</t>
  </si>
  <si>
    <t>Project emissions resulting from soil management in year y</t>
  </si>
  <si>
    <t>Project emissions resulting from soil management in year y (tCO2e)</t>
  </si>
  <si>
    <t xml:space="preserve">∆𝑆𝑂𝐶𝑖 </t>
  </si>
  <si>
    <t>Loss of soil organic carbon in land stratum i ( t C)</t>
  </si>
  <si>
    <t>𝐴soc,i</t>
  </si>
  <si>
    <t>Area of land stratum i (ha)</t>
  </si>
  <si>
    <t>𝑆𝑂𝐶ref,i</t>
  </si>
  <si>
    <t>Reference SOC stock applicable to land stratum i (t C/ha)</t>
  </si>
  <si>
    <t>See Table 1 in defaults tab. After the first crediting period of the project, the value of PESOC,y shall be 0.</t>
  </si>
  <si>
    <t>𝑓lub,i</t>
  </si>
  <si>
    <t>Relative stock change factor for land-use in the baseline in stratum i</t>
  </si>
  <si>
    <t xml:space="preserve">See Tables 2-4 in defaults tab. </t>
  </si>
  <si>
    <t>𝑓mgb,i</t>
  </si>
  <si>
    <t>Relative stock change factor for land management in the baseline in stratum i</t>
  </si>
  <si>
    <t xml:space="preserve">See Table 2-4 in defaults tab. </t>
  </si>
  <si>
    <t>𝑓inb,i</t>
  </si>
  <si>
    <t>Relative stock change factor for input in the baseline in stratum i</t>
  </si>
  <si>
    <t>𝑓lup,i</t>
  </si>
  <si>
    <t>Relative stock change factor for land-use in the project in stratum i</t>
  </si>
  <si>
    <t>𝑓mgp,i</t>
  </si>
  <si>
    <t>Relative stock change factor for land management in the project in stratum i</t>
  </si>
  <si>
    <t>𝑓inp,i</t>
  </si>
  <si>
    <t>Relative stock change factor for input in the project in stratum i</t>
  </si>
  <si>
    <t xml:space="preserve">The totals of these results are summed by </t>
  </si>
  <si>
    <t xml:space="preserve">Repeat equation 3 for each stratum but do not sum. These will be summed by equation 2. </t>
  </si>
  <si>
    <t>𝑃𝐸soc,y</t>
  </si>
  <si>
    <t>Project emissions resulting from loss of soil organic carbon in year y (tCO2e)</t>
  </si>
  <si>
    <t>T</t>
  </si>
  <si>
    <t xml:space="preserve">Length of the first crediting period of the project in years </t>
  </si>
  <si>
    <t>For each stratum of the areas of land which is subjected to soil disturbance attributable to project activity and for which the total area disturbed is less than 10% of the area of the stratum, emissions resulting from loss of soil organic carbon may be accounted as zero. After the first crediting period of the project, the value of PESOC,y shall be 0.</t>
  </si>
  <si>
    <t>Biomass originating from land areas included in registered afforestation/reforestation (A/R) project activities may be considered to have no project emissions, provided that the emission reductions from the A/R project activity have been verified and issued for the time period in which the biomass was harvested.</t>
  </si>
  <si>
    <t>PEbt,y and PEbrt,y</t>
  </si>
  <si>
    <t>Project emissions resulting from transportation of biomass in year y and Project emissions resulting from transportation of biomass residues in year y</t>
  </si>
  <si>
    <t>As an alternative to the monitoring of the parameters needed to calculate the emissions from the transportation, project proponents may apply the following options: (a) For microscale and small-scale project activities, apply a default emission factor of
0.0142 tCO2/tonne of biomass. (b) For large-scale project activities, apply a net-to-gross adjustment of 10% , i.e. multiply the emission reductions determined based on the applied methodology by 0.9 to determine the final amount of emission reductions that can be claimed
0.9 to determine the final amount of emission reductions that can be claimed</t>
  </si>
  <si>
    <t>PEbt,y</t>
  </si>
  <si>
    <t>Project emissions resulting from transportation of biomass in year y</t>
  </si>
  <si>
    <t>Parameter PEtr,m from Tool 12</t>
  </si>
  <si>
    <t>(i) If the biomass produced is utilized without further processing, the route shall include only the transport of the biomass between the biomass production site and the biomass utilization facility;
(ii) If the biomass is processed before being utilized, the routes shall include the transport between (i) the biomass production site and the biomass processing facility, and (ii) the biomass processing facility and the biomass utilization facility;</t>
  </si>
  <si>
    <t>PEbrt,y</t>
  </si>
  <si>
    <t>Project emissions resulting from transportation of biomass residues in year y</t>
  </si>
  <si>
    <t>(i) If the biomass residues are consumed without further processing, the route shall include only the transport of the biomass residues between the biomass processing facility or the biomass generation site and the biomass residues
utilization facility; (ii) If the biomass residues are processed before being utilized, the routes shall include the transport between (i) the biomass processing facility or the biomass generation site and the biomass residues processing facility, and (ii) the biomass residues processing facility and the biomass residues utilization facility</t>
  </si>
  <si>
    <t>PEbp,y and PEbrp,y</t>
  </si>
  <si>
    <t>Project emissions resulting from processing of biomass in year y and Project emissions resulting from processing of biomass residues in year y</t>
  </si>
  <si>
    <t>𝑃𝐸bp,𝑎𝑑𝑑𝑖𝑡𝑖𝑣𝑒𝑠,𝑡𝑟𝑎𝑛𝑠𝑝𝑜𝑟t</t>
  </si>
  <si>
    <t>Project emissions from the transportation of the additives from the production site to the biomass processing facility (tCO2)</t>
  </si>
  <si>
    <t>Tool 12</t>
  </si>
  <si>
    <t>The simplifications contained in paragraph 31 also apply.</t>
  </si>
  <si>
    <t>𝑃𝐸bp,𝑎𝑑𝑑𝑖𝑡𝑖𝑣𝑒𝑠,𝑒𝑙𝑒𝑐𝑡𝑟𝑖𝑐𝑖𝑡𝑦,y</t>
  </si>
  <si>
    <t>Project emissions from the consumption of electricity to produce the additives used by the biomass processing facility (tCO2)</t>
  </si>
  <si>
    <t>𝑃𝐸bp,𝑎𝑑𝑑𝑖𝑡𝑖𝑣𝑒𝑠,𝐹𝐹,y</t>
  </si>
  <si>
    <t>Project emissions from the consumption of fossil fuels to produce the additives used by the biomass processing facility (tCO2)</t>
  </si>
  <si>
    <t>Parameter 𝑃𝐸fc,𝑗,𝑦  from Tool 03</t>
  </si>
  <si>
    <t>𝑃𝐸bp,additives,y</t>
  </si>
  <si>
    <t>Project emissions resulting from the use of additives to process the biomass in year y (tCO2e)</t>
  </si>
  <si>
    <t>As an alternative to the monitoring of the parameters needed to calculate 𝑃𝐸𝐵𝑃,𝑎𝑑𝑑𝑖𝑡𝑖𝑣𝑒𝑠,𝑦 and 𝑃𝐸𝐵𝑅𝑃,𝑎𝑑𝑑𝑖𝑡𝑖𝑣𝑒𝑠,𝑦, project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Project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Project proponents may determine these emission sources based on literature such as peer reviewed studies.</t>
  </si>
  <si>
    <t>𝐺𝑊𝑃ch4</t>
  </si>
  <si>
    <t>Global warming potential for methane valid for the relevant commitment period (tCO2/tCH4)</t>
  </si>
  <si>
    <t>𝑉bp,𝑤𝑤,y</t>
  </si>
  <si>
    <t>Quantity of wastewater generated from the processing of biomass in year y (m³)</t>
  </si>
  <si>
    <t>𝐶𝑂𝐷bp,𝑤𝑤,y</t>
  </si>
  <si>
    <t>Average chemical oxygen demand of the wastewater generated from the processing of biomass in year y (tCOD/m³)</t>
  </si>
  <si>
    <t>𝐵𝑜,ww</t>
  </si>
  <si>
    <t>Methane generation potential of the wastewater (t CH4/tCOD)</t>
  </si>
  <si>
    <t>𝑀𝐶𝐹bp,𝑤w</t>
  </si>
  <si>
    <t>Methane correction factor for the treatment of wastewater generated from the processing of biomass in year y (ratio)</t>
  </si>
  <si>
    <t>𝑃𝐸bp,ww,y</t>
  </si>
  <si>
    <t>Project emissions resulting from wastewater treatment due to thermochemical, biological and mechanical processing of the biomass in year y (tCO2e)</t>
  </si>
  <si>
    <t>𝑃𝐸bp,𝑒𝑙𝑒𝑐𝑡𝑟𝑖𝑐𝑖𝑡𝑦,y</t>
  </si>
  <si>
    <t>Project emissions resulting from the consumption of electricity due to thermo-chemical, biological and mechanical processing of the biomass in year y (tCO2e)</t>
  </si>
  <si>
    <t>𝑃𝐸bp,fuel,y</t>
  </si>
  <si>
    <t>Project emissions resulting from the consumption of fossil fuels for thermo-chemical, biological and mechanical processing of the biomass in year y (tCO2e)</t>
  </si>
  <si>
    <t>𝑃𝐸bp,𝐶𝐻4,y</t>
  </si>
  <si>
    <t>Project methane emissions resulting from the decay of biomass under anaerobic conditions as a result of thermo-chemical, biological and mechanical processing in year y (tCO2e)</t>
  </si>
  <si>
    <t>Parameter  𝑃𝐸ch4,swds,𝑦  from Tool 04</t>
  </si>
  <si>
    <t>𝑃𝐸bp,comp,y</t>
  </si>
  <si>
    <t>Project emissions resulting from composting due to thermo-chemical, biological and mechanical processing of the biomass in year y (tCO2e)</t>
  </si>
  <si>
    <t>Parameter 𝑃𝐸comp,y  from Tool 13</t>
  </si>
  <si>
    <t>𝑃𝐸bp,ad,y</t>
  </si>
  <si>
    <t>Project emissions resulting from the anaerobic digester due to thermochemical, biological and mechanical processing of the biomass in year y (tCO2e)</t>
  </si>
  <si>
    <t>Parameter 𝑃𝐸ad,𝑦   from Tool 14</t>
  </si>
  <si>
    <t>PEbp,y</t>
  </si>
  <si>
    <t>Project emissions resulting from processing of biomass in year y</t>
  </si>
  <si>
    <t>𝑃𝐸brp,𝑎𝑑𝑑𝑖𝑡𝑖𝑣𝑒𝑠,𝑡𝑟𝑎𝑛𝑠𝑝𝑜𝑟t</t>
  </si>
  <si>
    <t>Project emissions from the transportation of the additives from the production site to the biomass residues processing facility (tCO2)</t>
  </si>
  <si>
    <t>𝑃𝐸brp,𝑎𝑑𝑑𝑖𝑡𝑖𝑣𝑒𝑠,𝑒𝑙𝑒𝑐𝑡𝑟𝑖𝑐𝑖𝑡𝑦,y</t>
  </si>
  <si>
    <t>Project emissions from the consumption of electricity to produce the additives used by the biomass residues processing facility (tCO2)</t>
  </si>
  <si>
    <t>𝑃𝐸brp,𝑎𝑑𝑑𝑖𝑡𝑖𝑣𝑒𝑠,𝐹𝐹,y</t>
  </si>
  <si>
    <t>Project emissions from the consumption of fossil fuels to produce the additives used by the biomass residues processing facility (tCO2)</t>
  </si>
  <si>
    <t>𝑃𝐸brp,additives,y</t>
  </si>
  <si>
    <t>Project emissions resulting from the use of additives to process the biomass residues in year y (tCO2e)</t>
  </si>
  <si>
    <t>𝑉brp,𝑤𝑤,y</t>
  </si>
  <si>
    <t>Quantity of wastewater generated from the processing of biomass residues in year y (m³)</t>
  </si>
  <si>
    <t>𝐶𝑂𝐷brp,𝑤𝑤,y</t>
  </si>
  <si>
    <t>Average chemical oxygen demand of the wastewater generated from the processing of biomass residues in year y (tCOD/m³)</t>
  </si>
  <si>
    <t>𝑀𝐶𝐹brp,𝑤w</t>
  </si>
  <si>
    <t>Methane correction factor for the treatment of wastewater generated from the processing of biomass residues in year y (ratio)</t>
  </si>
  <si>
    <t>𝑃𝐸brp,ww,y</t>
  </si>
  <si>
    <t>Project emissions resulting from wastewater treatment due to thermochemical, biological and mechanical processing of the biomass residues in year y (tCO2e)</t>
  </si>
  <si>
    <t>𝑃𝐸brp,𝑒𝑙𝑒𝑐𝑡𝑟𝑖𝑐𝑖𝑡𝑦,y</t>
  </si>
  <si>
    <t>Project emissions resulting from the consumption of electricity due to thermo-chemical, biological and mechanical processing of the biomass residues in year y (tCO2e)</t>
  </si>
  <si>
    <t>𝑃𝐸brp,fuel,y</t>
  </si>
  <si>
    <t>Project emissions resulting from the consumption of fossil fuels for thermo-chemical, biological and mechanical processing of the biomass residues in year y (tCO2e)</t>
  </si>
  <si>
    <t>𝑃𝐸brp,𝐶𝐻4,y</t>
  </si>
  <si>
    <t>Project methane emissions resulting from the decay of biomass residues under anaerobic conditions as a result of thermo-chemical, biological and mechanical processing in year y (tCO2e)</t>
  </si>
  <si>
    <t>𝑃𝐸brp,comp,y</t>
  </si>
  <si>
    <t>Project emissions resulting from composting due to thermo-chemical, biological and mechanical processing of the biomass residues in year y (tCO2e)</t>
  </si>
  <si>
    <t>𝑃𝐸brp,ad,y</t>
  </si>
  <si>
    <t>Project emissions resulting from the anaerobic digester due to thermochemical, biological and mechanical processing of the biomass residues in year y (tCO2e)</t>
  </si>
  <si>
    <t>PEbrp,y</t>
  </si>
  <si>
    <t>Project emissions resulting from processing of biomass residues in year y</t>
  </si>
  <si>
    <t>LEbc,y</t>
  </si>
  <si>
    <t xml:space="preserve">Leakage due to shift of pre-project activities resulting from cultivation of biomass in a dedicated plantation in year y </t>
  </si>
  <si>
    <t>Percentage of families/households of the community involved in or affected by the project activity displaced (from within to outside of the project boundary) due to the project activity</t>
  </si>
  <si>
    <t>Percentage of total production of the main product (e.g. meat, corn) within the project boundary displaced due to the cultivation of biomass</t>
  </si>
  <si>
    <t xml:space="preserve">The BE and PE parameters can be found in the mainframe schema. </t>
  </si>
  <si>
    <t>LEbr,div,y</t>
  </si>
  <si>
    <t>Leakage due to diversion of biomass residues from other applications in year y</t>
  </si>
  <si>
    <t>𝐸𝐹co2,le</t>
  </si>
  <si>
    <t>CO2 emission factor of the most carbon intensive fossil fuel used in the country (t CO2/GJ)</t>
  </si>
  <si>
    <t>𝐵𝑅pj,𝑛,y</t>
  </si>
  <si>
    <t>Quantity of biomass residues of category n used in facilities which are located at the project site and included in the project boundary in year y (tonnes on dry-basis)</t>
  </si>
  <si>
    <t>The determination of BRpj,n,y shall be based on the monitored amounts of biomass residues used in facilities included in the project boundary.</t>
  </si>
  <si>
    <t>𝑁𝐶𝑉𝑛,y</t>
  </si>
  <si>
    <t>Net calorific value of the biomass residues of category n in year y (GJ/tonne of dry matter)</t>
  </si>
  <si>
    <t xml:space="preserve">The main potential source of leakage due to biomass residues is an increase in emissions from fossil fuel combustion or other sources due to diversion of biomass residues from other uses to the project plant as a result of the project activity. The alternative scenario for biomass residues for which this potential leakage is relevant is B4. 
The actual leakage emissions in each of these cases may differ significantly and depend on the specific situation of each project activity. For that reason, a simplified approach is used in this tool: it is assumed that an equivalent amount of fossil fuels, on energy basis, would be used if biomass residues are diverted from other users, no matter what the use of biomass residues would be in the alternative scenario.
Therefore, for the categories of biomass residues whose alternative scenario has been identified as B4. </t>
  </si>
  <si>
    <t>[Click to add category of biomass residues]</t>
  </si>
  <si>
    <t>Repeat equation 15 for each residue category.</t>
  </si>
  <si>
    <t>LEbrt,y</t>
  </si>
  <si>
    <t>Leakage due to the transportation of biomass residues outside of the project boundary in year y</t>
  </si>
  <si>
    <t>Parameter LEtr,m from Tool 12</t>
  </si>
  <si>
    <t>LEbrp,y</t>
  </si>
  <si>
    <t>Leakage due to processing of biomass residues outside the project boundary in year y</t>
  </si>
  <si>
    <t>LEbrp,𝑎𝑑𝑑𝑖𝑡𝑖𝑣𝑒𝑠,𝑡𝑟𝑎𝑛𝑠𝑝𝑜𝑟t</t>
  </si>
  <si>
    <t>Leakage emissions from the transportation of the additives from the production site to the biomass residues processing facility (tCO2)</t>
  </si>
  <si>
    <t>LEbrp,𝑎𝑑𝑑𝑖𝑡𝑖𝑣𝑒𝑠,𝑒𝑙𝑒𝑐𝑡𝑟𝑖𝑐𝑖𝑡𝑦,y</t>
  </si>
  <si>
    <t>Leakage emissions from the consumption of electricity to produce the additives used by the biomass residues processing facility (tCO2)</t>
  </si>
  <si>
    <t>Parameter LEec,y from Tool 05</t>
  </si>
  <si>
    <t>LEbrp,𝑎𝑑𝑑𝑖𝑡𝑖𝑣𝑒𝑠,𝐹𝐹,y</t>
  </si>
  <si>
    <t>Leakage emissions from the consumption of fossil fuels to produce the additives used by the biomass residues processing facility (tCO2)</t>
  </si>
  <si>
    <t>Parameter LEfc,𝑗,𝑦  from Tool 03</t>
  </si>
  <si>
    <t>LEbrp,additives,y</t>
  </si>
  <si>
    <t>Leakage emissions resulting from the use of additives to process the biomass residues in year y (tCO2e)</t>
  </si>
  <si>
    <t>As an alternative to the monitoring of the parameters needed to calculate LE𝐵𝑃,𝑎𝑑𝑑𝑖𝑡𝑖𝑣𝑒𝑠,𝑦 and LE𝐵𝑅𝑃,𝑎𝑑𝑑𝑖𝑡𝑖𝑣𝑒𝑠,𝑦, Leakage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Leakage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Leakage proponents may determine these emission sources based on literature such as peer reviewed studies.</t>
  </si>
  <si>
    <t>LEbrp,ww,y</t>
  </si>
  <si>
    <t>Leakage emissions resulting from wastewater treatment due to thermochemical, biological and mechanical processing of the biomass residues in year y (tCO2e)</t>
  </si>
  <si>
    <t>L𝐸brp,𝑒𝑙𝑒𝑐𝑡𝑟𝑖𝑐𝑖𝑡𝑦,y</t>
  </si>
  <si>
    <t>Leakage emissions resulting from the consumption of electricity due to thermo-chemical, biological and mechanical processing of the biomass residues in year y (tCO2e)</t>
  </si>
  <si>
    <t>L𝐸brp,fuel,y</t>
  </si>
  <si>
    <t>Leakage emissions resulting from the consumption of fossil fuels for thermo-chemical, biological and mechanical processing of the biomass residues in year y (tCO2e)</t>
  </si>
  <si>
    <t>L𝐸brp,𝐶𝐻4,y</t>
  </si>
  <si>
    <t>Leakage methane emissions resulting from the decay of biomass residues under anaerobic conditions as a result of thermo-chemical, biological and mechanical processing in year y (tCO2e)</t>
  </si>
  <si>
    <t>Parameter  LEch4,swds,𝑦  from Tool 04</t>
  </si>
  <si>
    <t>L𝐸brp,comp,y</t>
  </si>
  <si>
    <t>Leakage emissions resulting from composting due to thermo-chemical, biological and mechanical processing of the biomass residues in year y (tCO2e)</t>
  </si>
  <si>
    <t>Parameter LEcomp,y  from Tool 13</t>
  </si>
  <si>
    <t>L𝐸brp,ad,y</t>
  </si>
  <si>
    <t>Leakage emissions resulting from the anaerobic digester due to thermochemical, biological and mechanical processing of the biomass residues in year y (tCO2e)</t>
  </si>
  <si>
    <t>Parameter LEad,𝑦   from Tool 14</t>
  </si>
  <si>
    <t>Leakage emissions resulting from processing of biomass residues in year y</t>
  </si>
  <si>
    <t>[Click to add year]</t>
  </si>
  <si>
    <t xml:space="preserve">Add a new calculation/instance of this tool for each additional year. Sum the years to get the totals for project or leakage emissions (see summary tab). </t>
  </si>
  <si>
    <t>Project Emissions (PE) from Biomass</t>
  </si>
  <si>
    <t>Total for Year Y</t>
  </si>
  <si>
    <t>Leakage Emissions (LE) from Biomass</t>
  </si>
  <si>
    <t>Included or Omitted</t>
  </si>
  <si>
    <t xml:space="preserve">Applicability </t>
  </si>
  <si>
    <t>Length of the first crediting period of the project in years</t>
  </si>
  <si>
    <t>Level of the management activities on cropland</t>
  </si>
  <si>
    <t>Temperature regime of the cropland</t>
  </si>
  <si>
    <t>Moisture regime of the cropland</t>
  </si>
  <si>
    <t>Soil amendment agent type</t>
  </si>
  <si>
    <t xml:space="preserve">Project Scale </t>
  </si>
  <si>
    <t>Alternative scenario of the biomass residues</t>
  </si>
  <si>
    <t>Included</t>
  </si>
  <si>
    <t xml:space="preserve">Applicable </t>
  </si>
  <si>
    <t>Long-term cultivated</t>
  </si>
  <si>
    <t>Cool temperate</t>
  </si>
  <si>
    <t>Dry</t>
  </si>
  <si>
    <t>Limestone</t>
  </si>
  <si>
    <t>Large</t>
  </si>
  <si>
    <t>B1: The biomass residues are dumped or left to decay mainly under aerobic conditions. This applies, for example, to dumping and decay of biomass residues on fields.</t>
  </si>
  <si>
    <t xml:space="preserve">Not Applicable </t>
  </si>
  <si>
    <t>Set aside (&lt; 20 yrs)</t>
  </si>
  <si>
    <t>Warm temperate</t>
  </si>
  <si>
    <t>Moist</t>
  </si>
  <si>
    <t>Dolomite</t>
  </si>
  <si>
    <t xml:space="preserve">B2: The biomass residues are dumped or left to decay under clearly anaerobic conditions. This applies, for example, to landfills which are deeper than five meters. This does not apply to biomass residues that are stock-piled or left to decay on fields. </t>
  </si>
  <si>
    <t>Full tillage</t>
  </si>
  <si>
    <t>Temperate</t>
  </si>
  <si>
    <t>Moist/Wet</t>
  </si>
  <si>
    <t xml:space="preserve">B3: The biomass residues are burnt in an uncontrolled manner without utilizing it for energy purposes. </t>
  </si>
  <si>
    <t>Reduced tillage</t>
  </si>
  <si>
    <t>Boreal</t>
  </si>
  <si>
    <t>Wet</t>
  </si>
  <si>
    <t>No-tillage</t>
  </si>
  <si>
    <t>Tropical montane</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</si>
  <si>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</si>
  <si>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</si>
  <si>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</si>
  <si>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</si>
  <si>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</si>
  <si>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</si>
  <si>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</si>
  <si>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</si>
  <si>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</si>
  <si>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</si>
  <si>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</si>
  <si>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</si>
  <si>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</si>
  <si>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</si>
  <si>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</si>
  <si>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</si>
  <si>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</si>
  <si>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</si>
  <si>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</si>
  <si>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</si>
  <si>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</si>
  <si>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</si>
  <si>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</si>
  <si>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</si>
  <si>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</si>
  <si>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</si>
  <si>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</si>
  <si>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</si>
  <si>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</si>
  <si>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</si>
  <si>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</si>
  <si>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</si>
  <si>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</si>
  <si>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</si>
  <si>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</si>
  <si>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</si>
  <si>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</si>
  <si>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</si>
  <si>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</si>
  <si>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</si>
  <si>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</si>
  <si>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</si>
  <si>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</si>
  <si>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</si>
  <si>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</si>
  <si>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</si>
  <si>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</si>
  <si>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</si>
  <si>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</si>
  <si>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</si>
  <si>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2"/>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</si>
  <si>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</si>
  <si>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</si>
  <si>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</si>
  <si>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</si>
  <si>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</si>
  <si>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</si>
  <si>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</si>
  <si>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</si>
  <si>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</si>
  <si>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</si>
  <si>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</si>
  <si>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</si>
  <si>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</si>
  <si>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</si>
  <si>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</si>
  <si>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</si>
  <si>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</si>
  <si>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</si>
  <si>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</si>
  <si>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</si>
  <si>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</si>
  <si>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</si>
  <si>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</si>
  <si>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</si>
  <si>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</si>
  <si>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</si>
  <si>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</si>
  <si>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</si>
  <si>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</si>
  <si>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</si>
  <si>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</si>
  <si>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</si>
  <si>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</si>
  <si>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</si>
  <si>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2"/>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2"/>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2"/>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</si>
  <si>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</si>
  <si>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</si>
  <si>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</si>
  <si>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</si>
  <si>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</si>
  <si>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</si>
  <si>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</si>
  <si>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</si>
  <si>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</si>
  <si>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</si>
  <si>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</si>
  <si>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</si>
  <si>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</si>
  <si>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</si>
  <si>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</si>
  <si>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</si>
  <si>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</si>
  <si>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</si>
  <si>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</si>
  <si>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</si>
  <si>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</si>
  <si>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</si>
  <si>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</si>
  <si>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</si>
  <si>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</si>
  <si>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</si>
  <si>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</si>
  <si>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</si>
  <si>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</si>
  <si>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</si>
  <si>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</si>
  <si>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</si>
  <si>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</si>
  <si>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</si>
  <si>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</si>
  <si>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</si>
  <si>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</si>
  <si>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</si>
  <si>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</si>
  <si>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</si>
  <si>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</si>
  <si>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</si>
  <si>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</si>
  <si>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</si>
  <si>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</si>
  <si>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</si>
  <si>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</si>
  <si>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</si>
  <si>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</si>
  <si>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</si>
  <si>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</si>
  <si>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</si>
  <si>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</si>
  <si>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</si>
  <si>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</si>
  <si>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</si>
  <si>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</si>
  <si>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</si>
  <si>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</si>
  <si>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</si>
  <si>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</si>
  <si>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</si>
  <si>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</si>
  <si>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</si>
  <si>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</si>
  <si>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</si>
  <si>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</si>
  <si>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</si>
  <si>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</si>
  <si>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</si>
  <si>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</si>
  <si>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</si>
  <si>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</si>
  <si>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</si>
  <si>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</si>
  <si>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</si>
  <si>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</si>
  <si>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</si>
  <si>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</si>
  <si>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</si>
  <si>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</si>
  <si>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</si>
  <si>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</si>
  <si>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</si>
  <si>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</si>
  <si>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</si>
  <si>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</si>
  <si>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</si>
  <si>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</si>
  <si>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</si>
  <si>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</si>
  <si>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</si>
  <si>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The PP can select Yes or No. If no is selected then they should get a message saying "This tool is not applicable for your project." </t>
  </si>
  <si>
    <t>Constants used in equations</t>
  </si>
  <si>
    <t>MMCH4</t>
  </si>
  <si>
    <t>Molecular mass of methane</t>
  </si>
  <si>
    <t>MMCO</t>
  </si>
  <si>
    <t>Molecular mass of carbon monoxide</t>
  </si>
  <si>
    <t>MMCO2</t>
  </si>
  <si>
    <t>Molecular mass of carbon dioxide</t>
  </si>
  <si>
    <t>MMO2</t>
  </si>
  <si>
    <t>Molecular mass of oxygen</t>
  </si>
  <si>
    <t>MMH2</t>
  </si>
  <si>
    <t>Molecular mass of hydrogen</t>
  </si>
  <si>
    <t>MMN2</t>
  </si>
  <si>
    <t>Molecular mass of nitrogen</t>
  </si>
  <si>
    <t>AMc</t>
  </si>
  <si>
    <t>Atomic mass of carbon</t>
  </si>
  <si>
    <t>AMh</t>
  </si>
  <si>
    <t>Atomic mass of hydrogen</t>
  </si>
  <si>
    <t>AMo</t>
  </si>
  <si>
    <t>Atomic mass of oxygen</t>
  </si>
  <si>
    <t>AMn</t>
  </si>
  <si>
    <t>Atomic mass of nitrogen</t>
  </si>
  <si>
    <t>Pn</t>
  </si>
  <si>
    <t>Atmospheric pressure at normal conditions</t>
  </si>
  <si>
    <t>Ru</t>
  </si>
  <si>
    <t>Universal ideal gas constant</t>
  </si>
  <si>
    <t>Tn</t>
  </si>
  <si>
    <t>Temperature at normal conditions</t>
  </si>
  <si>
    <t>MFO2</t>
  </si>
  <si>
    <t>O2 volumetric fraction of air</t>
  </si>
  <si>
    <t>Global warming potential of methane</t>
  </si>
  <si>
    <t>MVn</t>
  </si>
  <si>
    <t>Volume of one mole of any ideal gas at normal temperature and pressure</t>
  </si>
  <si>
    <t>ρ CH4, n</t>
  </si>
  <si>
    <t>Density of methane gas at normal conditions</t>
  </si>
  <si>
    <t>NAi,j</t>
  </si>
  <si>
    <t>Number of atoms of element j in component i, depending on molecular structure</t>
  </si>
  <si>
    <t>-</t>
  </si>
  <si>
    <t>NA C,CH4</t>
  </si>
  <si>
    <t>Number of atoms of element C in component CH4</t>
  </si>
  <si>
    <t>NA C,CO</t>
  </si>
  <si>
    <t>Number of atoms of element C in component CO</t>
  </si>
  <si>
    <t>NA C,CO2</t>
  </si>
  <si>
    <t>Number of atoms of element C in component CO2</t>
  </si>
  <si>
    <t>NA H,CH4</t>
  </si>
  <si>
    <t>Number of atoms of element H in component CH4</t>
  </si>
  <si>
    <t>NA H,H2</t>
  </si>
  <si>
    <t>Number of atoms of element H in component H2</t>
  </si>
  <si>
    <t>NA O,CO</t>
  </si>
  <si>
    <t>Number of atoms of element O in component CO</t>
  </si>
  <si>
    <t>NA O,CO2</t>
  </si>
  <si>
    <t>Number of atoms of element O in component CO2</t>
  </si>
  <si>
    <t>NA O,O2</t>
  </si>
  <si>
    <t>Number of atoms of element O in component O2</t>
  </si>
  <si>
    <t>NA N,N2</t>
  </si>
  <si>
    <t>Number of atoms of element N in component N2</t>
  </si>
  <si>
    <t>Input Data</t>
  </si>
  <si>
    <t>vi,RG,m,CH4</t>
  </si>
  <si>
    <t xml:space="preserve">Volumetric fraction of CH4 in residual gas </t>
  </si>
  <si>
    <t>vi,RG,m,CO</t>
  </si>
  <si>
    <t xml:space="preserve">Volumetric fraction of CO in residual gas </t>
  </si>
  <si>
    <t>vi,RG,m,CO2</t>
  </si>
  <si>
    <t xml:space="preserve">Volumetric fraction of CO2 in residual gas </t>
  </si>
  <si>
    <t>vi,RG,m,O2</t>
  </si>
  <si>
    <t xml:space="preserve">Volumetric fraction of O2 in residual gas </t>
  </si>
  <si>
    <t>vi,RG,m,H2</t>
  </si>
  <si>
    <t xml:space="preserve">Volumetric fraction of H2 in residual gas </t>
  </si>
  <si>
    <t>vi,RG,m,N2</t>
  </si>
  <si>
    <t xml:space="preserve">Volumetric fraction of N2 in residual gas </t>
  </si>
  <si>
    <t>VRG,m</t>
  </si>
  <si>
    <t>Volumetric flow of residual gas at normal conditions</t>
  </si>
  <si>
    <t>vO2,EG,m</t>
  </si>
  <si>
    <t>O2 volumetric fraction of flare exhaust gas</t>
  </si>
  <si>
    <t>fcCH4,EG,m</t>
  </si>
  <si>
    <t>Methane volumetric fraction or concentration of flare exhaust gas</t>
  </si>
  <si>
    <t>FOP</t>
  </si>
  <si>
    <t>Flare operational hours in the year</t>
  </si>
  <si>
    <t>Determination of the methane mass flow in the residual gas</t>
  </si>
  <si>
    <t>MRG,m</t>
  </si>
  <si>
    <t>Mass flow of the residual gas on a dry basis at reference conditions in the minute m (kg)</t>
  </si>
  <si>
    <t>PRG,ref,m</t>
  </si>
  <si>
    <t>Density of the residual gas at reference conditions in the minute m (kg/m3 )</t>
  </si>
  <si>
    <t xml:space="preserve">VRG,m </t>
  </si>
  <si>
    <t>Volumetric flow of the residual gas on a dry basis at reference conditions in the minute m (m3 )</t>
  </si>
  <si>
    <t>Pref</t>
  </si>
  <si>
    <t>Atmospheric pressure at reference conditions (Pa)</t>
  </si>
  <si>
    <t xml:space="preserve">MMRG,m </t>
  </si>
  <si>
    <t>Molecular mass of the residual gas in the minute m (kg/kmol)</t>
  </si>
  <si>
    <t>Determination of methane mass flow rate in the residual gas on a dry basis</t>
  </si>
  <si>
    <t>Fi,t</t>
  </si>
  <si>
    <t>Mass flow of greenhouse gas I in the gaseous stream in time interval t (kg gas/h)</t>
  </si>
  <si>
    <t>Determination of flare efficiency</t>
  </si>
  <si>
    <t>nflare,calc,m</t>
  </si>
  <si>
    <t>Flare efficiency in the minute m (Percent)</t>
  </si>
  <si>
    <t>Determination of methane mass flow rate in the exhaust gas on a dry basis of flare efficiency</t>
  </si>
  <si>
    <t>FCH4,EG,m</t>
  </si>
  <si>
    <t>Mass flow of methane in the exhaust gas of the flare on a dry basis at reference conditions in the minute m (kg)</t>
  </si>
  <si>
    <t>Determination of the volumetric flow rate of the exhaust gas</t>
  </si>
  <si>
    <t>VEG,m</t>
  </si>
  <si>
    <t>Volumetric flow of the exhaust gas on a dry basis at reference conditions in the minute m (m3 )</t>
  </si>
  <si>
    <t xml:space="preserve">QEG,m </t>
  </si>
  <si>
    <t>Volume of the exhaust gas on a dry basis per kg of residual gas on a dry basis at reference conditions in the minute m (m3 /kg residual gas)</t>
  </si>
  <si>
    <t>QO2,EG,m</t>
  </si>
  <si>
    <t>O2 volume in the exhaust gas per kg of residual gas on a dry basis at reference conditions in the minute m (m3 /kg residual gas)</t>
  </si>
  <si>
    <t xml:space="preserve">QN2,EG,m </t>
  </si>
  <si>
    <t>N2 (volume) in the exhaust gas per kg of residual gas on a dry basis at reference conditions in the minute m (m3 /kg residual gas)</t>
  </si>
  <si>
    <t>QCO2,EG,m</t>
  </si>
  <si>
    <t>CO2 volume in the exhaust gas per kg of residual gas on a dry basis at reference conditions in the minute m (m3 /kg residual gas)</t>
  </si>
  <si>
    <t xml:space="preserve">NO2,EG,m </t>
  </si>
  <si>
    <t>O2 (moles) in the exhaust gas per kg of residual gas flared on a dry basis at reference conditions in the minute m (kmol/kg residual gas)</t>
  </si>
  <si>
    <t>FO2,RG,m</t>
  </si>
  <si>
    <t>Stochiometric quantity of moles of O2 required for a complete oxidation of one kg residual gas in the minute m (kmol/kg residual gas)</t>
  </si>
  <si>
    <t xml:space="preserve">Determination of the mass fraction of carbon, hydrogen, oxygen and nitrogen in the residual gas </t>
  </si>
  <si>
    <t xml:space="preserve">MFC,RG,m </t>
  </si>
  <si>
    <t>Mass fraction of element carbon in the residual gas in the minute m</t>
  </si>
  <si>
    <t>MFH2,RG,m</t>
  </si>
  <si>
    <t>Mass fraction of element hydrogen in the residual gas in the minute m</t>
  </si>
  <si>
    <t>MFO2,RG,m</t>
  </si>
  <si>
    <t>Mass fraction of element oxygen in the residual gas in the minute m</t>
  </si>
  <si>
    <t xml:space="preserve">MFN2,RG,m </t>
  </si>
  <si>
    <t>Mass fraction of element nitrogen in the residual gas in the minute m</t>
  </si>
  <si>
    <t>Calculation of project yearly emissions from flaring</t>
  </si>
  <si>
    <t xml:space="preserve">PEflare,y </t>
  </si>
  <si>
    <t>Project emissions from flaring of the residual gas in year y (tCO2e)</t>
  </si>
  <si>
    <t>Determination of the quantity of methane produced in the digester (QCH4,y)</t>
  </si>
  <si>
    <t>Is your project small-scale or large-scale?</t>
  </si>
  <si>
    <t>If PP selects "large scale" they will use option one calculation using monitored data if they select "small scale" the follow up with question in D4.</t>
  </si>
  <si>
    <t>Do you want to use default values or monitored data to calculate the quantity of methane produced in the digester?</t>
  </si>
  <si>
    <t>Default Values</t>
  </si>
  <si>
    <r>
      <t>Default Values or Monitored Data</t>
    </r>
    <r>
      <rPr>
        <sz val="11"/>
        <rFont val="Calibri"/>
        <family val="2"/>
        <scheme val="minor"/>
      </rPr>
      <t xml:space="preserve"> (If Default Value use schema in row 41, if Monitored Data use schema in row 18)</t>
    </r>
  </si>
  <si>
    <t>Does the anaerobic digester consumes electricity, such as for mixing, recirculation of digestate, or processing of feed material?</t>
  </si>
  <si>
    <t xml:space="preserve">If no then no calculation is needed for "Project emissions from electricity consumption associated with the anaerobic digester", if yes then follow up with question in D7. </t>
  </si>
  <si>
    <t>Is the electricity consumed generated on-site using biomass residues, wind, hydro or geothermal power?</t>
  </si>
  <si>
    <t xml:space="preserve">If yes then  "Project emissions from electricity consumption associated with the anaerobic digester" is equal to 0, if no then follow up with question in D8. </t>
  </si>
  <si>
    <t>Do you want to use default values or monitored data to calculate project emissions from electricity consumption associated with anaerobic digesters?</t>
  </si>
  <si>
    <r>
      <t xml:space="preserve">Default Values or Monitored Data </t>
    </r>
    <r>
      <rPr>
        <sz val="11"/>
        <rFont val="Calibri"/>
        <family val="2"/>
        <scheme val="minor"/>
      </rPr>
      <t>(If Default Value use schema in row 48, if Monitored Data use schema in row 46)</t>
    </r>
  </si>
  <si>
    <t>Determination of leakage emissions associated with storage of 
digestate (LEstorage,y) of project emissions from electricity consumption (PEEC,y)</t>
  </si>
  <si>
    <r>
      <t xml:space="preserve">Is the digestate is stored under the following anaerobic
conditions?
</t>
    </r>
    <r>
      <rPr>
        <b/>
        <sz val="11"/>
        <color rgb="FF000000"/>
        <rFont val="Calibri"/>
        <family val="2"/>
        <scheme val="minor"/>
      </rPr>
      <t>Option 1-</t>
    </r>
    <r>
      <rPr>
        <sz val="11"/>
        <color rgb="FF000000"/>
        <rFont val="Calibri"/>
        <family val="2"/>
        <scheme val="minor"/>
      </rPr>
      <t xml:space="preserve"> In an un-aerated lagoon that has a depth of more than one meter.
</t>
    </r>
    <r>
      <rPr>
        <b/>
        <sz val="11"/>
        <color rgb="FF000000"/>
        <rFont val="Calibri"/>
        <family val="2"/>
        <scheme val="minor"/>
      </rPr>
      <t>Option 2-</t>
    </r>
    <r>
      <rPr>
        <sz val="11"/>
        <color rgb="FF000000"/>
        <rFont val="Calibri"/>
        <family val="2"/>
        <scheme val="minor"/>
      </rPr>
      <t xml:space="preserve"> In a solid waste disposal site (SWDS), including stockpiles that are considered a SWDS.
</t>
    </r>
    <r>
      <rPr>
        <b/>
        <sz val="11"/>
        <color rgb="FF000000"/>
        <rFont val="Calibri"/>
        <family val="2"/>
        <scheme val="minor"/>
      </rPr>
      <t>Option 3-</t>
    </r>
    <r>
      <rPr>
        <sz val="11"/>
        <color rgb="FF000000"/>
        <rFont val="Calibri"/>
        <family val="2"/>
        <scheme val="minor"/>
      </rPr>
      <t xml:space="preserve"> None of the above apply.</t>
    </r>
  </si>
  <si>
    <t>Option 3</t>
  </si>
  <si>
    <t>If option 1 or 2 is selected then follow up with question in D11, if option 3 is selected then F66 will be 0</t>
  </si>
  <si>
    <t>Do you want to use default values or monitored data to calculate leakage emissions associated with storage of digestate?</t>
  </si>
  <si>
    <t>Option 1 has the option between Default Values (row 76) or Monitored Data (row 68), Option 2 has the option between Default Values (row 82) or Monitored Values (Tool 04)</t>
  </si>
  <si>
    <t xml:space="preserve">Project Emissions associated with anaerobic digesters </t>
  </si>
  <si>
    <t>PEAD,y</t>
  </si>
  <si>
    <t>Project emissions associated with the anaerobic digester in year y (t CO2e)</t>
  </si>
  <si>
    <t>PEEC,y</t>
  </si>
  <si>
    <t>Project emissions from electricity consumption associated with the anaerobic digester in year y (t CO2e)</t>
  </si>
  <si>
    <t>If using monitored data then use F47, if using default data then use F49</t>
  </si>
  <si>
    <t>Project emissions from fossil fuel consumption associated with the anaerobic digester in year y (t CO2e)</t>
  </si>
  <si>
    <t>Project emissions of methane from the anaerobic digester in year y (t CO2e)</t>
  </si>
  <si>
    <t>PEflare,y</t>
  </si>
  <si>
    <t>Project emissions from flaring of biogas in year y (t CO2e)</t>
  </si>
  <si>
    <t>Quantity of methane produced in the digester (QCH4,y) (Monitored Data)</t>
  </si>
  <si>
    <t xml:space="preserve">mH2O,t,db,Sat </t>
  </si>
  <si>
    <t>Saturation absolute humidity in time interval t on a dry basis (kg H2O/kg dry gas)</t>
  </si>
  <si>
    <t xml:space="preserve">pH2O,t,Sat </t>
  </si>
  <si>
    <t>Saturation pressure of H2O at temperature Tt in time interval t (Pa)</t>
  </si>
  <si>
    <t xml:space="preserve">Tt </t>
  </si>
  <si>
    <t>Temperature of the gaseous stream in time interval t (K)</t>
  </si>
  <si>
    <t xml:space="preserve">Pt </t>
  </si>
  <si>
    <t>Absolute pressure of the gaseous stream in time interval t (Pa)</t>
  </si>
  <si>
    <t xml:space="preserve">MMH2O </t>
  </si>
  <si>
    <t>Molecular mass of H2O (kg H2O/kmol H2O)</t>
  </si>
  <si>
    <t xml:space="preserve">MMt,db </t>
  </si>
  <si>
    <t>Molecular mass of the gaseous stream in a time interval t on a dry basis (kg dry gas/kmol dry gas)</t>
  </si>
  <si>
    <t xml:space="preserve">vk,t,db </t>
  </si>
  <si>
    <t>Volumetric fraction of gas k in the gaseous stream in time interval t on a dry basis (m³ gas k/m³ dry gas)</t>
  </si>
  <si>
    <t xml:space="preserve">MMk </t>
  </si>
  <si>
    <t>Molecular mass of gas k (kg/kmol)</t>
  </si>
  <si>
    <t xml:space="preserve">k </t>
  </si>
  <si>
    <t>All gases, except H2O, contained in the gaseous stream</t>
  </si>
  <si>
    <t>Methane (CH4)</t>
  </si>
  <si>
    <t>Mass flow of greenhouse gas i in the gaseous stream in time interval t (kg gas/h)</t>
  </si>
  <si>
    <t xml:space="preserve">Vt,wb, n </t>
  </si>
  <si>
    <t>Volumetric flow of the gaseous stream in time interval t on a wet basis at normal conditions (m³ wet gas/h)</t>
  </si>
  <si>
    <t xml:space="preserve">vi,t,wb </t>
  </si>
  <si>
    <t>Volumetric fraction of greenhouse gas i in the gaseous stream in time interval t on a wet basis (m³ gas i/m³ wet gas)</t>
  </si>
  <si>
    <t xml:space="preserve">pi,n </t>
  </si>
  <si>
    <t xml:space="preserve">Density of greenhouse gas i in the gaseous stream at normal conditions
(kg gas i/m³ wet gas i) </t>
  </si>
  <si>
    <t>Pn Absolute pressure at normal conditions (Pa)</t>
  </si>
  <si>
    <t xml:space="preserve">Tn </t>
  </si>
  <si>
    <t>Temperature at normal conditions (K)</t>
  </si>
  <si>
    <t xml:space="preserve">MMi </t>
  </si>
  <si>
    <t>Molecular mass of greenhouse gas i (kg/kmol)</t>
  </si>
  <si>
    <t xml:space="preserve">Ru </t>
  </si>
  <si>
    <t>Universal ideal gases constant (Pa.m3 /kmol.K)</t>
  </si>
  <si>
    <t xml:space="preserve">Mt,wb </t>
  </si>
  <si>
    <t>Mass flow of the gaseous stream in time interval t on a wet basis (kg/h</t>
  </si>
  <si>
    <t xml:space="preserve">Pt,wb,n </t>
  </si>
  <si>
    <t>Density of the gaseous stream in time interval t on a wet basis at normal conditions (kg wet gas/m3 wet gas)</t>
  </si>
  <si>
    <t xml:space="preserve">MMt,wb </t>
  </si>
  <si>
    <t>Molecular mass of the gaseous stream in time interval t on a wet basis
(kg wet gas/kmol wet gas)</t>
  </si>
  <si>
    <t xml:space="preserve">Vk,t,wb </t>
  </si>
  <si>
    <t>Volumetric fraction of gas k in the gaseous stream in time interval t on a wet basis (m³ gas k/m³ wet gas)</t>
  </si>
  <si>
    <t xml:space="preserve">t </t>
  </si>
  <si>
    <t>Time interval of monitoring (Example: 5 minutes or hourly)</t>
  </si>
  <si>
    <t>hourly basis or a smaller time interval</t>
  </si>
  <si>
    <t>Quantity of methane produced in the digester (QCH4,y) (Default Value)</t>
  </si>
  <si>
    <t xml:space="preserve">QCH4,y </t>
  </si>
  <si>
    <t>Quantity of methane produced in the digester in year y (t CH4)</t>
  </si>
  <si>
    <t xml:space="preserve">Qbiogas,y </t>
  </si>
  <si>
    <t>Amount of biogas collected at the digester outlet in year y (Nm3 biogas)</t>
  </si>
  <si>
    <t xml:space="preserve">fCH4,default </t>
  </si>
  <si>
    <t>Default value for the fraction of methane in the biogas (m3 CH4 / m3 biogas)</t>
  </si>
  <si>
    <t>PCH4</t>
  </si>
  <si>
    <t>Density of methane at normal conditions (t CH4 / Nm3 CH4)</t>
  </si>
  <si>
    <t>Project emissions from electricity consumption (PEEC,y) (Monitored Data)</t>
  </si>
  <si>
    <t>Comes from Tool 05</t>
  </si>
  <si>
    <t>Project emissions from electricity consumption (PEEC,y) (Default Value)</t>
  </si>
  <si>
    <t>Project emissions from electricity consumption associated with the anaerobic digester in year y (t CO2)</t>
  </si>
  <si>
    <t>Quantity of methane produced in the anaerobic digester in year y (t CH4)</t>
  </si>
  <si>
    <r>
      <t xml:space="preserve">Please select the digester that is being used in this project: </t>
    </r>
    <r>
      <rPr>
        <b/>
        <sz val="11"/>
        <color theme="1"/>
        <rFont val="Calibri"/>
        <family val="2"/>
        <scheme val="minor"/>
      </rPr>
      <t xml:space="preserve">Option A- </t>
    </r>
    <r>
      <rPr>
        <sz val="12"/>
        <color theme="1"/>
        <rFont val="Calibri"/>
        <family val="2"/>
        <scheme val="minor"/>
      </rPr>
      <t xml:space="preserve">Covered anaerobic lagoons (gravity fed) / conventional digesters 
</t>
    </r>
    <r>
      <rPr>
        <b/>
        <sz val="11"/>
        <color theme="1"/>
        <rFont val="Calibri"/>
        <family val="2"/>
        <scheme val="minor"/>
      </rPr>
      <t xml:space="preserve">Option B- </t>
    </r>
    <r>
      <rPr>
        <sz val="12"/>
        <color theme="1"/>
        <rFont val="Calibri"/>
        <family val="2"/>
        <scheme val="minor"/>
      </rPr>
      <t xml:space="preserve">Upflow anaerobic sludge blanket reactor (UASB) / filter bed reactor for wastewater / fluidized bed reactor </t>
    </r>
    <r>
      <rPr>
        <b/>
        <sz val="11"/>
        <color theme="1"/>
        <rFont val="Calibri"/>
        <family val="2"/>
        <scheme val="minor"/>
      </rPr>
      <t>Option C-</t>
    </r>
    <r>
      <rPr>
        <sz val="12"/>
        <color theme="1"/>
        <rFont val="Calibri"/>
        <family val="2"/>
        <scheme val="minor"/>
      </rPr>
      <t xml:space="preserve"> Conventional digesters with continuously stirred tank reactor type for wastewater
</t>
    </r>
    <r>
      <rPr>
        <b/>
        <sz val="11"/>
        <color theme="1"/>
        <rFont val="Calibri"/>
        <family val="2"/>
        <scheme val="minor"/>
      </rPr>
      <t xml:space="preserve">Option D- </t>
    </r>
    <r>
      <rPr>
        <sz val="12"/>
        <color theme="1"/>
        <rFont val="Calibri"/>
        <family val="2"/>
        <scheme val="minor"/>
      </rPr>
      <t xml:space="preserve">Any anaerobic digester for solid waste with preprocessing of wastes (e.g. pulverizing)
</t>
    </r>
    <r>
      <rPr>
        <b/>
        <sz val="11"/>
        <color theme="1"/>
        <rFont val="Calibri"/>
        <family val="2"/>
        <scheme val="minor"/>
      </rPr>
      <t xml:space="preserve">Option E- </t>
    </r>
    <r>
      <rPr>
        <sz val="12"/>
        <color theme="1"/>
        <rFont val="Calibri"/>
        <family val="2"/>
        <scheme val="minor"/>
      </rPr>
      <t>Any digesters other than those specified above, which are fed bygravity, and have no recirculation</t>
    </r>
  </si>
  <si>
    <t xml:space="preserve">FEC,default </t>
  </si>
  <si>
    <t>Default factor for the electricity consumption associated with the anaerobic digester per ton of methane generated (MWh / t CH4)</t>
  </si>
  <si>
    <t>Dependent on response from F51</t>
  </si>
  <si>
    <t xml:space="preserve">EFEL,default </t>
  </si>
  <si>
    <t>Default emission factor for the electricity consumed in year y (t CO2 / MWh)</t>
  </si>
  <si>
    <t>Project emissions from fossil fuel consumption
(PEFC,y)</t>
  </si>
  <si>
    <t>Comes from Tool 03</t>
  </si>
  <si>
    <t>Project emissions of methane from the anaerobic 
digester (PECH4,y)</t>
  </si>
  <si>
    <t xml:space="preserve">PECH4,y </t>
  </si>
  <si>
    <r>
      <t xml:space="preserve">What type of digester is used in the project activity? 
</t>
    </r>
    <r>
      <rPr>
        <b/>
        <sz val="11"/>
        <color theme="1"/>
        <rFont val="Calibri"/>
        <family val="2"/>
        <scheme val="minor"/>
      </rPr>
      <t>Option A-</t>
    </r>
    <r>
      <rPr>
        <sz val="12"/>
        <color theme="1"/>
        <rFont val="Calibri"/>
        <family val="2"/>
        <scheme val="minor"/>
      </rPr>
      <t xml:space="preserve"> Digesters with steel or lined concrete or fiberglass
digesters and a gas holding system (egg shaped digesters) and monolithic construction
</t>
    </r>
    <r>
      <rPr>
        <b/>
        <sz val="11"/>
        <color theme="1"/>
        <rFont val="Calibri"/>
        <family val="2"/>
        <scheme val="minor"/>
      </rPr>
      <t xml:space="preserve">Option B- </t>
    </r>
    <r>
      <rPr>
        <sz val="12"/>
        <color theme="1"/>
        <rFont val="Calibri"/>
        <family val="2"/>
        <scheme val="minor"/>
      </rPr>
      <t xml:space="preserve">UASB type digesters, floating gas holders with no external water seal
</t>
    </r>
    <r>
      <rPr>
        <b/>
        <sz val="11"/>
        <color theme="1"/>
        <rFont val="Calibri"/>
        <family val="2"/>
        <scheme val="minor"/>
      </rPr>
      <t xml:space="preserve">Option C- </t>
    </r>
    <r>
      <rPr>
        <sz val="12"/>
        <color theme="1"/>
        <rFont val="Calibri"/>
        <family val="2"/>
        <scheme val="minor"/>
      </rPr>
      <t xml:space="preserve">Digesters with unlined concrete/ferrocement/brick masonry arched type gas holding section; monolithic fixed dome digesters, covered anaerobic lagoon
</t>
    </r>
    <r>
      <rPr>
        <b/>
        <sz val="11"/>
        <color theme="1"/>
        <rFont val="Calibri"/>
        <family val="2"/>
        <scheme val="minor"/>
      </rPr>
      <t xml:space="preserve">Option D- </t>
    </r>
    <r>
      <rPr>
        <sz val="12"/>
        <color theme="1"/>
        <rFont val="Calibri"/>
        <family val="2"/>
        <scheme val="minor"/>
      </rPr>
      <t>Other</t>
    </r>
  </si>
  <si>
    <t xml:space="preserve">EFCH4,default </t>
  </si>
  <si>
    <t>Default emission factor for the fraction of CH4 produced that leaks from the anaerobic digester (fraction)</t>
  </si>
  <si>
    <t>Dependent on response from F59</t>
  </si>
  <si>
    <t xml:space="preserve">GWPCH4 </t>
  </si>
  <si>
    <t>Global warming potential of CH4 (t CO2 / t CH4)</t>
  </si>
  <si>
    <t>Project emissions from flaring of biogas (PEflare,y)</t>
  </si>
  <si>
    <t>Comes from Tool 06</t>
  </si>
  <si>
    <t xml:space="preserve">Leakage emissions </t>
  </si>
  <si>
    <t xml:space="preserve">LEAD,y </t>
  </si>
  <si>
    <t>Leakage emissions associated with the anaerobic digester in year y (t CO2e)</t>
  </si>
  <si>
    <t xml:space="preserve">LEstorage,y </t>
  </si>
  <si>
    <t>Leakage emissions associated with storage of digestate in year y (t CO2e)</t>
  </si>
  <si>
    <t xml:space="preserve">LEcomp,y </t>
  </si>
  <si>
    <t>Leakage emissions associated with composting digestate in year y (t CO2e)</t>
  </si>
  <si>
    <t>Tool 13</t>
  </si>
  <si>
    <t>Leakage emissions associated with storage of 
liquid digestate (LEstorage,y) (Monitored Data)</t>
  </si>
  <si>
    <t xml:space="preserve">Qstored,y </t>
  </si>
  <si>
    <t>Amount of liquid digestate stored anaerobically in year y (m3 )</t>
  </si>
  <si>
    <t xml:space="preserve">PCOD,y </t>
  </si>
  <si>
    <t>Average chemical oxygen demand (COD) of the liquid digestate in year y (t COD / m3 )</t>
  </si>
  <si>
    <t xml:space="preserve">B0 </t>
  </si>
  <si>
    <t>Maximum methane producing capacity of the COD applied (t CH4 / t COD)</t>
  </si>
  <si>
    <t xml:space="preserve">MCF </t>
  </si>
  <si>
    <t>For methane conversion factor calculation purposes select the depth of liquid digestate storage:</t>
  </si>
  <si>
    <t>≥ 2 m</t>
  </si>
  <si>
    <t xml:space="preserve">Methane conversion factor </t>
  </si>
  <si>
    <t>Dependent on response from F73</t>
  </si>
  <si>
    <t>Leakage emissions associated with storage of 
liquid digestate (LEstorage,y) (Default Value)</t>
  </si>
  <si>
    <r>
      <t xml:space="preserve">In order to calculate the default factor representing the remaining methane production capacity of liquid digestate select one of the following options: 
</t>
    </r>
    <r>
      <rPr>
        <b/>
        <sz val="11"/>
        <color theme="1"/>
        <rFont val="Calibri"/>
        <family val="2"/>
        <scheme val="minor"/>
      </rPr>
      <t xml:space="preserve">Option 1- </t>
    </r>
    <r>
      <rPr>
        <sz val="12"/>
        <color theme="1"/>
        <rFont val="Calibri"/>
        <family val="2"/>
        <scheme val="minor"/>
      </rPr>
      <t xml:space="preserve">Covered anaerobic lagoons
</t>
    </r>
    <r>
      <rPr>
        <b/>
        <sz val="11"/>
        <color theme="1"/>
        <rFont val="Calibri"/>
        <family val="2"/>
        <scheme val="minor"/>
      </rPr>
      <t>Option 2-</t>
    </r>
    <r>
      <rPr>
        <sz val="12"/>
        <color theme="1"/>
        <rFont val="Calibri"/>
        <family val="2"/>
        <scheme val="minor"/>
      </rPr>
      <t xml:space="preserve"> UASB type digesters / Anaerobic filter bed digesters /Anaerobic fluidized bed digester
</t>
    </r>
    <r>
      <rPr>
        <b/>
        <sz val="11"/>
        <color theme="1"/>
        <rFont val="Calibri"/>
        <family val="2"/>
        <scheme val="minor"/>
      </rPr>
      <t>Option 3-</t>
    </r>
    <r>
      <rPr>
        <sz val="12"/>
        <color theme="1"/>
        <rFont val="Calibri"/>
        <family val="2"/>
        <scheme val="minor"/>
      </rPr>
      <t xml:space="preserve"> Conventional digesters
</t>
    </r>
    <r>
      <rPr>
        <b/>
        <sz val="11"/>
        <color theme="1"/>
        <rFont val="Calibri"/>
        <family val="2"/>
        <scheme val="minor"/>
      </rPr>
      <t xml:space="preserve">Option 4- </t>
    </r>
    <r>
      <rPr>
        <sz val="12"/>
        <color theme="1"/>
        <rFont val="Calibri"/>
        <family val="2"/>
        <scheme val="minor"/>
      </rPr>
      <t>Two stage digesters</t>
    </r>
  </si>
  <si>
    <t xml:space="preserve">Fww,CH4,default </t>
  </si>
  <si>
    <t>Default factor representing the remaining methane production capacity of liquid digestate (fraction)</t>
  </si>
  <si>
    <t>Dependent on response from F78</t>
  </si>
  <si>
    <t>Leakage emissions associated with storage of 
solid digestate (LEstorage,y) (Default Values)</t>
  </si>
  <si>
    <r>
      <t xml:space="preserve">In order to calculate the default factor for the methane generation capacity of solid digestate select one of the following options:
</t>
    </r>
    <r>
      <rPr>
        <b/>
        <sz val="11"/>
        <color theme="1"/>
        <rFont val="Calibri"/>
        <family val="2"/>
        <scheme val="minor"/>
      </rPr>
      <t xml:space="preserve">Option 1- </t>
    </r>
    <r>
      <rPr>
        <sz val="12"/>
        <color theme="1"/>
        <rFont val="Calibri"/>
        <family val="2"/>
        <scheme val="minor"/>
      </rPr>
      <t xml:space="preserve">Two phase digester 
</t>
    </r>
    <r>
      <rPr>
        <b/>
        <sz val="11"/>
        <color theme="1"/>
        <rFont val="Calibri"/>
        <family val="2"/>
        <scheme val="minor"/>
      </rPr>
      <t>Option 2-</t>
    </r>
    <r>
      <rPr>
        <sz val="12"/>
        <color theme="1"/>
        <rFont val="Calibri"/>
        <family val="2"/>
        <scheme val="minor"/>
      </rPr>
      <t xml:space="preserve"> All other technologies</t>
    </r>
  </si>
  <si>
    <t xml:space="preserve">FSD,CH4,default </t>
  </si>
  <si>
    <t>Default factor for the methane generation capacity of solid digestate (fraction)</t>
  </si>
  <si>
    <t>Dependent on response from F85</t>
  </si>
  <si>
    <t>Global warming potential of CH4 (t CO2/t CH4)</t>
  </si>
  <si>
    <t>Leakage emissions associated with storage of 
solid digestate (LEstorage,y) (Monitored Values)</t>
  </si>
  <si>
    <t>Tool 04</t>
  </si>
  <si>
    <t>TOOL 01: For the demonstration and assessment of additionality</t>
  </si>
  <si>
    <t xml:space="preserve">if/then </t>
  </si>
  <si>
    <t xml:space="preserve">Step 0 : First-of-its-kind project activities </t>
  </si>
  <si>
    <t xml:space="preserve">Is the proposed project activity the first-of-its-kind? </t>
  </si>
  <si>
    <t>If Yes: Project is Additional
If No: Move to Step 1</t>
  </si>
  <si>
    <t>string</t>
  </si>
  <si>
    <t>Provide explanation to justify answer.</t>
  </si>
  <si>
    <t>(Explanation/proof)</t>
  </si>
  <si>
    <t>Follow up to previous question.</t>
  </si>
  <si>
    <t>Step 1: Identification of alternatives</t>
  </si>
  <si>
    <t>(1) Have realistic and credible alternative scenario(s) to the project activity been identified?
(2) Are the alternative scenario(s) in compliance with mandatory legislation and regulations (taking into account the enforcement in the region or country and EB decisions on national and/or sectoral policies and regulations)?</t>
  </si>
  <si>
    <t>Yes, Yes</t>
  </si>
  <si>
    <t>If both Yes: then proceed to Step 2 (Investment analysis) or Step 3 (Barrier analysis)
If any No: Project is not additional.</t>
  </si>
  <si>
    <t>Step 2: Investment analysis</t>
  </si>
  <si>
    <t>If Yes: then proceed to Step 4 or to Step 3 if project participent wants to complete both (Optional to complete both Step 2 and 3)
If No: Move to Step 3.</t>
  </si>
  <si>
    <t>Step 3: Barrier analysis</t>
  </si>
  <si>
    <t>(1) Is there at least one barrier preventing the implementation of the proposed project activity without the CDM;
(2) Is at least one alternative scenario, other than proposed CDM project activity, not prevented by any of the identified barriers?</t>
  </si>
  <si>
    <t>If both Yes: then proceed to Step 4
If any No: Project is not additional.</t>
  </si>
  <si>
    <t xml:space="preserve">Step 4: Common practice analysis </t>
  </si>
  <si>
    <t xml:space="preserve">(1) No similar activities can be observed? 
(2) If similar activities are observed, are there essential distinctions between the proposed CDM project activity and similar activities that can reasonably be explained? </t>
  </si>
  <si>
    <t>If both Yes: Project is additional.
If any No: Project is not additional.</t>
  </si>
  <si>
    <t>Flowchart of Tool 1</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</si>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</sst>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6">
    <font>
      <sz val="12"/>
      <color theme="1"/>
      <name val="Calibri"/>
      <family val="2"/>
      <scheme val="minor"/>
    </font>
    <font>
      <sz val="11"/>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i/>
      <vertAlign val="subscript"/>
      <sz val="11"/>
      <color theme="1"/>
      <name val="Calibri (Body)"/>
    </font>
    <font>
      <sz val="8"/>
      <name val="Calibri"/>
      <family val="2"/>
      <scheme val="minor"/>
    </font>
    <font>
      <b/>
      <sz val="12"/>
      <color theme="1"/>
      <name val="Calibri"/>
      <family val="2"/>
      <scheme val="minor"/>
    </font>
    <font>
      <b/>
      <sz val="14"/>
      <color rgb="FF000000"/>
      <name val="Calibri"/>
      <family val="2"/>
      <scheme val="minor"/>
    </font>
    <font>
      <sz val="11"/>
      <color rgb="FF000000"/>
      <name val="Calibri"/>
      <family val="2"/>
    </font>
    <font>
      <b/>
      <sz val="11"/>
      <color rgb="FF000000"/>
      <name val="Calibri"/>
      <family val="2"/>
    </font>
    <font>
      <sz val="14"/>
      <color rgb="FF000000"/>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sz val="12"/>
      <color theme="1"/>
      <name val="Calibri"/>
      <family val="2"/>
      <scheme val="minor"/>
    </font>
    <font>
      <vertAlign val="subscript"/>
      <sz val="11"/>
      <color theme="1"/>
      <name val="Calibri (Body)"/>
    </font>
    <font>
      <b/>
      <sz val="16"/>
      <color rgb="FF000000"/>
      <name val="Calibri"/>
      <family val="2"/>
      <scheme val="minor"/>
    </font>
    <font>
      <sz val="12"/>
      <color rgb="FF000000"/>
      <name val="Calibri"/>
      <family val="2"/>
      <scheme val="minor"/>
    </font>
    <font>
      <sz val="18"/>
      <color theme="1"/>
      <name val="Calibri"/>
      <family val="2"/>
      <scheme val="minor"/>
    </font>
    <font>
      <vertAlign val="subscript"/>
      <sz val="18"/>
      <color theme="1"/>
      <name val="Calibri"/>
      <family val="2"/>
      <scheme val="minor"/>
    </font>
    <font>
      <b/>
      <u/>
      <sz val="16"/>
      <color rgb="FF000000"/>
      <name val="Calibri"/>
      <family val="2"/>
      <scheme val="minor"/>
    </font>
    <font>
      <i/>
      <sz val="18"/>
      <color theme="1"/>
      <name val="Calibri"/>
      <family val="2"/>
      <scheme val="minor"/>
    </font>
    <font>
      <i/>
      <vertAlign val="subscript"/>
      <sz val="18"/>
      <color theme="1"/>
      <name val="Calibri"/>
      <family val="2"/>
      <scheme val="minor"/>
    </font>
    <font>
      <i/>
      <sz val="12"/>
      <color theme="1"/>
      <name val="Calibri"/>
      <family val="2"/>
      <scheme val="minor"/>
    </font>
    <font>
      <vertAlign val="superscript"/>
      <sz val="12"/>
      <color theme="1"/>
      <name val="Calibri"/>
      <family val="2"/>
      <scheme val="minor"/>
    </font>
    <font>
      <sz val="20"/>
      <color theme="1"/>
      <name val="Calibri"/>
      <family val="2"/>
      <scheme val="minor"/>
    </font>
    <font>
      <sz val="11"/>
      <name val="Calibri"/>
      <family val="2"/>
      <scheme val="minor"/>
    </font>
    <font>
      <b/>
      <i/>
      <sz val="11"/>
      <color theme="1"/>
      <name val="Calibri"/>
      <family val="2"/>
      <scheme val="minor"/>
    </font>
    <font>
      <b/>
      <i/>
      <sz val="14"/>
      <color theme="1"/>
      <name val="Calibri"/>
      <family val="2"/>
      <scheme val="minor"/>
    </font>
    <font>
      <b/>
      <u/>
      <sz val="11"/>
      <color rgb="FF000000"/>
      <name val="Calibri"/>
      <family val="2"/>
      <scheme val="minor"/>
    </font>
    <font>
      <i/>
      <sz val="16"/>
      <color rgb="FF000000"/>
      <name val="Calibri"/>
      <family val="2"/>
      <scheme val="minor"/>
    </font>
    <font>
      <vertAlign val="superscript"/>
      <sz val="11"/>
      <color theme="1"/>
      <name val="Calibri"/>
      <family val="2"/>
      <scheme val="minor"/>
    </font>
    <font>
      <u/>
      <sz val="11"/>
      <color theme="1"/>
      <name val="Calibri"/>
      <family val="2"/>
      <scheme val="minor"/>
    </font>
    <font>
      <b/>
      <sz val="12"/>
      <color rgb="FF000000"/>
      <name val="Calibri"/>
      <family val="2"/>
      <scheme val="minor"/>
    </font>
    <font>
      <vertAlign val="subscript"/>
      <sz val="20"/>
      <color theme="1"/>
      <name val="Calibri"/>
      <family val="2"/>
      <scheme val="minor"/>
    </font>
    <font>
      <b/>
      <u/>
      <sz val="11"/>
      <color theme="1"/>
      <name val="Calibri"/>
      <family val="2"/>
      <scheme val="minor"/>
    </font>
    <font>
      <sz val="18"/>
      <color rgb="FF000000"/>
      <name val="Calibri"/>
      <family val="2"/>
    </font>
    <font>
      <vertAlign val="subscript"/>
      <sz val="18"/>
      <color rgb="FF000000"/>
      <name val="Calibri"/>
      <family val="2"/>
    </font>
    <font>
      <sz val="11"/>
      <color theme="1"/>
      <name val="Calibri"/>
      <family val="2"/>
    </font>
    <font>
      <u/>
      <sz val="11"/>
      <color theme="10"/>
      <name val="Calibri"/>
      <family val="2"/>
      <scheme val="minor"/>
    </font>
    <font>
      <u/>
      <sz val="11"/>
      <color rgb="FF0563C1"/>
      <name val="Calibri"/>
      <family val="2"/>
    </font>
    <font>
      <sz val="11"/>
      <color rgb="FF9C5700"/>
      <name val="Calibri"/>
      <family val="2"/>
      <scheme val="minor"/>
    </font>
    <font>
      <i/>
      <sz val="11"/>
      <color theme="1"/>
      <name val="Calibri (Body)"/>
    </font>
    <font>
      <sz val="10"/>
      <name val="Arial"/>
      <family val="2"/>
    </font>
  </fonts>
  <fills count="13">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rgb="FF000000"/>
      </patternFill>
    </fill>
    <fill>
      <patternFill patternType="solid">
        <fgColor theme="9" tint="0.79998168889431442"/>
        <bgColor indexed="64"/>
      </patternFill>
    </fill>
    <fill>
      <patternFill patternType="solid">
        <fgColor rgb="FFBFBFBF"/>
        <bgColor rgb="FF000000"/>
      </patternFill>
    </fill>
    <fill>
      <patternFill patternType="solid">
        <fgColor theme="0" tint="-0.34998626667073579"/>
        <bgColor indexed="64"/>
      </patternFill>
    </fill>
    <fill>
      <patternFill patternType="solid">
        <fgColor rgb="FF00B050"/>
        <bgColor indexed="64"/>
      </patternFill>
    </fill>
    <fill>
      <patternFill patternType="solid">
        <fgColor theme="0" tint="-0.14999847407452621"/>
        <bgColor rgb="FF000000"/>
      </patternFill>
    </fill>
    <fill>
      <patternFill patternType="solid">
        <fgColor theme="2" tint="-9.9978637043366805E-2"/>
        <bgColor indexed="64"/>
      </patternFill>
    </fill>
    <fill>
      <patternFill patternType="solid">
        <fgColor rgb="FFFFEB9C"/>
      </patternFill>
    </fill>
  </fills>
  <borders count="44">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ck">
        <color auto="1"/>
      </top>
      <bottom style="thick">
        <color auto="1"/>
      </bottom>
      <diagonal/>
    </border>
    <border>
      <left/>
      <right/>
      <top style="thick">
        <color auto="1"/>
      </top>
      <bottom/>
      <diagonal/>
    </border>
    <border>
      <left/>
      <right/>
      <top/>
      <bottom style="thick">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8">
    <xf numFmtId="0" fontId="0" fillId="0" borderId="0"/>
    <xf numFmtId="0" fontId="2" fillId="0" borderId="0"/>
    <xf numFmtId="43" fontId="2" fillId="0" borderId="0" applyFont="0" applyFill="0" applyBorder="0" applyAlignment="0" applyProtection="0"/>
    <xf numFmtId="0" fontId="41" fillId="0" borderId="0" applyNumberFormat="0" applyFill="0" applyBorder="0" applyAlignment="0" applyProtection="0"/>
    <xf numFmtId="0" fontId="43" fillId="12" borderId="0" applyNumberFormat="0" applyBorder="0" applyAlignment="0" applyProtection="0"/>
    <xf numFmtId="0" fontId="1" fillId="0" borderId="0"/>
    <xf numFmtId="43" fontId="1" fillId="0" borderId="0" applyFont="0" applyFill="0" applyBorder="0" applyAlignment="0" applyProtection="0"/>
    <xf numFmtId="0" fontId="45" fillId="0" borderId="0"/>
  </cellStyleXfs>
  <cellXfs count="278">
    <xf numFmtId="0" fontId="0" fillId="0" borderId="0" xfId="0"/>
    <xf numFmtId="0" fontId="3" fillId="0" borderId="0" xfId="1" applyFont="1"/>
    <xf numFmtId="0" fontId="3" fillId="0" borderId="0" xfId="1" applyFont="1" applyAlignment="1">
      <alignment horizontal="left"/>
    </xf>
    <xf numFmtId="0" fontId="3" fillId="2" borderId="0" xfId="1" applyFont="1" applyFill="1" applyAlignment="1">
      <alignment horizontal="left"/>
    </xf>
    <xf numFmtId="0" fontId="4" fillId="2" borderId="0" xfId="1" applyFont="1" applyFill="1" applyAlignment="1">
      <alignment horizontal="left"/>
    </xf>
    <xf numFmtId="0" fontId="2" fillId="2" borderId="0" xfId="1" applyFill="1"/>
    <xf numFmtId="0" fontId="2" fillId="0" borderId="0" xfId="1"/>
    <xf numFmtId="0" fontId="2" fillId="0" borderId="0" xfId="1" applyAlignment="1">
      <alignment wrapText="1"/>
    </xf>
    <xf numFmtId="0" fontId="2" fillId="0" borderId="0" xfId="1" applyAlignment="1">
      <alignment horizontal="left"/>
    </xf>
    <xf numFmtId="0" fontId="2" fillId="3" borderId="0" xfId="1" applyFill="1"/>
    <xf numFmtId="0" fontId="5" fillId="3" borderId="0" xfId="1" applyFont="1" applyFill="1"/>
    <xf numFmtId="0" fontId="2" fillId="3" borderId="0" xfId="1" applyFill="1" applyAlignment="1">
      <alignment wrapText="1"/>
    </xf>
    <xf numFmtId="0" fontId="2" fillId="3" borderId="0" xfId="1" applyFill="1" applyAlignment="1">
      <alignment horizontal="left" wrapText="1"/>
    </xf>
    <xf numFmtId="0" fontId="2" fillId="4" borderId="0" xfId="1" applyFill="1"/>
    <xf numFmtId="0" fontId="2" fillId="4" borderId="0" xfId="1" applyFill="1" applyAlignment="1">
      <alignment wrapText="1"/>
    </xf>
    <xf numFmtId="0" fontId="2" fillId="4" borderId="0" xfId="1" applyFill="1" applyAlignment="1">
      <alignment horizontal="left" wrapText="1"/>
    </xf>
    <xf numFmtId="0" fontId="2" fillId="3" borderId="0" xfId="1" applyFill="1" applyAlignment="1">
      <alignment horizontal="left"/>
    </xf>
    <xf numFmtId="0" fontId="5" fillId="0" borderId="0" xfId="1" applyFont="1"/>
    <xf numFmtId="0" fontId="2" fillId="0" borderId="0" xfId="1" applyAlignment="1">
      <alignment horizontal="left" wrapText="1"/>
    </xf>
    <xf numFmtId="0" fontId="9" fillId="0" borderId="0" xfId="1" applyFont="1" applyAlignment="1">
      <alignment horizontal="center"/>
    </xf>
    <xf numFmtId="0" fontId="2" fillId="0" borderId="1" xfId="1" applyBorder="1" applyAlignment="1">
      <alignment horizontal="center" vertical="center"/>
    </xf>
    <xf numFmtId="0" fontId="2" fillId="0" borderId="1" xfId="1" applyBorder="1" applyAlignment="1">
      <alignment horizontal="center" vertical="center" wrapText="1"/>
    </xf>
    <xf numFmtId="0" fontId="2" fillId="0" borderId="2" xfId="1" applyBorder="1" applyAlignment="1">
      <alignment horizontal="center" vertical="center" wrapText="1"/>
    </xf>
    <xf numFmtId="0" fontId="2" fillId="0" borderId="3" xfId="1" applyBorder="1"/>
    <xf numFmtId="0" fontId="2" fillId="0" borderId="7" xfId="1" applyBorder="1"/>
    <xf numFmtId="9" fontId="2" fillId="0" borderId="1" xfId="1" applyNumberFormat="1" applyBorder="1" applyAlignment="1">
      <alignment horizontal="center" vertical="center"/>
    </xf>
    <xf numFmtId="9" fontId="2" fillId="0" borderId="2" xfId="1" applyNumberFormat="1" applyBorder="1" applyAlignment="1">
      <alignment horizontal="center" vertical="center"/>
    </xf>
    <xf numFmtId="9" fontId="2" fillId="0" borderId="8" xfId="1" applyNumberFormat="1" applyBorder="1" applyAlignment="1">
      <alignment horizontal="center" vertical="center" wrapText="1"/>
    </xf>
    <xf numFmtId="0" fontId="2" fillId="0" borderId="9" xfId="1" applyBorder="1"/>
    <xf numFmtId="0" fontId="2" fillId="0" borderId="10" xfId="1" applyBorder="1" applyAlignment="1">
      <alignment horizontal="center" vertical="center"/>
    </xf>
    <xf numFmtId="0" fontId="2" fillId="0" borderId="11" xfId="1" applyBorder="1" applyAlignment="1">
      <alignment horizontal="center" vertical="center"/>
    </xf>
    <xf numFmtId="0" fontId="2" fillId="0" borderId="12" xfId="1" applyBorder="1" applyAlignment="1">
      <alignment horizontal="center" vertical="center" wrapText="1"/>
    </xf>
    <xf numFmtId="0" fontId="2" fillId="0" borderId="13" xfId="1" applyBorder="1"/>
    <xf numFmtId="0" fontId="2" fillId="0" borderId="13" xfId="1" applyBorder="1" applyAlignment="1">
      <alignment horizontal="center" vertical="center"/>
    </xf>
    <xf numFmtId="0" fontId="2" fillId="0" borderId="14" xfId="1" applyBorder="1" applyAlignment="1">
      <alignment horizontal="center" vertical="center"/>
    </xf>
    <xf numFmtId="0" fontId="2" fillId="0" borderId="15" xfId="1" applyBorder="1" applyAlignment="1">
      <alignment horizontal="center" vertical="center" wrapText="1"/>
    </xf>
    <xf numFmtId="0" fontId="2" fillId="0" borderId="16" xfId="1" applyBorder="1"/>
    <xf numFmtId="0" fontId="2" fillId="0" borderId="16" xfId="1" applyBorder="1" applyAlignment="1">
      <alignment horizontal="center" vertical="center"/>
    </xf>
    <xf numFmtId="0" fontId="2" fillId="0" borderId="17" xfId="1" applyBorder="1" applyAlignment="1">
      <alignment horizontal="center" vertical="center"/>
    </xf>
    <xf numFmtId="0" fontId="2" fillId="0" borderId="18" xfId="1" applyBorder="1" applyAlignment="1">
      <alignment horizontal="center" vertical="center" wrapText="1"/>
    </xf>
    <xf numFmtId="0" fontId="10" fillId="0" borderId="0" xfId="1" applyFont="1" applyAlignment="1">
      <alignment wrapText="1"/>
    </xf>
    <xf numFmtId="0" fontId="2" fillId="0" borderId="0" xfId="1" applyAlignment="1">
      <alignment horizontal="right"/>
    </xf>
    <xf numFmtId="0" fontId="9" fillId="0" borderId="0" xfId="1" applyFont="1" applyAlignment="1">
      <alignment horizontal="left"/>
    </xf>
    <xf numFmtId="0" fontId="13" fillId="0" borderId="0" xfId="1" applyFont="1" applyAlignment="1">
      <alignment horizontal="left"/>
    </xf>
    <xf numFmtId="0" fontId="14" fillId="0" borderId="0" xfId="1" applyFont="1" applyAlignment="1">
      <alignment horizontal="left"/>
    </xf>
    <xf numFmtId="0" fontId="2" fillId="6" borderId="0" xfId="1" applyFill="1"/>
    <xf numFmtId="0" fontId="2" fillId="6" borderId="0" xfId="1" applyFill="1" applyAlignment="1">
      <alignment wrapText="1"/>
    </xf>
    <xf numFmtId="0" fontId="16" fillId="3" borderId="0" xfId="0" applyFont="1" applyFill="1" applyAlignment="1">
      <alignment horizontal="left" vertical="center"/>
    </xf>
    <xf numFmtId="0" fontId="19" fillId="3" borderId="0" xfId="0" applyFont="1" applyFill="1" applyAlignment="1">
      <alignment horizontal="left" vertical="center"/>
    </xf>
    <xf numFmtId="0" fontId="20" fillId="3" borderId="0" xfId="0" applyFont="1" applyFill="1" applyAlignment="1">
      <alignment horizontal="center" vertical="center"/>
    </xf>
    <xf numFmtId="0" fontId="16" fillId="3" borderId="0" xfId="0" applyFont="1" applyFill="1" applyAlignment="1">
      <alignment vertical="center" wrapText="1"/>
    </xf>
    <xf numFmtId="0" fontId="19" fillId="3" borderId="0" xfId="0" applyFont="1" applyFill="1" applyAlignment="1">
      <alignment horizontal="left"/>
    </xf>
    <xf numFmtId="0" fontId="19" fillId="3" borderId="0" xfId="0" applyFont="1" applyFill="1" applyAlignment="1">
      <alignment wrapText="1"/>
    </xf>
    <xf numFmtId="0" fontId="16" fillId="0" borderId="0" xfId="0" applyFont="1"/>
    <xf numFmtId="0" fontId="16" fillId="3" borderId="0" xfId="0" applyFont="1" applyFill="1"/>
    <xf numFmtId="0" fontId="19" fillId="3" borderId="0" xfId="0" applyFont="1" applyFill="1" applyAlignment="1">
      <alignment horizontal="left" vertical="center" wrapText="1"/>
    </xf>
    <xf numFmtId="0" fontId="19" fillId="0" borderId="0" xfId="0" applyFont="1" applyAlignment="1">
      <alignment horizontal="left" vertical="center"/>
    </xf>
    <xf numFmtId="0" fontId="16" fillId="0" borderId="0" xfId="0" applyFont="1" applyAlignment="1">
      <alignment horizontal="left" vertical="center"/>
    </xf>
    <xf numFmtId="0" fontId="20" fillId="0" borderId="0" xfId="0" applyFont="1" applyAlignment="1">
      <alignment horizontal="center" vertical="center"/>
    </xf>
    <xf numFmtId="0" fontId="16" fillId="0" borderId="0" xfId="0" applyFont="1" applyAlignment="1">
      <alignment vertical="center" wrapText="1"/>
    </xf>
    <xf numFmtId="0" fontId="19" fillId="0" borderId="0" xfId="0" applyFont="1" applyAlignment="1">
      <alignment horizontal="left"/>
    </xf>
    <xf numFmtId="0" fontId="16" fillId="0" borderId="0" xfId="0" applyFont="1" applyAlignment="1">
      <alignment horizontal="left"/>
    </xf>
    <xf numFmtId="0" fontId="19" fillId="3" borderId="0" xfId="0" applyFont="1" applyFill="1" applyAlignment="1">
      <alignment vertical="center" wrapText="1"/>
    </xf>
    <xf numFmtId="0" fontId="19" fillId="3" borderId="0" xfId="0" applyFont="1" applyFill="1" applyAlignment="1">
      <alignment vertical="center"/>
    </xf>
    <xf numFmtId="0" fontId="16" fillId="3" borderId="0" xfId="0" applyFont="1" applyFill="1" applyAlignment="1">
      <alignment vertical="center"/>
    </xf>
    <xf numFmtId="0" fontId="16" fillId="3" borderId="0" xfId="0" applyFont="1" applyFill="1" applyAlignment="1">
      <alignment horizontal="left"/>
    </xf>
    <xf numFmtId="0" fontId="19" fillId="0" borderId="0" xfId="0" applyFont="1" applyAlignment="1">
      <alignment vertical="center"/>
    </xf>
    <xf numFmtId="0" fontId="16" fillId="0" borderId="0" xfId="0" applyFont="1" applyAlignment="1">
      <alignment vertical="center"/>
    </xf>
    <xf numFmtId="0" fontId="16" fillId="0" borderId="0" xfId="0" applyFont="1" applyAlignment="1">
      <alignment wrapText="1"/>
    </xf>
    <xf numFmtId="0" fontId="16" fillId="3" borderId="0" xfId="0" applyFont="1" applyFill="1" applyAlignment="1">
      <alignment vertical="center" wrapText="1" readingOrder="1"/>
    </xf>
    <xf numFmtId="0" fontId="16" fillId="3" borderId="0" xfId="0" applyFont="1" applyFill="1" applyAlignment="1">
      <alignment horizontal="left" wrapText="1"/>
    </xf>
    <xf numFmtId="0" fontId="16" fillId="3" borderId="0" xfId="0" applyFont="1" applyFill="1" applyAlignment="1">
      <alignment wrapText="1"/>
    </xf>
    <xf numFmtId="0" fontId="9" fillId="0" borderId="0" xfId="0" applyFont="1" applyAlignment="1">
      <alignment wrapText="1"/>
    </xf>
    <xf numFmtId="0" fontId="9" fillId="0" borderId="0" xfId="0" applyFont="1" applyAlignment="1">
      <alignment horizontal="center" wrapText="1"/>
    </xf>
    <xf numFmtId="0" fontId="9" fillId="0" borderId="0" xfId="0" applyFont="1" applyAlignment="1">
      <alignment horizontal="left"/>
    </xf>
    <xf numFmtId="0" fontId="9" fillId="0" borderId="0" xfId="0" applyFont="1" applyAlignment="1">
      <alignment horizontal="left" wrapText="1"/>
    </xf>
    <xf numFmtId="0" fontId="9" fillId="0" borderId="0" xfId="1" applyFont="1" applyAlignment="1">
      <alignment wrapText="1"/>
    </xf>
    <xf numFmtId="0" fontId="9" fillId="0" borderId="0" xfId="1" applyFont="1" applyAlignment="1">
      <alignment horizontal="left" wrapText="1"/>
    </xf>
    <xf numFmtId="0" fontId="19" fillId="3" borderId="0" xfId="1" applyFont="1" applyFill="1" applyAlignment="1">
      <alignment horizontal="left" vertical="center"/>
    </xf>
    <xf numFmtId="0" fontId="16" fillId="3" borderId="0" xfId="1" applyFont="1" applyFill="1" applyAlignment="1">
      <alignment horizontal="left" vertical="center"/>
    </xf>
    <xf numFmtId="0" fontId="23" fillId="3" borderId="0" xfId="1" applyFont="1" applyFill="1" applyAlignment="1">
      <alignment horizontal="center" vertical="center"/>
    </xf>
    <xf numFmtId="0" fontId="16" fillId="3" borderId="0" xfId="1" applyFont="1" applyFill="1" applyAlignment="1">
      <alignment vertical="center" wrapText="1"/>
    </xf>
    <xf numFmtId="0" fontId="16" fillId="3" borderId="0" xfId="1" applyFont="1" applyFill="1" applyAlignment="1">
      <alignment horizontal="left"/>
    </xf>
    <xf numFmtId="0" fontId="16" fillId="3" borderId="0" xfId="1" applyFont="1" applyFill="1" applyAlignment="1">
      <alignment wrapText="1"/>
    </xf>
    <xf numFmtId="0" fontId="16" fillId="0" borderId="0" xfId="1" applyFont="1"/>
    <xf numFmtId="0" fontId="19" fillId="0" borderId="0" xfId="1" applyFont="1" applyAlignment="1">
      <alignment horizontal="left" vertical="center"/>
    </xf>
    <xf numFmtId="0" fontId="16" fillId="0" borderId="0" xfId="1" applyFont="1" applyAlignment="1">
      <alignment horizontal="left" vertical="center"/>
    </xf>
    <xf numFmtId="0" fontId="23" fillId="0" borderId="0" xfId="1" applyFont="1" applyAlignment="1">
      <alignment horizontal="center" vertical="center"/>
    </xf>
    <xf numFmtId="0" fontId="16" fillId="0" borderId="0" xfId="1" applyFont="1" applyAlignment="1">
      <alignment vertical="center" wrapText="1"/>
    </xf>
    <xf numFmtId="0" fontId="16" fillId="0" borderId="0" xfId="1" applyFont="1" applyAlignment="1">
      <alignment horizontal="left"/>
    </xf>
    <xf numFmtId="0" fontId="16" fillId="0" borderId="0" xfId="1" applyFont="1" applyAlignment="1">
      <alignment wrapText="1"/>
    </xf>
    <xf numFmtId="0" fontId="20" fillId="3" borderId="0" xfId="1" applyFont="1" applyFill="1" applyAlignment="1">
      <alignment horizontal="center" vertical="center"/>
    </xf>
    <xf numFmtId="0" fontId="16" fillId="3" borderId="0" xfId="1" applyFont="1" applyFill="1" applyAlignment="1">
      <alignment vertical="center" wrapText="1" readingOrder="1"/>
    </xf>
    <xf numFmtId="0" fontId="20" fillId="0" borderId="0" xfId="1" applyFont="1" applyAlignment="1">
      <alignment horizontal="center" vertical="center"/>
    </xf>
    <xf numFmtId="0" fontId="13" fillId="0" borderId="0" xfId="1" applyFont="1"/>
    <xf numFmtId="0" fontId="27" fillId="0" borderId="0" xfId="1" applyFont="1" applyAlignment="1">
      <alignment horizontal="center" vertical="center"/>
    </xf>
    <xf numFmtId="0" fontId="2" fillId="0" borderId="0" xfId="1" applyAlignment="1">
      <alignment vertical="center" wrapText="1"/>
    </xf>
    <xf numFmtId="0" fontId="2" fillId="3" borderId="21" xfId="1" applyFill="1" applyBorder="1"/>
    <xf numFmtId="0" fontId="15" fillId="0" borderId="0" xfId="1" applyFont="1"/>
    <xf numFmtId="0" fontId="13" fillId="0" borderId="0" xfId="1" applyFont="1" applyAlignment="1">
      <alignment horizontal="left" wrapText="1"/>
    </xf>
    <xf numFmtId="0" fontId="2" fillId="6" borderId="0" xfId="1" applyFill="1" applyAlignment="1">
      <alignment horizontal="left" wrapText="1"/>
    </xf>
    <xf numFmtId="0" fontId="3" fillId="0" borderId="20" xfId="1" applyFont="1" applyBorder="1" applyAlignment="1">
      <alignment horizontal="center"/>
    </xf>
    <xf numFmtId="0" fontId="15" fillId="0" borderId="0" xfId="1" applyFont="1" applyAlignment="1">
      <alignment horizontal="center"/>
    </xf>
    <xf numFmtId="0" fontId="2" fillId="3" borderId="0" xfId="1" applyFill="1" applyAlignment="1">
      <alignment horizontal="left" vertical="center" wrapText="1"/>
    </xf>
    <xf numFmtId="0" fontId="20" fillId="0" borderId="0" xfId="1" applyFont="1"/>
    <xf numFmtId="0" fontId="2" fillId="0" borderId="0" xfId="1" applyAlignment="1">
      <alignment horizontal="left" vertical="center" wrapText="1"/>
    </xf>
    <xf numFmtId="0" fontId="2" fillId="6" borderId="0" xfId="1" applyFill="1" applyAlignment="1">
      <alignment horizontal="left" vertical="center" wrapText="1"/>
    </xf>
    <xf numFmtId="0" fontId="13" fillId="6" borderId="0" xfId="1" applyFont="1" applyFill="1" applyAlignment="1">
      <alignment wrapText="1"/>
    </xf>
    <xf numFmtId="0" fontId="20" fillId="3" borderId="0" xfId="1" applyFont="1" applyFill="1"/>
    <xf numFmtId="0" fontId="2" fillId="3" borderId="0" xfId="1" applyFill="1" applyAlignment="1">
      <alignment vertical="center" wrapText="1"/>
    </xf>
    <xf numFmtId="0" fontId="2" fillId="0" borderId="0" xfId="1" applyAlignment="1">
      <alignment horizontal="center" vertical="center"/>
    </xf>
    <xf numFmtId="0" fontId="2" fillId="6" borderId="0" xfId="1" applyFill="1" applyAlignment="1">
      <alignment horizontal="center" vertical="center"/>
    </xf>
    <xf numFmtId="0" fontId="2" fillId="8" borderId="0" xfId="1" applyFill="1"/>
    <xf numFmtId="9" fontId="2" fillId="3" borderId="0" xfId="1" applyNumberFormat="1" applyFill="1"/>
    <xf numFmtId="0" fontId="15" fillId="0" borderId="0" xfId="1" applyFont="1" applyAlignment="1">
      <alignment horizontal="center" wrapText="1"/>
    </xf>
    <xf numFmtId="0" fontId="3" fillId="8" borderId="0" xfId="1" applyFont="1" applyFill="1"/>
    <xf numFmtId="0" fontId="29" fillId="0" borderId="0" xfId="1" applyFont="1" applyAlignment="1">
      <alignment horizontal="center"/>
    </xf>
    <xf numFmtId="0" fontId="29" fillId="0" borderId="0" xfId="1" applyFont="1"/>
    <xf numFmtId="0" fontId="2" fillId="2" borderId="0" xfId="1" applyFill="1" applyAlignment="1">
      <alignment wrapText="1"/>
    </xf>
    <xf numFmtId="0" fontId="2" fillId="2" borderId="0" xfId="1" applyFill="1" applyAlignment="1">
      <alignment horizontal="left"/>
    </xf>
    <xf numFmtId="0" fontId="5" fillId="0" borderId="0" xfId="1" applyFont="1" applyAlignment="1">
      <alignment horizontal="center"/>
    </xf>
    <xf numFmtId="0" fontId="2" fillId="9" borderId="0" xfId="1" applyFill="1" applyAlignment="1">
      <alignment horizontal="left"/>
    </xf>
    <xf numFmtId="3" fontId="2" fillId="0" borderId="0" xfId="1" applyNumberFormat="1" applyAlignment="1">
      <alignment horizontal="left"/>
    </xf>
    <xf numFmtId="0" fontId="15" fillId="0" borderId="26" xfId="1" applyFont="1" applyBorder="1" applyAlignment="1">
      <alignment horizontal="left"/>
    </xf>
    <xf numFmtId="0" fontId="15" fillId="0" borderId="27" xfId="1" applyFont="1" applyBorder="1"/>
    <xf numFmtId="0" fontId="2" fillId="3" borderId="26" xfId="1" applyFill="1" applyBorder="1" applyAlignment="1">
      <alignment horizontal="left"/>
    </xf>
    <xf numFmtId="0" fontId="2" fillId="3" borderId="27" xfId="1" applyFill="1" applyBorder="1"/>
    <xf numFmtId="0" fontId="2" fillId="0" borderId="26" xfId="1" applyBorder="1" applyAlignment="1">
      <alignment horizontal="left"/>
    </xf>
    <xf numFmtId="0" fontId="2" fillId="0" borderId="27" xfId="1" applyBorder="1"/>
    <xf numFmtId="0" fontId="15" fillId="0" borderId="19" xfId="1" applyFont="1" applyBorder="1" applyAlignment="1">
      <alignment horizontal="left"/>
    </xf>
    <xf numFmtId="0" fontId="15" fillId="0" borderId="25" xfId="1" applyFont="1" applyBorder="1"/>
    <xf numFmtId="0" fontId="15" fillId="3" borderId="20" xfId="1" applyFont="1" applyFill="1" applyBorder="1"/>
    <xf numFmtId="0" fontId="15" fillId="0" borderId="28" xfId="1" applyFont="1" applyBorder="1" applyAlignment="1">
      <alignment horizontal="left"/>
    </xf>
    <xf numFmtId="0" fontId="15" fillId="0" borderId="29" xfId="1" applyFont="1" applyBorder="1"/>
    <xf numFmtId="0" fontId="15" fillId="3" borderId="30" xfId="1" applyFont="1" applyFill="1" applyBorder="1"/>
    <xf numFmtId="0" fontId="13" fillId="3" borderId="0" xfId="1" applyFont="1" applyFill="1" applyAlignment="1">
      <alignment wrapText="1"/>
    </xf>
    <xf numFmtId="0" fontId="9" fillId="3" borderId="0" xfId="1" applyFont="1" applyFill="1" applyAlignment="1">
      <alignment wrapText="1"/>
    </xf>
    <xf numFmtId="0" fontId="13" fillId="3" borderId="0" xfId="1" applyFont="1" applyFill="1" applyAlignment="1">
      <alignment horizontal="left" wrapText="1"/>
    </xf>
    <xf numFmtId="0" fontId="13" fillId="3" borderId="0" xfId="1" applyFont="1" applyFill="1" applyAlignment="1">
      <alignment horizontal="right"/>
    </xf>
    <xf numFmtId="0" fontId="9" fillId="3" borderId="0" xfId="1" applyFont="1" applyFill="1" applyAlignment="1">
      <alignment horizontal="left" wrapText="1"/>
    </xf>
    <xf numFmtId="0" fontId="2" fillId="3" borderId="0" xfId="1" applyFill="1" applyAlignment="1">
      <alignment horizontal="right"/>
    </xf>
    <xf numFmtId="0" fontId="18" fillId="0" borderId="0" xfId="1" applyFont="1" applyAlignment="1">
      <alignment vertical="center" wrapText="1"/>
    </xf>
    <xf numFmtId="0" fontId="3" fillId="0" borderId="21" xfId="1" applyFont="1" applyBorder="1" applyAlignment="1">
      <alignment horizontal="center" wrapText="1"/>
    </xf>
    <xf numFmtId="0" fontId="2" fillId="0" borderId="31" xfId="1" applyBorder="1" applyAlignment="1">
      <alignment wrapText="1"/>
    </xf>
    <xf numFmtId="0" fontId="2" fillId="0" borderId="32" xfId="1" applyBorder="1"/>
    <xf numFmtId="0" fontId="2" fillId="0" borderId="33" xfId="1" applyBorder="1"/>
    <xf numFmtId="0" fontId="2" fillId="0" borderId="34" xfId="1" applyBorder="1"/>
    <xf numFmtId="0" fontId="2" fillId="0" borderId="33" xfId="1" applyBorder="1" applyAlignment="1">
      <alignment wrapText="1"/>
    </xf>
    <xf numFmtId="0" fontId="2" fillId="0" borderId="35" xfId="1" applyBorder="1"/>
    <xf numFmtId="0" fontId="2" fillId="0" borderId="36" xfId="1" applyBorder="1"/>
    <xf numFmtId="0" fontId="16" fillId="6" borderId="0" xfId="1" applyFont="1" applyFill="1" applyAlignment="1">
      <alignment horizontal="left" vertical="center"/>
    </xf>
    <xf numFmtId="0" fontId="16" fillId="6" borderId="0" xfId="1" applyFont="1" applyFill="1" applyAlignment="1">
      <alignment horizontal="left" vertical="center" wrapText="1"/>
    </xf>
    <xf numFmtId="0" fontId="19" fillId="6" borderId="0" xfId="1" applyFont="1" applyFill="1" applyAlignment="1">
      <alignment wrapText="1"/>
    </xf>
    <xf numFmtId="0" fontId="16" fillId="3" borderId="0" xfId="1" applyFont="1" applyFill="1"/>
    <xf numFmtId="0" fontId="20" fillId="0" borderId="0" xfId="1" applyFont="1" applyAlignment="1">
      <alignment horizontal="center"/>
    </xf>
    <xf numFmtId="0" fontId="2" fillId="6" borderId="0" xfId="1" applyFill="1" applyAlignment="1">
      <alignment vertical="center" wrapText="1"/>
    </xf>
    <xf numFmtId="0" fontId="2" fillId="6" borderId="0" xfId="1" applyFill="1" applyAlignment="1">
      <alignment vertical="center"/>
    </xf>
    <xf numFmtId="0" fontId="27" fillId="3" borderId="0" xfId="1" applyFont="1" applyFill="1" applyAlignment="1">
      <alignment vertical="center"/>
    </xf>
    <xf numFmtId="0" fontId="2" fillId="3" borderId="0" xfId="1" applyFill="1" applyAlignment="1">
      <alignment vertical="center"/>
    </xf>
    <xf numFmtId="0" fontId="38" fillId="3" borderId="0" xfId="1" applyFont="1" applyFill="1" applyAlignment="1">
      <alignment vertical="center"/>
    </xf>
    <xf numFmtId="0" fontId="38" fillId="0" borderId="0" xfId="1" applyFont="1" applyAlignment="1">
      <alignment vertical="center"/>
    </xf>
    <xf numFmtId="0" fontId="8" fillId="0" borderId="37" xfId="1" applyFont="1" applyBorder="1" applyAlignment="1">
      <alignment horizontal="center"/>
    </xf>
    <xf numFmtId="0" fontId="8" fillId="0" borderId="37" xfId="1" applyFont="1" applyBorder="1" applyAlignment="1">
      <alignment horizontal="center" wrapText="1"/>
    </xf>
    <xf numFmtId="0" fontId="2" fillId="0" borderId="38" xfId="1" applyBorder="1"/>
    <xf numFmtId="0" fontId="2" fillId="0" borderId="39" xfId="1" applyBorder="1"/>
    <xf numFmtId="164" fontId="0" fillId="0" borderId="40" xfId="2" applyNumberFormat="1" applyFont="1" applyBorder="1"/>
    <xf numFmtId="0" fontId="2" fillId="0" borderId="41" xfId="1" applyBorder="1"/>
    <xf numFmtId="164" fontId="0" fillId="0" borderId="34" xfId="2" applyNumberFormat="1" applyFont="1" applyBorder="1"/>
    <xf numFmtId="0" fontId="2" fillId="0" borderId="42" xfId="1" applyBorder="1"/>
    <xf numFmtId="164" fontId="0" fillId="0" borderId="36" xfId="2" applyNumberFormat="1" applyFont="1" applyBorder="1"/>
    <xf numFmtId="0" fontId="13" fillId="4" borderId="0" xfId="1" applyFont="1" applyFill="1" applyAlignment="1">
      <alignment horizontal="left" vertical="center"/>
    </xf>
    <xf numFmtId="0" fontId="13" fillId="4" borderId="0" xfId="1" applyFont="1" applyFill="1"/>
    <xf numFmtId="0" fontId="4" fillId="4" borderId="0" xfId="1" applyFont="1" applyFill="1" applyAlignment="1">
      <alignment horizontal="left" vertical="center" wrapText="1"/>
    </xf>
    <xf numFmtId="0" fontId="2" fillId="4" borderId="0" xfId="1" applyFill="1" applyAlignment="1">
      <alignment vertical="center" wrapText="1"/>
    </xf>
    <xf numFmtId="0" fontId="2" fillId="4" borderId="0" xfId="1" applyFill="1" applyAlignment="1">
      <alignment horizontal="left"/>
    </xf>
    <xf numFmtId="0" fontId="13" fillId="0" borderId="0" xfId="1" applyFont="1" applyAlignment="1">
      <alignment horizontal="left" vertical="center"/>
    </xf>
    <xf numFmtId="0" fontId="4" fillId="0" borderId="0" xfId="1" applyFont="1" applyAlignment="1">
      <alignment vertical="center" wrapText="1"/>
    </xf>
    <xf numFmtId="0" fontId="2" fillId="0" borderId="0" xfId="1" applyAlignment="1">
      <alignment vertical="center"/>
    </xf>
    <xf numFmtId="0" fontId="15" fillId="0" borderId="41" xfId="1" applyFont="1" applyBorder="1" applyAlignment="1">
      <alignment horizontal="center" vertical="top"/>
    </xf>
    <xf numFmtId="0" fontId="15" fillId="0" borderId="43" xfId="1" applyFont="1" applyBorder="1" applyAlignment="1">
      <alignment horizontal="center" vertical="top" wrapText="1"/>
    </xf>
    <xf numFmtId="0" fontId="2" fillId="11" borderId="0" xfId="1" applyFill="1"/>
    <xf numFmtId="0" fontId="10" fillId="0" borderId="0" xfId="0" applyFont="1"/>
    <xf numFmtId="0" fontId="13" fillId="0" borderId="0" xfId="0" applyFont="1" applyAlignment="1">
      <alignment horizontal="center"/>
    </xf>
    <xf numFmtId="0" fontId="10" fillId="0" borderId="0" xfId="0" applyFont="1" applyAlignment="1">
      <alignment horizontal="center"/>
    </xf>
    <xf numFmtId="0" fontId="10" fillId="0" borderId="0" xfId="0" applyFont="1" applyAlignment="1">
      <alignment horizontal="left" wrapText="1"/>
    </xf>
    <xf numFmtId="0" fontId="40" fillId="0" borderId="0" xfId="0" applyFont="1"/>
    <xf numFmtId="0" fontId="10" fillId="0" borderId="0" xfId="0" applyFont="1" applyAlignment="1">
      <alignment horizontal="left"/>
    </xf>
    <xf numFmtId="0" fontId="10" fillId="0" borderId="0" xfId="0" applyFont="1" applyAlignment="1">
      <alignment wrapText="1"/>
    </xf>
    <xf numFmtId="0" fontId="42" fillId="0" borderId="0" xfId="3" applyFont="1" applyFill="1" applyBorder="1" applyAlignment="1">
      <alignment horizontal="left"/>
    </xf>
    <xf numFmtId="0" fontId="13" fillId="0" borderId="0" xfId="0" applyFont="1" applyAlignment="1">
      <alignment horizontal="left" wrapText="1"/>
    </xf>
    <xf numFmtId="14" fontId="10" fillId="0" borderId="0" xfId="0" applyNumberFormat="1" applyFont="1" applyAlignment="1">
      <alignment horizontal="left" wrapText="1"/>
    </xf>
    <xf numFmtId="0" fontId="13" fillId="3" borderId="0" xfId="0" applyFont="1" applyFill="1" applyAlignment="1">
      <alignment horizontal="center"/>
    </xf>
    <xf numFmtId="0" fontId="5" fillId="4" borderId="0" xfId="1" applyFont="1" applyFill="1"/>
    <xf numFmtId="0" fontId="40" fillId="0" borderId="0" xfId="0" applyFont="1" applyAlignment="1">
      <alignment wrapText="1"/>
    </xf>
    <xf numFmtId="0" fontId="44" fillId="3" borderId="0" xfId="1" applyFont="1" applyFill="1"/>
    <xf numFmtId="0" fontId="6" fillId="3" borderId="0" xfId="1" applyFont="1" applyFill="1"/>
    <xf numFmtId="0" fontId="44" fillId="0" borderId="0" xfId="1" applyFont="1"/>
    <xf numFmtId="0" fontId="6" fillId="0" borderId="0" xfId="1" applyFont="1"/>
    <xf numFmtId="0" fontId="1" fillId="3" borderId="0" xfId="1" applyFont="1" applyFill="1"/>
    <xf numFmtId="0" fontId="0" fillId="0" borderId="0" xfId="0" applyAlignment="1">
      <alignment wrapText="1"/>
    </xf>
    <xf numFmtId="0" fontId="9" fillId="0" borderId="0" xfId="5" applyFont="1" applyAlignment="1">
      <alignment wrapText="1"/>
    </xf>
    <xf numFmtId="0" fontId="9" fillId="0" borderId="0" xfId="5" applyFont="1" applyAlignment="1">
      <alignment horizontal="left" wrapText="1"/>
    </xf>
    <xf numFmtId="0" fontId="9" fillId="0" borderId="0" xfId="5" applyFont="1" applyAlignment="1">
      <alignment horizontal="left"/>
    </xf>
    <xf numFmtId="0" fontId="1" fillId="0" borderId="0" xfId="5"/>
    <xf numFmtId="0" fontId="1" fillId="3" borderId="0" xfId="5" applyFill="1" applyAlignment="1">
      <alignment wrapText="1"/>
    </xf>
    <xf numFmtId="0" fontId="1" fillId="3" borderId="0" xfId="5" applyFill="1" applyAlignment="1">
      <alignment horizontal="left"/>
    </xf>
    <xf numFmtId="0" fontId="1" fillId="0" borderId="0" xfId="5" applyAlignment="1">
      <alignment wrapText="1"/>
    </xf>
    <xf numFmtId="0" fontId="1" fillId="0" borderId="0" xfId="5" applyAlignment="1">
      <alignment horizontal="left"/>
    </xf>
    <xf numFmtId="0" fontId="1" fillId="3" borderId="0" xfId="5" applyFill="1"/>
    <xf numFmtId="0" fontId="1" fillId="6" borderId="0" xfId="5" applyFill="1"/>
    <xf numFmtId="0" fontId="1" fillId="6" borderId="0" xfId="5" applyFill="1" applyAlignment="1">
      <alignment wrapText="1"/>
    </xf>
    <xf numFmtId="0" fontId="1" fillId="3" borderId="0" xfId="5" applyFill="1" applyAlignment="1">
      <alignment horizontal="left" wrapText="1"/>
    </xf>
    <xf numFmtId="0" fontId="1" fillId="3" borderId="0" xfId="5" applyFill="1" applyAlignment="1">
      <alignment vertical="center" wrapText="1"/>
    </xf>
    <xf numFmtId="0" fontId="13" fillId="0" borderId="0" xfId="5" applyFont="1" applyAlignment="1">
      <alignment horizontal="left"/>
    </xf>
    <xf numFmtId="0" fontId="3" fillId="2" borderId="0" xfId="5" applyFont="1" applyFill="1" applyAlignment="1">
      <alignment wrapText="1"/>
    </xf>
    <xf numFmtId="0" fontId="1" fillId="2" borderId="0" xfId="5" applyFill="1"/>
    <xf numFmtId="0" fontId="15" fillId="0" borderId="22" xfId="5" applyFont="1" applyBorder="1" applyAlignment="1">
      <alignment wrapText="1"/>
    </xf>
    <xf numFmtId="0" fontId="1" fillId="3" borderId="22" xfId="5" applyFill="1" applyBorder="1"/>
    <xf numFmtId="0" fontId="1" fillId="0" borderId="22" xfId="5" applyBorder="1"/>
    <xf numFmtId="0" fontId="1" fillId="0" borderId="23" xfId="5" applyBorder="1" applyAlignment="1">
      <alignment wrapText="1"/>
    </xf>
    <xf numFmtId="0" fontId="1" fillId="0" borderId="23" xfId="5" applyBorder="1"/>
    <xf numFmtId="0" fontId="3" fillId="2" borderId="0" xfId="5" applyFont="1" applyFill="1"/>
    <xf numFmtId="0" fontId="29" fillId="0" borderId="0" xfId="5" applyFont="1" applyAlignment="1">
      <alignment wrapText="1"/>
    </xf>
    <xf numFmtId="0" fontId="15" fillId="2" borderId="0" xfId="5" applyFont="1" applyFill="1"/>
    <xf numFmtId="0" fontId="15" fillId="2" borderId="0" xfId="5" applyFont="1" applyFill="1" applyAlignment="1">
      <alignment wrapText="1"/>
    </xf>
    <xf numFmtId="0" fontId="1" fillId="3" borderId="21" xfId="5" applyFill="1" applyBorder="1"/>
    <xf numFmtId="0" fontId="15" fillId="0" borderId="22" xfId="5" applyFont="1" applyBorder="1"/>
    <xf numFmtId="0" fontId="15" fillId="3" borderId="22" xfId="5" applyFont="1" applyFill="1" applyBorder="1"/>
    <xf numFmtId="0" fontId="15" fillId="3" borderId="0" xfId="5" applyFont="1" applyFill="1"/>
    <xf numFmtId="9" fontId="1" fillId="0" borderId="0" xfId="5" applyNumberFormat="1"/>
    <xf numFmtId="0" fontId="1" fillId="0" borderId="22" xfId="5" applyBorder="1" applyAlignment="1">
      <alignment wrapText="1"/>
    </xf>
    <xf numFmtId="0" fontId="1" fillId="3" borderId="23" xfId="5" applyFill="1" applyBorder="1"/>
    <xf numFmtId="0" fontId="1" fillId="0" borderId="24" xfId="5" applyBorder="1"/>
    <xf numFmtId="0" fontId="29" fillId="0" borderId="24" xfId="5" applyFont="1" applyBorder="1" applyAlignment="1">
      <alignment wrapText="1"/>
    </xf>
    <xf numFmtId="0" fontId="3" fillId="0" borderId="0" xfId="5" applyFont="1"/>
    <xf numFmtId="0" fontId="30" fillId="0" borderId="0" xfId="5" applyFont="1" applyAlignment="1">
      <alignment wrapText="1"/>
    </xf>
    <xf numFmtId="0" fontId="15" fillId="0" borderId="0" xfId="5" applyFont="1"/>
    <xf numFmtId="0" fontId="5" fillId="0" borderId="0" xfId="5" applyFont="1"/>
    <xf numFmtId="0" fontId="5" fillId="3" borderId="0" xfId="5" applyFont="1" applyFill="1"/>
    <xf numFmtId="0" fontId="9" fillId="0" borderId="0" xfId="5" applyFont="1"/>
    <xf numFmtId="0" fontId="9" fillId="5" borderId="0" xfId="5" applyFont="1" applyFill="1" applyAlignment="1">
      <alignment horizontal="left"/>
    </xf>
    <xf numFmtId="0" fontId="12" fillId="5" borderId="0" xfId="5" applyFont="1" applyFill="1" applyAlignment="1">
      <alignment horizontal="left"/>
    </xf>
    <xf numFmtId="0" fontId="13" fillId="6" borderId="0" xfId="5" applyFont="1" applyFill="1"/>
    <xf numFmtId="0" fontId="13" fillId="6" borderId="0" xfId="5" applyFont="1" applyFill="1" applyAlignment="1">
      <alignment horizontal="left"/>
    </xf>
    <xf numFmtId="0" fontId="9" fillId="6" borderId="0" xfId="5" applyFont="1" applyFill="1"/>
    <xf numFmtId="0" fontId="13" fillId="6" borderId="0" xfId="5" applyFont="1" applyFill="1" applyAlignment="1">
      <alignment horizontal="left" wrapText="1"/>
    </xf>
    <xf numFmtId="0" fontId="13" fillId="6" borderId="0" xfId="5" applyFont="1" applyFill="1" applyAlignment="1">
      <alignment wrapText="1"/>
    </xf>
    <xf numFmtId="0" fontId="28" fillId="6" borderId="0" xfId="4" applyFont="1" applyFill="1" applyAlignment="1">
      <alignment wrapText="1"/>
    </xf>
    <xf numFmtId="0" fontId="13" fillId="4" borderId="0" xfId="5" applyFont="1" applyFill="1" applyAlignment="1">
      <alignment horizontal="left"/>
    </xf>
    <xf numFmtId="0" fontId="1" fillId="4" borderId="0" xfId="5" applyFill="1"/>
    <xf numFmtId="0" fontId="1" fillId="4" borderId="0" xfId="5" applyFill="1" applyAlignment="1">
      <alignment wrapText="1"/>
    </xf>
    <xf numFmtId="0" fontId="28" fillId="3" borderId="0" xfId="4" applyFont="1" applyFill="1" applyAlignment="1">
      <alignment horizontal="left" wrapText="1"/>
    </xf>
    <xf numFmtId="0" fontId="43" fillId="3" borderId="0" xfId="4" applyFill="1" applyAlignment="1">
      <alignment wrapText="1"/>
    </xf>
    <xf numFmtId="0" fontId="1" fillId="6" borderId="0" xfId="5" applyFill="1" applyAlignment="1">
      <alignment horizontal="left"/>
    </xf>
    <xf numFmtId="0" fontId="28" fillId="3" borderId="0" xfId="7" applyFont="1" applyFill="1" applyAlignment="1">
      <alignment vertical="top" wrapText="1"/>
    </xf>
    <xf numFmtId="10" fontId="1" fillId="0" borderId="0" xfId="5" applyNumberFormat="1" applyAlignment="1">
      <alignment horizontal="left"/>
    </xf>
    <xf numFmtId="4" fontId="1" fillId="0" borderId="0" xfId="5" applyNumberFormat="1" applyAlignment="1">
      <alignment horizontal="left"/>
    </xf>
    <xf numFmtId="3" fontId="1" fillId="0" borderId="0" xfId="5" applyNumberFormat="1" applyAlignment="1">
      <alignment horizontal="left"/>
    </xf>
    <xf numFmtId="0" fontId="13" fillId="3" borderId="0" xfId="5" applyFont="1" applyFill="1" applyAlignment="1">
      <alignment horizontal="left" wrapText="1"/>
    </xf>
    <xf numFmtId="0" fontId="13" fillId="3" borderId="0" xfId="5" applyFont="1" applyFill="1" applyAlignment="1">
      <alignment horizontal="left"/>
    </xf>
    <xf numFmtId="0" fontId="18" fillId="7" borderId="0" xfId="0" applyFont="1" applyFill="1" applyAlignment="1">
      <alignment horizontal="center" vertical="center" wrapText="1"/>
    </xf>
    <xf numFmtId="0" fontId="18" fillId="7" borderId="0" xfId="1" applyFont="1" applyFill="1" applyAlignment="1">
      <alignment horizontal="center" vertical="center" wrapText="1"/>
    </xf>
    <xf numFmtId="0" fontId="9" fillId="2" borderId="0" xfId="1" applyFont="1" applyFill="1" applyAlignment="1">
      <alignment horizontal="center"/>
    </xf>
    <xf numFmtId="0" fontId="2" fillId="0" borderId="4" xfId="1" applyBorder="1" applyAlignment="1">
      <alignment horizontal="center"/>
    </xf>
    <xf numFmtId="0" fontId="2" fillId="0" borderId="5" xfId="1" applyBorder="1" applyAlignment="1">
      <alignment horizontal="center"/>
    </xf>
    <xf numFmtId="0" fontId="2" fillId="0" borderId="6" xfId="1" applyBorder="1" applyAlignment="1">
      <alignment horizontal="center"/>
    </xf>
    <xf numFmtId="0" fontId="18" fillId="2" borderId="0" xfId="1" applyFont="1" applyFill="1" applyAlignment="1">
      <alignment horizontal="center"/>
    </xf>
    <xf numFmtId="0" fontId="5" fillId="0" borderId="0" xfId="1" applyFont="1" applyAlignment="1">
      <alignment horizontal="center"/>
    </xf>
    <xf numFmtId="0" fontId="3" fillId="0" borderId="19" xfId="1" applyFont="1" applyBorder="1" applyAlignment="1">
      <alignment horizontal="center"/>
    </xf>
    <xf numFmtId="0" fontId="3" fillId="0" borderId="25" xfId="1" applyFont="1" applyBorder="1" applyAlignment="1">
      <alignment horizontal="center"/>
    </xf>
    <xf numFmtId="0" fontId="3" fillId="0" borderId="20" xfId="1" applyFont="1" applyBorder="1" applyAlignment="1">
      <alignment horizontal="center"/>
    </xf>
    <xf numFmtId="0" fontId="18" fillId="10" borderId="0" xfId="1" applyFont="1" applyFill="1" applyAlignment="1">
      <alignment horizontal="center" vertical="center" wrapText="1"/>
    </xf>
    <xf numFmtId="0" fontId="18" fillId="7" borderId="29" xfId="1" applyFont="1" applyFill="1" applyBorder="1" applyAlignment="1">
      <alignment horizontal="center" vertical="center" wrapText="1"/>
    </xf>
    <xf numFmtId="0" fontId="15" fillId="0" borderId="0" xfId="5" applyFont="1" applyAlignment="1">
      <alignment horizontal="center"/>
    </xf>
    <xf numFmtId="0" fontId="1" fillId="0" borderId="0" xfId="5" applyAlignment="1">
      <alignment horizontal="center"/>
    </xf>
    <xf numFmtId="0" fontId="18" fillId="5" borderId="0" xfId="1" applyFont="1" applyFill="1" applyAlignment="1">
      <alignment horizontal="center"/>
    </xf>
    <xf numFmtId="0" fontId="18" fillId="5" borderId="0" xfId="1" applyFont="1" applyFill="1" applyAlignment="1">
      <alignment horizontal="center" vertical="center"/>
    </xf>
    <xf numFmtId="0" fontId="18" fillId="2" borderId="0" xfId="1" applyFont="1" applyFill="1" applyAlignment="1">
      <alignment horizontal="center" vertical="center"/>
    </xf>
  </cellXfs>
  <cellStyles count="8">
    <cellStyle name="Comma 2" xfId="2" xr:uid="{E71D3A0E-CD89-E346-8C91-BA1D2BC2ED3E}"/>
    <cellStyle name="Comma 3" xfId="6" xr:uid="{910F6CB8-82C9-4D99-877E-084A7F68E859}"/>
    <cellStyle name="Hyperlink 2" xfId="3" xr:uid="{34BE3BFF-8F13-5343-BCEB-9641A45020D9}"/>
    <cellStyle name="Normal 2" xfId="1" xr:uid="{42C2A59B-9DC3-924D-882A-8E92E2EAB875}"/>
    <cellStyle name="Normal 3" xfId="5" xr:uid="{98824453-95A3-4C81-B95C-BD661FF4ABBF}"/>
    <cellStyle name="Normal 3 2" xfId="7" xr:uid="{422A675F-42B9-4CC4-98B7-07E5BF70834D}"/>
    <cellStyle name="Нейтральный" xfId="4" builtinId="2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sheetMetadata" Target="metadata.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15</xdr:col>
      <xdr:colOff>251460</xdr:colOff>
      <xdr:row>6</xdr:row>
      <xdr:rowOff>38100</xdr:rowOff>
    </xdr:from>
    <xdr:to>
      <xdr:col>23</xdr:col>
      <xdr:colOff>556260</xdr:colOff>
      <xdr:row>40</xdr:row>
      <xdr:rowOff>68580</xdr:rowOff>
    </xdr:to>
    <xdr:pic>
      <xdr:nvPicPr>
        <xdr:cNvPr id="2" name="Picture 1">
          <a:extLst>
            <a:ext uri="{FF2B5EF4-FFF2-40B4-BE49-F238E27FC236}">
              <a16:creationId xmlns:a16="http://schemas.microsoft.com/office/drawing/2014/main" id="{37C0B59E-046C-424E-A660-8C263B21E4A4}"/>
            </a:ext>
          </a:extLst>
        </xdr:cNvPr>
        <xdr:cNvPicPr>
          <a:picLocks noChangeAspect="1"/>
        </xdr:cNvPicPr>
      </xdr:nvPicPr>
      <xdr:blipFill rotWithShape="1">
        <a:blip xmlns:r="http://schemas.openxmlformats.org/officeDocument/2006/relationships" r:embed="rId1"/>
        <a:srcRect l="35629" t="29263" r="36034" b="9989"/>
        <a:stretch/>
      </xdr:blipFill>
      <xdr:spPr>
        <a:xfrm>
          <a:off x="9395460" y="1181100"/>
          <a:ext cx="5181600" cy="6507480"/>
        </a:xfrm>
        <a:prstGeom prst="rect">
          <a:avLst/>
        </a:prstGeom>
      </xdr:spPr>
    </xdr:pic>
    <xdr:clientData/>
  </xdr:twoCellAnchor>
  <xdr:twoCellAnchor editAs="oneCell">
    <xdr:from>
      <xdr:col>26</xdr:col>
      <xdr:colOff>30480</xdr:colOff>
      <xdr:row>5</xdr:row>
      <xdr:rowOff>45720</xdr:rowOff>
    </xdr:from>
    <xdr:to>
      <xdr:col>36</xdr:col>
      <xdr:colOff>597220</xdr:colOff>
      <xdr:row>38</xdr:row>
      <xdr:rowOff>76200</xdr:rowOff>
    </xdr:to>
    <xdr:pic>
      <xdr:nvPicPr>
        <xdr:cNvPr id="3" name="Picture 2">
          <a:extLst>
            <a:ext uri="{FF2B5EF4-FFF2-40B4-BE49-F238E27FC236}">
              <a16:creationId xmlns:a16="http://schemas.microsoft.com/office/drawing/2014/main" id="{F10B6C19-F962-4D49-9883-1E90DAEEB6FB}"/>
            </a:ext>
          </a:extLst>
        </xdr:cNvPr>
        <xdr:cNvPicPr>
          <a:picLocks noChangeAspect="1"/>
        </xdr:cNvPicPr>
      </xdr:nvPicPr>
      <xdr:blipFill rotWithShape="1">
        <a:blip xmlns:r="http://schemas.openxmlformats.org/officeDocument/2006/relationships" r:embed="rId2"/>
        <a:srcRect l="35504" t="29041" r="34742" b="22804"/>
        <a:stretch/>
      </xdr:blipFill>
      <xdr:spPr>
        <a:xfrm>
          <a:off x="15880080" y="998220"/>
          <a:ext cx="6662740" cy="6316980"/>
        </a:xfrm>
        <a:prstGeom prst="rect">
          <a:avLst/>
        </a:prstGeom>
      </xdr:spPr>
    </xdr:pic>
    <xdr:clientData/>
  </xdr:twoCellAnchor>
  <xdr:twoCellAnchor editAs="oneCell">
    <xdr:from>
      <xdr:col>36</xdr:col>
      <xdr:colOff>426720</xdr:colOff>
      <xdr:row>2</xdr:row>
      <xdr:rowOff>106680</xdr:rowOff>
    </xdr:from>
    <xdr:to>
      <xdr:col>46</xdr:col>
      <xdr:colOff>304800</xdr:colOff>
      <xdr:row>38</xdr:row>
      <xdr:rowOff>62313</xdr:rowOff>
    </xdr:to>
    <xdr:pic>
      <xdr:nvPicPr>
        <xdr:cNvPr id="4" name="Picture 3">
          <a:extLst>
            <a:ext uri="{FF2B5EF4-FFF2-40B4-BE49-F238E27FC236}">
              <a16:creationId xmlns:a16="http://schemas.microsoft.com/office/drawing/2014/main" id="{C2210457-46E7-4EC6-95FC-25AFDA9B6D08}"/>
            </a:ext>
          </a:extLst>
        </xdr:cNvPr>
        <xdr:cNvPicPr>
          <a:picLocks noChangeAspect="1"/>
        </xdr:cNvPicPr>
      </xdr:nvPicPr>
      <xdr:blipFill rotWithShape="1">
        <a:blip xmlns:r="http://schemas.openxmlformats.org/officeDocument/2006/relationships" r:embed="rId3"/>
        <a:srcRect l="35546" t="35560" r="35825" b="8728"/>
        <a:stretch/>
      </xdr:blipFill>
      <xdr:spPr>
        <a:xfrm>
          <a:off x="22372320" y="487680"/>
          <a:ext cx="5974080" cy="6813633"/>
        </a:xfrm>
        <a:prstGeom prst="rect">
          <a:avLst/>
        </a:prstGeom>
      </xdr:spPr>
    </xdr:pic>
    <xdr:clientData/>
  </xdr:twoCellAnchor>
  <xdr:twoCellAnchor editAs="oneCell">
    <xdr:from>
      <xdr:col>0</xdr:col>
      <xdr:colOff>190500</xdr:colOff>
      <xdr:row>17</xdr:row>
      <xdr:rowOff>60960</xdr:rowOff>
    </xdr:from>
    <xdr:to>
      <xdr:col>14</xdr:col>
      <xdr:colOff>182880</xdr:colOff>
      <xdr:row>37</xdr:row>
      <xdr:rowOff>7620</xdr:rowOff>
    </xdr:to>
    <xdr:pic>
      <xdr:nvPicPr>
        <xdr:cNvPr id="5" name="Picture 4">
          <a:extLst>
            <a:ext uri="{FF2B5EF4-FFF2-40B4-BE49-F238E27FC236}">
              <a16:creationId xmlns:a16="http://schemas.microsoft.com/office/drawing/2014/main" id="{EEB9651D-6B5A-4028-B882-3AB36E7DBD9F}"/>
            </a:ext>
          </a:extLst>
        </xdr:cNvPr>
        <xdr:cNvPicPr>
          <a:picLocks noChangeAspect="1"/>
        </xdr:cNvPicPr>
      </xdr:nvPicPr>
      <xdr:blipFill rotWithShape="1">
        <a:blip xmlns:r="http://schemas.openxmlformats.org/officeDocument/2006/relationships" r:embed="rId4"/>
        <a:srcRect l="27211" t="36004" r="26157" b="28955"/>
        <a:stretch/>
      </xdr:blipFill>
      <xdr:spPr>
        <a:xfrm>
          <a:off x="190500" y="3299460"/>
          <a:ext cx="8526780" cy="37566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3257550</xdr:colOff>
      <xdr:row>66</xdr:row>
      <xdr:rowOff>180975</xdr:rowOff>
    </xdr:to>
    <xdr:pic>
      <xdr:nvPicPr>
        <xdr:cNvPr id="2" name="Picture 1">
          <a:extLst>
            <a:ext uri="{FF2B5EF4-FFF2-40B4-BE49-F238E27FC236}">
              <a16:creationId xmlns:a16="http://schemas.microsoft.com/office/drawing/2014/main" id="{786114E2-FFE6-314F-87CE-4DC44827C286}"/>
            </a:ext>
          </a:extLst>
        </xdr:cNvPr>
        <xdr:cNvPicPr>
          <a:picLocks noChangeAspect="1"/>
        </xdr:cNvPicPr>
      </xdr:nvPicPr>
      <xdr:blipFill>
        <a:blip xmlns:r="http://schemas.openxmlformats.org/officeDocument/2006/relationships" r:embed="rId1"/>
        <a:stretch>
          <a:fillRect/>
        </a:stretch>
      </xdr:blipFill>
      <xdr:spPr>
        <a:xfrm>
          <a:off x="0" y="8293100"/>
          <a:ext cx="8705850" cy="10620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AMS-I.F/CDM%20AMS-I.F..xlsx" TargetMode="External"/><Relationship Id="rId1" Type="http://schemas.openxmlformats.org/officeDocument/2006/relationships/externalLinkPath" Target="/personal/daniel_norkin_envisionblockchain_com/Documents/Marketing/Clients/UNFCCC/UNFCCC%20Project%20Documentation/UNFCCC%2016%20Methodologies/AMS-I.F/CDM%20AMS-I.F..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CDM%20Tool%2004_SWDS_9-20-23.xlsx" TargetMode="External"/><Relationship Id="rId1" Type="http://schemas.openxmlformats.org/officeDocument/2006/relationships/externalLinkPath" Target="/personal/daniel_norkin_envisionblockchain_com/Documents/Marketing/Clients/UNFCCC/UNFCCC%20Project%20Documentation/UNFCCC%2016%20Methodologies/Tools/CDM%20Tool%2004_SWDS_9-20-2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CDM%20Tool%2012_Freight%20Trans_9-20-23.xlsx" TargetMode="External"/><Relationship Id="rId1" Type="http://schemas.microsoft.com/office/2019/04/relationships/externalLinkLongPath" Target="/personal/daniel_norkin_envisionblockchain_com/Documents/Marketing/Clients/UNFCCC/UNFCCC%20Project%20Documentation/UNFCCC%2016%20Methodologies/Tools/CDM%20Tool%2012_Freight%20Trans_9-20-23.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Tool%2013.xlsx" TargetMode="External"/><Relationship Id="rId1" Type="http://schemas.openxmlformats.org/officeDocument/2006/relationships/externalLinkPath" Target="/personal/daniel_norkin_envisionblockchain_com/Documents/Marketing/Clients/UNFCCC/UNFCCC%20Project%20Documentation/UNFCCC%2016%20Methodologies/Tools/Tool%2013.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Tool%2014.xlsx" TargetMode="External"/><Relationship Id="rId1" Type="http://schemas.openxmlformats.org/officeDocument/2006/relationships/externalLinkPath" Target="/personal/daniel_norkin_envisionblockchain_com/Documents/Marketing/Clients/UNFCCC/UNFCCC%20Project%20Documentation/UNFCCC%2016%20Methodologies/Tools/Tool%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T2YSKDNL6NNJFJJYBGEOYYDQH5">
      <xxl21:absoluteUrl r:id="rId2"/>
    </xxl21:alternateUrls>
    <sheetNames>
      <sheetName val="AMS-I.F."/>
      <sheetName val="ACM0002 Geothermal &amp; Hydro"/>
      <sheetName val="Power Density Integrated"/>
      <sheetName val="Tool 01"/>
      <sheetName val="Tool 03"/>
      <sheetName val="Tool 04 - SWDS-Yearly"/>
      <sheetName val="SWDS Emissions Summary Tab "/>
      <sheetName val="Tool 04 Dropdown Items"/>
      <sheetName val="Tool 05.1"/>
      <sheetName val="Tool 05.2 Power Plants"/>
      <sheetName val="Tool 05.3 Default Values"/>
      <sheetName val="Tool 06"/>
      <sheetName val="Tool 07"/>
      <sheetName val="Tool 07 Simple OM"/>
      <sheetName val="Tool 07 Simple Adj OM"/>
      <sheetName val="Tool 07 Default Lambda"/>
      <sheetName val="Tool 07 Dispatch Data OM"/>
      <sheetName val="Tool 07 Average OM"/>
      <sheetName val="Tool 07 Build Margin"/>
      <sheetName val="Tool 07 Combined Margin"/>
      <sheetName val="Tool 12 - Freight Trains"/>
      <sheetName val="Tool 12 Emissions Summary Tab"/>
      <sheetName val="Tool 12 Dropdown Items"/>
      <sheetName val="Tool 13"/>
      <sheetName val="MCF Defaults"/>
      <sheetName val="Tool 14"/>
      <sheetName val="Tool 16"/>
      <sheetName val="Biomass Emissions Summary Tab "/>
      <sheetName val="Tool 16 Dropdown Items"/>
      <sheetName val="Tool 16 Default Values"/>
      <sheetName val="Tool 33 "/>
      <sheetName val="IWA Propert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XEJNYBYUVRFFEIBRCCVT7ACKGH">
      <xxl21:absoluteUrl r:id="rId2"/>
    </xxl21:alternateUrls>
    <sheetNames>
      <sheetName val="Tool 04-SWDS-Yearly"/>
      <sheetName val="SWDS Emissions Summary Tab "/>
      <sheetName val="Dropdown Items"/>
    </sheetNames>
    <sheetDataSet>
      <sheetData sheetId="0">
        <row r="3">
          <cell r="C3" t="str">
            <v>Baseline Emissions (BE)</v>
          </cell>
        </row>
        <row r="86">
          <cell r="C86" t="e">
            <v>#DIV/0!</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SIDAWGQURPQJDJXQHJO2U7HLV4">
      <xxl21:absoluteUrl r:id="rId2"/>
    </xxl21:alternateUrls>
    <sheetNames>
      <sheetName val="Tool 12 - Freight Trans"/>
      <sheetName val="Emissions Summary Tab"/>
      <sheetName val="Dropdown Items"/>
      <sheetName val="Tool 12 - Freight Trains"/>
    </sheetNames>
    <sheetDataSet>
      <sheetData sheetId="0" refreshError="1"/>
      <sheetData sheetId="1" refreshError="1"/>
      <sheetData sheetId="2" refreshError="1"/>
      <sheetData sheetId="3" refreshError="1">
        <row r="4">
          <cell r="C4" t="str">
            <v>Project emissions (PEtr,m)</v>
          </cell>
        </row>
        <row r="5">
          <cell r="C5" t="str">
            <v>Activity 1</v>
          </cell>
        </row>
        <row r="7">
          <cell r="C7" t="str">
            <v>Source 1</v>
          </cell>
        </row>
        <row r="8">
          <cell r="C8" t="str">
            <v>Facility 1</v>
          </cell>
        </row>
        <row r="9">
          <cell r="C9" t="str">
            <v>Sugar cane bagasse</v>
          </cell>
        </row>
        <row r="11">
          <cell r="C11">
            <v>2</v>
          </cell>
        </row>
        <row r="12">
          <cell r="C12" t="str">
            <v>Option A: Monitoring fuel consumption</v>
          </cell>
        </row>
        <row r="13">
          <cell r="C13" t="str">
            <v>Road Vehicle</v>
          </cell>
        </row>
        <row r="14">
          <cell r="C14" t="str">
            <v>Heavy</v>
          </cell>
        </row>
        <row r="17">
          <cell r="C17" t="str">
            <v>[Tool  03] Parameter = PEFC,j,y</v>
          </cell>
        </row>
        <row r="19">
          <cell r="C19">
            <v>100</v>
          </cell>
        </row>
        <row r="21">
          <cell r="C21">
            <v>2.58E-2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UTXWY3FP4SHZGJ7L33LFH4RLMW">
      <xxl21:absoluteUrl r:id="rId2"/>
    </xxl21:alternateUrls>
    <sheetNames>
      <sheetName val="Tool 13"/>
      <sheetName val="MCF Defaults"/>
      <sheetName val="Tool 05.1"/>
      <sheetName val="(Revised) Tool 03"/>
      <sheetName val="Tool 04-SWDS-Yearly"/>
      <sheetName val="Tool 05.2 Power Plants"/>
      <sheetName val="Tool 05.3 Default Values"/>
      <sheetName val="SWDS Emissions Summary Tab "/>
      <sheetName val="Dropdown Items"/>
    </sheetNames>
    <sheetDataSet>
      <sheetData sheetId="0" refreshError="1"/>
      <sheetData sheetId="1" refreshError="1">
        <row r="3">
          <cell r="B3" t="str">
            <v>Discharge of wastewater to sea, river or lake</v>
          </cell>
          <cell r="C3">
            <v>0.1</v>
          </cell>
        </row>
        <row r="4">
          <cell r="B4" t="str">
            <v>Aerobic treatment, well managed</v>
          </cell>
          <cell r="C4">
            <v>0</v>
          </cell>
        </row>
        <row r="5">
          <cell r="B5" t="str">
            <v>Aerobic treatment, poorly managed or overloaded</v>
          </cell>
          <cell r="C5">
            <v>0.3</v>
          </cell>
        </row>
        <row r="6">
          <cell r="B6" t="str">
            <v>Anaerobic digester for sludge without methane recovery</v>
          </cell>
          <cell r="C6">
            <v>0.8</v>
          </cell>
        </row>
        <row r="7">
          <cell r="B7" t="str">
            <v>Anaerobic reactor without methane recovery</v>
          </cell>
          <cell r="C7">
            <v>0.8</v>
          </cell>
        </row>
        <row r="8">
          <cell r="B8" t="str">
            <v>Anaerobic shallow lagoon (depth less than 2 metres)</v>
          </cell>
          <cell r="C8">
            <v>0.2</v>
          </cell>
        </row>
        <row r="9">
          <cell r="B9" t="str">
            <v>Anaerobic deep lagoon (depth more than 2 metres)</v>
          </cell>
          <cell r="C9">
            <v>0.8</v>
          </cell>
        </row>
        <row r="10">
          <cell r="B10" t="str">
            <v>Septic system</v>
          </cell>
          <cell r="C10">
            <v>0.5</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ol 14"/>
      <sheetName val="Tool 03"/>
      <sheetName val="Tool 04-SWDS-Yearly"/>
      <sheetName val="SWDS Emissions Summary Tab "/>
      <sheetName val="Dropdown Items"/>
      <sheetName val="Tool 05.1"/>
      <sheetName val="Tool 05.2 Power Plants"/>
      <sheetName val="Tool 05.3 Default Values"/>
      <sheetName val="Tool 06"/>
      <sheetName val="Tool 13"/>
      <sheetName val="MCF Defaults"/>
    </sheetNames>
    <sheetDataSet>
      <sheetData sheetId="0" refreshError="1"/>
      <sheetData sheetId="1"/>
      <sheetData sheetId="2">
        <row r="86">
          <cell r="C86" t="e">
            <v>#DIV/0!</v>
          </cell>
        </row>
      </sheetData>
      <sheetData sheetId="3" refreshError="1"/>
      <sheetData sheetId="4" refreshError="1"/>
      <sheetData sheetId="5"/>
      <sheetData sheetId="6" refreshError="1"/>
      <sheetData sheetId="7" refreshError="1"/>
      <sheetData sheetId="8"/>
      <sheetData sheetId="9">
        <row r="3">
          <cell r="G3">
            <v>95.130333333333326</v>
          </cell>
        </row>
      </sheetData>
      <sheetData sheetId="10" refreshError="1"/>
    </sheetDataSet>
  </externalBook>
</externalLink>
</file>

<file path=xl/persons/person.xml><?xml version="1.0" encoding="utf-8"?>
<personList xmlns="http://schemas.microsoft.com/office/spreadsheetml/2018/threadedcomments" xmlns:x="http://schemas.openxmlformats.org/spreadsheetml/2006/main">
  <person displayName="Max Pinnola" id="{B260C802-7A6F-F549-9603-B70C7EEDB718}" userId="6071b2e426a8e48f" providerId="Windows Live"/>
  <person displayName="Luis Hernandez" id="{73129C60-866E-D644-A6F0-91E6FD82297F}" userId="ebeb5ab4f4590142" providerId="Windows Live"/>
  <person displayName="Jailine Molina" id="{7CDFD77F-7EE0-844F-B674-02F9AC6590B4}" userId="f3e4387646bbb898" providerId="Windows Live"/>
  <person displayName="Dalís Rae De La Mora" id="{98F0F643-7A5C-1C43-AE3D-EDC6E5E3BEB6}" userId="S::drdelamo@calpoly.edu::adad9fd7-6cb2-44dd-8383-7fe6ae23b99e" providerId="AD"/>
  <person displayName="Dalis De La Mora" id="{6477EDE7-CBD5-C646-9AE3-9D6C80FECAA7}" userId="S::dalis.delamora@envisionblockchain.com::1b03f37c-b3aa-45b7-ad8c-7bb10a27aa2e" providerId="AD"/>
  <person displayName="Jailine Molina" id="{3B8ACD1D-38B5-9C45-887D-916F3D034C65}" userId="S::jailine.molina@envisionblockchain.com::dcbde9ba-19ec-4293-81b0-e7f5b6f86adb" providerId="AD"/>
  <person displayName="Luiz Hernandez" id="{9EC0D274-6794-5F42-A337-2C5A06685BFF}" userId="S::luiz.hernandez@envisionblockchain.com::18725e9c-2f54-407d-8eb5-9ce1c3438b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6" dT="2023-09-27T22:45:13.08" personId="{98F0F643-7A5C-1C43-AE3D-EDC6E5E3BEB6}" id="{26D3403C-65D7-484A-B53E-355EDB6D546C}">
    <text>Eq 1</text>
  </threadedComment>
  <threadedComment ref="G38" dT="2023-09-27T22:45:19.87" personId="{98F0F643-7A5C-1C43-AE3D-EDC6E5E3BEB6}" id="{F6AB8585-A22D-CD44-8A1F-4DAEC9C0C6AE}">
    <text>Eq 2</text>
  </threadedComment>
  <threadedComment ref="G72" dT="2023-09-27T22:45:13.08" personId="{98F0F643-7A5C-1C43-AE3D-EDC6E5E3BEB6}" id="{6DB9F140-3086-9143-9DF6-8DB49A683AEA}">
    <text>Eq 3</text>
  </threadedComment>
  <threadedComment ref="G74" dT="2023-09-27T22:45:19.87" personId="{98F0F643-7A5C-1C43-AE3D-EDC6E5E3BEB6}" id="{B4CBA19C-5AC9-EF4D-8DD6-CF65CA34E9EE}">
    <text>Eq 4</text>
  </threadedComment>
  <threadedComment ref="G88" dT="2023-10-05T18:19:59.27" personId="{6477EDE7-CBD5-C646-9AE3-9D6C80FECAA7}" id="{CFD729E1-041E-4B42-9BB3-CAB91DA65662}">
    <text>Eq 5</text>
  </threadedComment>
  <threadedComment ref="G105" dT="2023-09-29T19:02:21.75" personId="{6477EDE7-CBD5-C646-9AE3-9D6C80FECAA7}" id="{8621C397-B410-5842-A475-C841C4536984}">
    <text>ACM0002 Geothermal &amp; Hydro</text>
  </threadedComment>
  <threadedComment ref="G107" dT="2023-08-29T13:25:02.23" personId="{98F0F643-7A5C-1C43-AE3D-EDC6E5E3BEB6}" id="{7BB37307-7D93-BA40-A00E-965292CDAC83}">
    <text>TOOL16</text>
  </threadedComment>
  <threadedComment ref="G108" dT="2023-08-29T13:25:20.54" personId="{98F0F643-7A5C-1C43-AE3D-EDC6E5E3BEB6}" id="{2469AB85-A2A7-2E41-82A6-F43888B99EBA}">
    <text>TOOL16</text>
  </threadedComment>
  <threadedComment ref="G109" dT="2023-08-29T13:25:27.71" personId="{98F0F643-7A5C-1C43-AE3D-EDC6E5E3BEB6}" id="{A7924862-8D1B-3743-8322-025479EFE7BA}">
    <text>TOOL16</text>
  </threadedComment>
  <threadedComment ref="G110" dT="2023-08-29T13:25:36.13" personId="{98F0F643-7A5C-1C43-AE3D-EDC6E5E3BEB6}" id="{8C868D16-C278-5440-B27F-DAC5EE3D8C89}">
    <text>TOOL16</text>
  </threadedComment>
  <threadedComment ref="G111" dT="2023-08-29T13:26:13.55" personId="{98F0F643-7A5C-1C43-AE3D-EDC6E5E3BEB6}" id="{FF5999AA-1CF1-7341-9CC5-0F188CCBB88A}">
    <text>TOOL16</text>
  </threadedComment>
  <threadedComment ref="G113" dT="2023-09-29T19:02:43.46" personId="{6477EDE7-CBD5-C646-9AE3-9D6C80FECAA7}" id="{A80C3BBC-D07A-1E4C-935A-4A921D595CA6}">
    <text>ACM0002 Geothermal &amp; Hydro</text>
  </threadedComment>
  <threadedComment ref="G115" dT="2023-08-29T13:25:02.23" personId="{98F0F643-7A5C-1C43-AE3D-EDC6E5E3BEB6}" id="{F0E6FAAD-187B-FE42-A3B6-189268F8BCF9}">
    <text>TOOL16</text>
  </threadedComment>
  <threadedComment ref="G116" dT="2023-08-29T13:25:20.54" personId="{98F0F643-7A5C-1C43-AE3D-EDC6E5E3BEB6}" id="{5337B32B-C888-0A42-B9E2-BC2EF5AF438C}">
    <text>TOOL16</text>
  </threadedComment>
  <threadedComment ref="G117" dT="2023-08-29T13:25:27.71" personId="{98F0F643-7A5C-1C43-AE3D-EDC6E5E3BEB6}" id="{90A26CAA-3AA0-9F46-941C-E47906230798}">
    <text>TOOL16</text>
  </threadedComment>
  <threadedComment ref="G118" dT="2023-08-29T13:25:36.13" personId="{98F0F643-7A5C-1C43-AE3D-EDC6E5E3BEB6}" id="{FBCB2B4F-4096-B146-AADD-806749235DB6}">
    <text>TOOL16</text>
  </threadedComment>
  <threadedComment ref="G119" dT="2023-08-29T13:26:13.55" personId="{98F0F643-7A5C-1C43-AE3D-EDC6E5E3BEB6}" id="{5D8E2037-3365-684D-A048-D2FC331F0646}">
    <text>TOOL16</text>
  </threadedComment>
  <threadedComment ref="G127" dT="2023-08-29T12:57:34.49" personId="{98F0F643-7A5C-1C43-AE3D-EDC6E5E3BEB6}" id="{9E7DF1BF-DFB1-D240-9700-D16F8A4F3AB0}">
    <text>TOOL16</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3-09-28T20:33:45.05" personId="{B260C802-7A6F-F549-9603-B70C7EEDB718}" id="{658A58C9-DF09-46A9-8318-5DB87A05F575}">
    <text xml:space="preserve">Add one of each of the parameters and an annual total for each year added. </text>
  </threadedComment>
  <threadedComment ref="A8" dT="2023-09-28T20:38:30.46" personId="{B260C802-7A6F-F549-9603-B70C7EEDB718}" id="{7F04D307-B8F5-43C7-AC00-9022A5CEEFA6}">
    <text xml:space="preserve">Add one of each of the parameters and an annual total for each year added. </text>
  </threadedComment>
  <threadedComment ref="A13" dT="2023-09-28T20:34:08.78" personId="{B260C802-7A6F-F549-9603-B70C7EEDB718}" id="{6C31FF72-CBE7-49D5-A99F-FB8B47F144CF}">
    <text>Unless allowed by the methodology, only positive leakage, i.e. increased emissions outside the project boundary, can be accounted under this tool. If the result of the leakage calculation is negative, assume a value equals to zero.</text>
  </threadedComment>
</ThreadedComments>
</file>

<file path=xl/threadedComments/threadedComment11.xml><?xml version="1.0" encoding="utf-8"?>
<ThreadedComments xmlns="http://schemas.microsoft.com/office/spreadsheetml/2018/threadedcomments" xmlns:x="http://schemas.openxmlformats.org/spreadsheetml/2006/main">
  <threadedComment ref="F6" dT="2023-08-10T14:56:00.30" personId="{3B8ACD1D-38B5-9C45-887D-916F3D034C65}" id="{13DF5B52-281B-DB48-9258-44E769F6C8DB}">
    <text>Eq 1</text>
  </threadedComment>
  <threadedComment ref="F11" dT="2023-08-10T14:56:07.23" personId="{3B8ACD1D-38B5-9C45-887D-916F3D034C65}" id="{34373172-DF46-FB44-BE7F-57B491CF25F5}">
    <text>Eq 2</text>
  </threadedComment>
  <threadedComment ref="F13" dT="2023-08-14T21:55:53.61" personId="{3B8ACD1D-38B5-9C45-887D-916F3D034C65}" id="{5FE5A2B3-6BDF-9D4E-B427-53E0E330EC59}">
    <text>At least monthly recording of data</text>
  </threadedComment>
  <threadedComment ref="F16" dT="2023-08-10T14:56:16.16" personId="{3B8ACD1D-38B5-9C45-887D-916F3D034C65}" id="{5EEB626A-159D-DE4A-A1E2-890D0A605219}">
    <text>Eq 3</text>
  </threadedComment>
  <threadedComment ref="F22" dT="2023-08-22T01:12:00.32" personId="{3B8ACD1D-38B5-9C45-887D-916F3D034C65}" id="{0E4206E0-14EC-F74D-9A54-93748DECF8D4}">
    <text>Eq 7</text>
  </threadedComment>
  <threadedComment ref="F23" dT="2023-08-22T01:12:36.84" personId="{3B8ACD1D-38B5-9C45-887D-916F3D034C65}" id="{068FE9D5-DECF-A24C-9C95-39EFEB0988EB}">
    <text>Eq 8</text>
  </threadedComment>
  <threadedComment ref="F37" dT="2023-08-10T15:56:01.08" personId="{3B8ACD1D-38B5-9C45-887D-916F3D034C65}" id="{56CCB49C-1569-784D-A262-DDA8C65308B8}">
    <text>Eq 4</text>
  </threadedComment>
  <threadedComment ref="F38" dT="2023-08-10T21:11:09.42" personId="{3B8ACD1D-38B5-9C45-887D-916F3D034C65}" id="{74C99BB0-B7A7-CB45-A36D-C2C88292F4F3}">
    <text>Eq 5</text>
  </threadedComment>
</ThreadedComments>
</file>

<file path=xl/threadedComments/threadedComment12.xml><?xml version="1.0" encoding="utf-8"?>
<ThreadedComments xmlns="http://schemas.microsoft.com/office/spreadsheetml/2018/threadedcomments" xmlns:x="http://schemas.openxmlformats.org/spreadsheetml/2006/main">
  <threadedComment ref="F3" dT="2023-08-10T15:56:01.08" personId="{3B8ACD1D-38B5-9C45-887D-916F3D034C65}" id="{A13E5554-0619-AE46-968D-106D8399B580}">
    <text>Eq 4</text>
  </threadedComment>
  <threadedComment ref="F4" dT="2023-08-10T21:11:09.42" personId="{3B8ACD1D-38B5-9C45-887D-916F3D034C65}" id="{83B63896-A890-754A-9A69-8F4020F8AAE3}">
    <text>Eq 5</text>
  </threadedComment>
  <threadedComment ref="F7" dT="2023-08-10T15:56:01.08" personId="{3B8ACD1D-38B5-9C45-887D-916F3D034C65}" id="{FD752F9F-8934-D54E-AF03-12EC84329E9A}">
    <text>Eq 4</text>
  </threadedComment>
  <threadedComment ref="F8" dT="2023-08-10T21:11:09.42" personId="{3B8ACD1D-38B5-9C45-887D-916F3D034C65}" id="{CA5D8B72-FD0E-954C-AF5A-FDF0D290271B}">
    <text>Eq 5</text>
  </threadedComment>
  <threadedComment ref="F10" dT="2023-08-10T21:00:37.41" personId="{3B8ACD1D-38B5-9C45-887D-916F3D034C65}" id="{74F3303C-9181-8B43-B1AA-DA459F9E30DE}">
    <text>Assumptions are made for this that the unit for FCn,i,t is in metric tons</text>
  </threadedComment>
  <threadedComment ref="G10" dT="2023-08-10T19:37:59.63" personId="{3B8ACD1D-38B5-9C45-887D-916F3D034C65}" id="{85CACEF7-FD90-0640-8432-23FE95927B1C}">
    <text>Dependent on fuel type selection</text>
  </threadedComment>
  <threadedComment ref="G11" dT="2023-08-10T19:38:12.02" personId="{3B8ACD1D-38B5-9C45-887D-916F3D034C65}" id="{7ED628FB-3051-514C-BB85-69262E13D1DF}">
    <text>Dependent on fuel type selection</text>
  </threadedComment>
  <threadedComment ref="F12" dT="2023-08-10T20:53:47.04" personId="{3B8ACD1D-38B5-9C45-887D-916F3D034C65}" id="{D8A2B1E3-3D2A-B241-8640-00C38FEECED4}">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3B8ACD1D-38B5-9C45-887D-916F3D034C65}" id="{A3A60352-E1FA-A947-864B-2AABC672A5E8}">
    <text>Eq 4</text>
  </threadedComment>
  <threadedComment ref="F20" dT="2023-08-10T21:11:09.42" personId="{3B8ACD1D-38B5-9C45-887D-916F3D034C65}" id="{560BED46-B5E4-3A4F-9AD7-762439EA04AE}">
    <text>Eq 5</text>
  </threadedComment>
  <threadedComment ref="F22" dT="2023-08-10T21:00:37.41" personId="{3B8ACD1D-38B5-9C45-887D-916F3D034C65}" id="{51A209CF-A9F6-7149-8A7F-5933A9014BF7}">
    <text>Assumptions are made for this that the unit for FCn,i,t is in metric tons</text>
  </threadedComment>
  <threadedComment ref="G22" dT="2023-08-10T19:37:59.63" personId="{3B8ACD1D-38B5-9C45-887D-916F3D034C65}" id="{232D33BD-8D43-FB44-9596-6880FD334E3F}">
    <text>Dependent on fuel type selection</text>
  </threadedComment>
  <threadedComment ref="G23" dT="2023-08-10T19:38:12.02" personId="{3B8ACD1D-38B5-9C45-887D-916F3D034C65}" id="{2F69D32C-9C76-4541-99FA-F81E9E98351E}">
    <text>Dependent on fuel type selection</text>
  </threadedComment>
  <threadedComment ref="F24" dT="2023-08-10T20:53:47.04" personId="{3B8ACD1D-38B5-9C45-887D-916F3D034C65}" id="{24129261-6858-214E-B403-2F0B825C4974}">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3B8ACD1D-38B5-9C45-887D-916F3D034C65}" id="{5D2858CD-80C9-1644-A823-5040C8191504}">
    <text>Eq 4</text>
  </threadedComment>
  <threadedComment ref="F32" dT="2023-08-10T21:11:09.42" personId="{3B8ACD1D-38B5-9C45-887D-916F3D034C65}" id="{564BBBB9-8C20-AD46-9A3E-C9D037A5E00C}">
    <text>Eq 5</text>
  </threadedComment>
  <threadedComment ref="F34" dT="2023-08-10T21:00:37.41" personId="{3B8ACD1D-38B5-9C45-887D-916F3D034C65}" id="{B10FFF3A-B5F4-8E48-B11C-75210016BB1A}">
    <text>Assumptions are made for this that the unit for FCn,i,t is in metric tons</text>
  </threadedComment>
  <threadedComment ref="G34" dT="2023-08-10T19:37:59.63" personId="{3B8ACD1D-38B5-9C45-887D-916F3D034C65}" id="{14FC21B3-EC09-4445-994F-6163C49C4B35}">
    <text>Dependent on fuel type selection</text>
  </threadedComment>
  <threadedComment ref="G35" dT="2023-08-10T19:38:12.02" personId="{3B8ACD1D-38B5-9C45-887D-916F3D034C65}" id="{092C5A7C-B63A-7B40-BD2E-8CC0A58A6DA9}">
    <text>Dependent on fuel type selection</text>
  </threadedComment>
  <threadedComment ref="F36" dT="2023-08-10T20:53:47.04" personId="{3B8ACD1D-38B5-9C45-887D-916F3D034C65}" id="{D472D3F2-5D97-BF4A-A7C9-B2601373F8E8}">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13.xml><?xml version="1.0" encoding="utf-8"?>
<ThreadedComments xmlns="http://schemas.microsoft.com/office/spreadsheetml/2018/threadedcomments" xmlns:x="http://schemas.openxmlformats.org/spreadsheetml/2006/main">
  <threadedComment ref="D3" dT="2023-08-10T16:26:52.04" personId="{3B8ACD1D-38B5-9C45-887D-916F3D034C65}" id="{A68D3C9A-297B-204C-B544-2D564DF5A4A2}">
    <text>Upper Default Value at the 95% confidence interval</text>
  </threadedComment>
</ThreadedComments>
</file>

<file path=xl/threadedComments/threadedComment14.xml><?xml version="1.0" encoding="utf-8"?>
<ThreadedComments xmlns="http://schemas.microsoft.com/office/spreadsheetml/2018/threadedcomments" xmlns:x="http://schemas.openxmlformats.org/spreadsheetml/2006/main">
  <threadedComment ref="C44" dT="2023-08-07T18:31:59.03" personId="{3B8ACD1D-38B5-9C45-887D-916F3D034C65}" id="{81592903-67C8-441D-B7B6-E4A52512D239}">
    <text>Eq 5</text>
  </threadedComment>
  <threadedComment ref="C45" dT="2023-08-07T18:37:45.62" personId="{3B8ACD1D-38B5-9C45-887D-916F3D034C65}" id="{1DA0E428-FE80-4497-BDCA-8BA57ACD1051}">
    <text>Eq 6</text>
  </threadedComment>
  <threadedComment ref="C48" dT="2023-08-07T18:37:33.62" personId="{3B8ACD1D-38B5-9C45-887D-916F3D034C65}" id="{2C267DDA-5640-49A4-B3E6-2B7238F36362}">
    <text>Eq 7</text>
  </threadedComment>
  <threadedComment ref="C49" dT="2023-08-07T18:58:57.06" personId="{3B8ACD1D-38B5-9C45-887D-916F3D034C65}" id="{F0DF2E77-FDD0-43AB-BF65-CEFFAD42D250}">
    <text>Comes from tool 08</text>
  </threadedComment>
  <threadedComment ref="C50" dT="2023-08-07T19:02:06.06" personId="{3B8ACD1D-38B5-9C45-887D-916F3D034C65}" id="{DF1A84C1-901F-43A7-9F15-08530795BC19}">
    <text>Eq 5 in tool 08</text>
  </threadedComment>
  <threadedComment ref="C51" dT="2023-08-07T18:58:57.06" personId="{3B8ACD1D-38B5-9C45-887D-916F3D034C65}" id="{95F22CB3-9E0D-4415-AFEF-B40CF1B2001C}">
    <text>Comes from tool 08</text>
  </threadedComment>
  <threadedComment ref="C54" dT="2023-08-07T20:32:58.24" personId="{3B8ACD1D-38B5-9C45-887D-916F3D034C65}" id="{B567F26B-CA5B-4CA7-8597-53EA09E2AF9C}">
    <text>Eq 3</text>
  </threadedComment>
  <threadedComment ref="C56" dT="2023-08-07T19:07:00.47" personId="{3B8ACD1D-38B5-9C45-887D-916F3D034C65}" id="{1573046C-959D-4D17-98C9-AB3D43AF137C}">
    <text>Eq 4</text>
  </threadedComment>
  <threadedComment ref="C57" dT="2023-08-07T19:07:25.43" personId="{3B8ACD1D-38B5-9C45-887D-916F3D034C65}" id="{A73E5134-375C-4385-8724-96825FABF789}">
    <text>Eq 8</text>
  </threadedComment>
  <threadedComment ref="C58" dT="2023-08-07T19:08:12.17" personId="{3B8ACD1D-38B5-9C45-887D-916F3D034C65}" id="{14684210-4A1F-4216-A39B-424ECB9FB88D}">
    <text>Eq 9</text>
  </threadedComment>
  <threadedComment ref="C59" dT="2023-08-07T19:08:57.03" personId="{3B8ACD1D-38B5-9C45-887D-916F3D034C65}" id="{2A9A41EB-B71D-4A91-A76E-D0E635079C2B}">
    <text>Eq 10</text>
  </threadedComment>
  <threadedComment ref="C60" dT="2023-08-07T19:09:14.09" personId="{3B8ACD1D-38B5-9C45-887D-916F3D034C65}" id="{BE7142DA-5235-4A6C-9600-E03537C0292A}">
    <text>Eq 11</text>
  </threadedComment>
  <threadedComment ref="C61" dT="2023-08-07T19:09:51.89" personId="{3B8ACD1D-38B5-9C45-887D-916F3D034C65}" id="{DEAA7709-F77C-47A3-90BD-BEE3901DD0F4}">
    <text>Eq 12</text>
  </threadedComment>
  <threadedComment ref="C62" dT="2023-08-07T19:10:10.48" personId="{3B8ACD1D-38B5-9C45-887D-916F3D034C65}" id="{64BC3262-15B6-45BF-8867-B84F064844D5}">
    <text>Eq 13</text>
  </threadedComment>
  <threadedComment ref="C64" dT="2023-08-07T19:19:04.14" personId="{3B8ACD1D-38B5-9C45-887D-916F3D034C65}" id="{AFDC0F5B-ACE8-4DD6-9850-8BA4153A5166}">
    <text>Eq 14</text>
  </threadedComment>
  <threadedComment ref="C65" dT="2023-08-07T19:19:12.89" personId="{3B8ACD1D-38B5-9C45-887D-916F3D034C65}" id="{8FD43549-152F-4CAA-9048-E23F513115D2}">
    <text>Eq 14</text>
  </threadedComment>
  <threadedComment ref="C66" dT="2023-08-07T19:19:19.16" personId="{3B8ACD1D-38B5-9C45-887D-916F3D034C65}" id="{31C35A2B-8D91-408A-84FA-3B3385DB026A}">
    <text>Eq 14</text>
  </threadedComment>
  <threadedComment ref="C67" dT="2023-08-07T19:19:27.70" personId="{3B8ACD1D-38B5-9C45-887D-916F3D034C65}" id="{0C747B10-AE5E-43C1-ADFD-940BA19EDB10}">
    <text>Eq 14</text>
  </threadedComment>
  <threadedComment ref="C69" dT="2023-08-07T21:12:45.72" personId="{3B8ACD1D-38B5-9C45-887D-916F3D034C65}" id="{89BCA92F-EA32-4EAD-998C-57D7E167C78B}">
    <text>Eq 15</text>
  </threadedComment>
</ThreadedComments>
</file>

<file path=xl/threadedComments/threadedComment15.xml><?xml version="1.0" encoding="utf-8"?>
<ThreadedComments xmlns="http://schemas.microsoft.com/office/spreadsheetml/2018/threadedcomments" xmlns:x="http://schemas.openxmlformats.org/spreadsheetml/2006/main">
  <threadedComment ref="E13" dT="2023-08-03T18:04:10.78" personId="{3B8ACD1D-38B5-9C45-887D-916F3D034C65}" id="{9244E7C4-D1C2-476F-8B77-02EC50308BE0}">
    <text>Eq 1</text>
  </threadedComment>
  <threadedComment ref="E14" dT="2023-09-05T15:07:52.37" personId="{7CDFD77F-7EE0-844F-B674-02F9AC6590B4}" id="{F87409E7-3D60-4604-8902-266C99C8208D}">
    <text>Eq 3</text>
  </threadedComment>
  <threadedComment ref="E15" dT="2023-09-05T15:07:28.89" personId="{7CDFD77F-7EE0-844F-B674-02F9AC6590B4}" id="{CC78E025-C788-48F0-8440-ECA70F710C32}">
    <text>Tool 05</text>
  </threadedComment>
  <threadedComment ref="F15" dT="2023-08-16T19:23:01.18" personId="{3B8ACD1D-38B5-9C45-887D-916F3D034C65}" id="{1B956695-B10B-450B-8A3D-121D06C6439E}">
    <text>Comes from tool 03</text>
  </threadedComment>
  <threadedComment ref="E16" dT="2023-09-05T15:07:12.12" personId="{7CDFD77F-7EE0-844F-B674-02F9AC6590B4}" id="{1E9070EA-ED49-4AFB-AFB2-DF17366D275F}">
    <text>Eq 4</text>
  </threadedComment>
  <threadedComment ref="E19" dT="2023-08-03T18:14:45.92" personId="{3B8ACD1D-38B5-9C45-887D-916F3D034C65}" id="{4DC81CB5-5B7C-4977-9158-FEDFB6430E50}">
    <text>Eq 4</text>
  </threadedComment>
  <threadedComment ref="E19" dT="2023-08-03T18:42:23.82" personId="{3B8ACD1D-38B5-9C45-887D-916F3D034C65}" id="{D3431744-7DD0-423E-B837-B8F891099C82}" parentId="{4DC81CB5-5B7C-4977-9158-FEDFB6430E50}">
    <text xml:space="preserve">Tool 8 Tool to determine the mass flow of a greenhouse gas in a gaseous stream </text>
  </threadedComment>
  <threadedComment ref="E24" dT="2023-08-03T18:14:38.43" personId="{3B8ACD1D-38B5-9C45-887D-916F3D034C65}" id="{927D7500-3F88-4C15-A7AD-267CB8FCB0B9}">
    <text>Eq 3</text>
  </threadedComment>
  <threadedComment ref="E28" dT="2023-08-03T18:19:12.73" personId="{3B8ACD1D-38B5-9C45-887D-916F3D034C65}" id="{850D0064-B6E6-4E23-A7E7-7E28D49B2379}">
    <text>Eq 9</text>
  </threadedComment>
  <threadedComment ref="E29" dT="2023-08-03T18:26:53.25" personId="{3B8ACD1D-38B5-9C45-887D-916F3D034C65}" id="{CE4CB946-089C-42AA-9E95-0C552670CCC7}">
    <text>Eq 15</text>
  </threadedComment>
  <threadedComment ref="E31" dT="2023-08-03T18:22:54.67" personId="{3B8ACD1D-38B5-9C45-887D-916F3D034C65}" id="{5BCFDF3B-136A-47D8-9684-45CB49EC1185}">
    <text>Eq 10</text>
  </threadedComment>
  <threadedComment ref="F34" dT="2023-08-03T18:35:58.01" personId="{3B8ACD1D-38B5-9C45-887D-916F3D034C65}" id="{5D582990-A7DF-4010-9D2A-5D2CC16BA4F7}">
    <text>Methane</text>
  </threadedComment>
  <threadedComment ref="E37" dT="2023-08-03T18:26:34.28" personId="{3B8ACD1D-38B5-9C45-887D-916F3D034C65}" id="{7832D3E7-543B-4171-8DD3-ED958140C0CF}">
    <text>Eq 16</text>
  </threadedComment>
  <threadedComment ref="E38" dT="2023-08-03T18:29:23.16" personId="{3B8ACD1D-38B5-9C45-887D-916F3D034C65}" id="{142487EC-5E12-4423-B726-C52B6D86727E}">
    <text>Eq 17</text>
  </threadedComment>
  <threadedComment ref="E42" dT="2023-08-03T18:52:20.08" personId="{3B8ACD1D-38B5-9C45-887D-916F3D034C65}" id="{D569AAD6-846E-42E3-BD17-42B25FA2B21E}">
    <text>Eq 2</text>
  </threadedComment>
  <threadedComment ref="C46" dT="2023-08-04T20:02:42.42" personId="{3B8ACD1D-38B5-9C45-887D-916F3D034C65}" id="{48BD38D0-BB27-426C-9F96-8C09B21EC93E}">
    <text>This data comes from tool 05</text>
  </threadedComment>
  <threadedComment ref="E47" dT="2023-08-10T14:56:00.30" personId="{3B8ACD1D-38B5-9C45-887D-916F3D034C65}" id="{3324CC5F-62E9-4FF2-BA0F-5D9069067E6C}">
    <text>Eq 1</text>
  </threadedComment>
  <threadedComment ref="E47" dT="2023-08-16T20:12:59.41" personId="{3B8ACD1D-38B5-9C45-887D-916F3D034C65}" id="{04339C8F-57F9-43F7-8EED-2BABF10B89BF}" parentId="{3324CC5F-62E9-4FF2-BA0F-5D9069067E6C}">
    <text>Tool 05</text>
  </threadedComment>
  <threadedComment ref="E49" dT="2023-08-03T19:33:15.39" personId="{3B8ACD1D-38B5-9C45-887D-916F3D034C65}" id="{D1950F19-D9F7-4E21-8BDD-ED8A8A3FF564}">
    <text>Eq 3</text>
  </threadedComment>
  <threadedComment ref="C54" dT="2023-08-04T20:03:23.24" personId="{3B8ACD1D-38B5-9C45-887D-916F3D034C65}" id="{472F7B85-90D6-498C-A931-57B20B933DFD}">
    <text>This data comes from tool 05</text>
  </threadedComment>
  <threadedComment ref="E55" dT="2023-08-10T14:56:00.30" personId="{3B8ACD1D-38B5-9C45-887D-916F3D034C65}" id="{1C8CCA2E-04A2-42F2-9067-19A639BB2D56}">
    <text>Eq 1</text>
  </threadedComment>
  <threadedComment ref="E55" dT="2023-08-16T20:15:28.34" personId="{3B8ACD1D-38B5-9C45-887D-916F3D034C65}" id="{3EE354D6-6F49-41AF-B8C9-5A9CD9C0B8F2}" parentId="{1C8CCA2E-04A2-42F2-9067-19A639BB2D56}">
    <text>Tool 03</text>
  </threadedComment>
  <threadedComment ref="E57" dT="2023-08-03T19:41:13.38" personId="{3B8ACD1D-38B5-9C45-887D-916F3D034C65}" id="{56DC9D28-86FA-4429-89DA-7E8C3396D272}">
    <text>Eq 4</text>
  </threadedComment>
  <threadedComment ref="C62" dT="2023-08-04T20:13:11.89" personId="{3B8ACD1D-38B5-9C45-887D-916F3D034C65}" id="{D574C588-BB1F-42E2-8F7E-800494698773}">
    <text>Data comes from Tool 06</text>
  </threadedComment>
  <threadedComment ref="E63" dT="2023-08-16T20:17:50.63" personId="{3B8ACD1D-38B5-9C45-887D-916F3D034C65}" id="{BB90F9F8-85CD-4326-ACCD-5A74E1729D50}">
    <text>Tool 06</text>
  </threadedComment>
  <threadedComment ref="E63" dT="2023-08-16T20:18:06.74" personId="{3B8ACD1D-38B5-9C45-887D-916F3D034C65}" id="{48ED2E1F-E586-4CDF-8658-5AAD516AE9C2}" parentId="{BB90F9F8-85CD-4326-ACCD-5A74E1729D50}">
    <text>Eq 15</text>
  </threadedComment>
  <threadedComment ref="E65" dT="2023-08-04T19:24:29.94" personId="{3B8ACD1D-38B5-9C45-887D-916F3D034C65}" id="{6574F86B-119F-4794-AB4A-9CBDA9B69384}">
    <text>Eq 5</text>
  </threadedComment>
  <threadedComment ref="E69" dT="2023-08-04T19:42:52.91" personId="{3B8ACD1D-38B5-9C45-887D-916F3D034C65}" id="{D45300A5-CA77-49FC-A5DD-920A5A9DF350}">
    <text>Eq 6</text>
  </threadedComment>
  <threadedComment ref="E77" dT="2023-08-04T19:47:05.88" personId="{3B8ACD1D-38B5-9C45-887D-916F3D034C65}" id="{CC209F16-2C12-4214-8322-08A92AEEB8DE}">
    <text>Eq 7</text>
  </threadedComment>
  <threadedComment ref="E83" dT="2023-08-04T19:52:24.79" personId="{3B8ACD1D-38B5-9C45-887D-916F3D034C65}" id="{F70D13D2-3597-488E-8181-1F252E40B06B}">
    <text>Eq 8</text>
  </threadedComment>
  <threadedComment ref="E89" dT="2023-08-04T19:52:24.79" personId="{3B8ACD1D-38B5-9C45-887D-916F3D034C65}" id="{AD11F240-1424-4740-B614-6FF25EE3549B}">
    <text>Eq 8</text>
  </threadedComment>
</ThreadedComments>
</file>

<file path=xl/threadedComments/threadedComment2.xml><?xml version="1.0" encoding="utf-8"?>
<ThreadedComments xmlns="http://schemas.microsoft.com/office/spreadsheetml/2018/threadedcomments" xmlns:x="http://schemas.openxmlformats.org/spreadsheetml/2006/main">
  <threadedComment ref="F3" dT="2023-08-25T14:21:06.76" personId="{73129C60-866E-D644-A6F0-91E6FD82297F}" id="{47BEF09F-2237-6A4E-9F83-C7A861BFD732}">
    <text>Equation #2</text>
  </threadedComment>
  <threadedComment ref="F4" dT="2023-08-25T00:19:21.91" personId="{73129C60-866E-D644-A6F0-91E6FD82297F}" id="{5E666D6B-195E-594C-BC1A-A94C672C0C5A}">
    <text>Equation #3</text>
  </threadedComment>
  <threadedComment ref="F5" dT="2023-08-25T00:18:56.69" personId="{73129C60-866E-D644-A6F0-91E6FD82297F}" id="{7C904CC1-014C-1241-9CBD-5012D6B28AB1}">
    <text>Equation #4</text>
  </threadedComment>
  <threadedComment ref="F7" dT="2023-08-25T00:19:21.91" personId="{73129C60-866E-D644-A6F0-91E6FD82297F}" id="{1FDB6489-F7A5-FE49-9434-14FD30C74D7E}">
    <text>Equation #3</text>
  </threadedComment>
  <threadedComment ref="F13" dT="2023-08-25T00:18:56.69" personId="{73129C60-866E-D644-A6F0-91E6FD82297F}" id="{1534E144-76E0-484B-9E8D-139044FD747A}">
    <text>Equation #4</text>
  </threadedComment>
  <threadedComment ref="F14" dT="2023-08-25T00:16:17.15" personId="{73129C60-866E-D644-A6F0-91E6FD82297F}" id="{C9499978-D265-1747-A973-8BDC8844EE15}">
    <text>Equation #5</text>
  </threadedComment>
  <threadedComment ref="F15" dT="2023-08-25T00:20:26.10" personId="{73129C60-866E-D644-A6F0-91E6FD82297F}" id="{015BBE73-07A0-5746-8EE0-33C2307C3846}">
    <text>Equation #6</text>
  </threadedComment>
  <threadedComment ref="F21" dT="2023-08-25T22:49:02.52" personId="{73129C60-866E-D644-A6F0-91E6FD82297F}" id="{ACE94F3F-8B89-1944-842F-A070A95511A4}">
    <text>Equation #9 &amp; #10</text>
  </threadedComment>
</ThreadedComments>
</file>

<file path=xl/threadedComments/threadedComment3.xml><?xml version="1.0" encoding="utf-8"?>
<ThreadedComments xmlns="http://schemas.microsoft.com/office/spreadsheetml/2018/threadedcomments" xmlns:x="http://schemas.openxmlformats.org/spreadsheetml/2006/main">
  <threadedComment ref="F3" dT="2023-09-13T16:19:47.75" personId="{9EC0D274-6794-5F42-A337-2C5A06685BFF}" id="{96413492-89CB-1346-A969-10A5DAF48899}">
    <text>Equation #8</text>
  </threadedComment>
  <threadedComment ref="F6" dT="2023-08-25T22:49:02.52" personId="{73129C60-866E-D644-A6F0-91E6FD82297F}" id="{39B5FC09-36EF-4042-B88D-C5D3BCF4E8BB}">
    <text>Equation #9 &amp; #10</text>
  </threadedComment>
</ThreadedComments>
</file>

<file path=xl/threadedComments/threadedComment4.xml><?xml version="1.0" encoding="utf-8"?>
<ThreadedComments xmlns="http://schemas.microsoft.com/office/spreadsheetml/2018/threadedcomments" xmlns:x="http://schemas.openxmlformats.org/spreadsheetml/2006/main">
  <threadedComment ref="F10" dT="2023-08-16T16:15:54.51" personId="{3B8ACD1D-38B5-9C45-887D-916F3D034C65}" id="{6DC797ED-461E-1545-87FA-1EA8D4B19253}">
    <text>Eq 1</text>
  </threadedComment>
</ThreadedComments>
</file>

<file path=xl/threadedComments/threadedComment5.xml><?xml version="1.0" encoding="utf-8"?>
<ThreadedComments xmlns="http://schemas.microsoft.com/office/spreadsheetml/2018/threadedcomments" xmlns:x="http://schemas.openxmlformats.org/spreadsheetml/2006/main">
  <threadedComment ref="B34" dT="2023-09-14T15:57:32.66" personId="{B260C802-7A6F-F549-9603-B70C7EEDB718}" id="{87BF3BD3-918D-C749-BAD5-6979CD3BB717}">
    <text>Equation 3</text>
  </threadedComment>
  <threadedComment ref="B35" dT="2023-09-14T15:57:50.52" personId="{B260C802-7A6F-F549-9603-B70C7EEDB718}" id="{1759444D-C0D0-CD42-A220-D7B22496CDA3}">
    <text>Equation 4</text>
  </threadedComment>
  <threadedComment ref="B44" dT="2023-09-14T16:00:06.57" personId="{B260C802-7A6F-F549-9603-B70C7EEDB718}" id="{702AC67C-5132-2C41-B279-96F4B8EC3AA9}">
    <text>Equation 7</text>
  </threadedComment>
  <threadedComment ref="B45" dT="2023-09-14T15:58:31.69" personId="{B260C802-7A6F-F549-9603-B70C7EEDB718}" id="{58A97CFC-607F-C64A-B3B3-85B5B215D55C}">
    <text>Equation 5</text>
  </threadedComment>
  <threadedComment ref="B54" dT="2023-09-14T16:00:45.83" personId="{B260C802-7A6F-F549-9603-B70C7EEDB718}" id="{26D0F9FB-5218-9141-A4A6-E1D4BBCAFC75}">
    <text>Equation 9</text>
  </threadedComment>
  <threadedComment ref="B59" dT="2023-09-14T16:01:11.41" personId="{B260C802-7A6F-F549-9603-B70C7EEDB718}" id="{BC74A192-0D46-3B45-B942-6B878EC477B9}">
    <text>Equation 11</text>
  </threadedComment>
  <threadedComment ref="B66" dT="2023-09-14T16:02:00.74" personId="{B260C802-7A6F-F549-9603-B70C7EEDB718}" id="{7FDDA259-A56F-294C-A886-298324E330E9}">
    <text>Equation 12</text>
  </threadedComment>
  <threadedComment ref="B86" dT="2023-09-08T16:51:38.02" personId="{B260C802-7A6F-F549-9603-B70C7EEDB718}" id="{9A75B998-310E-6A43-97E7-CC9407E4B2C0}">
    <text>Equation 1</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23-09-14T16:39:36.76" personId="{B260C802-7A6F-F549-9603-B70C7EEDB718}" id="{E035A680-0011-AD4E-81D8-2046E9517D86}">
    <text>Add a line for each SWDS CH4 calculation instance added</text>
  </threadedComment>
</ThreadedComments>
</file>

<file path=xl/threadedComments/threadedComment7.xml><?xml version="1.0" encoding="utf-8"?>
<ThreadedComments xmlns="http://schemas.microsoft.com/office/spreadsheetml/2018/threadedcomments" xmlns:x="http://schemas.openxmlformats.org/spreadsheetml/2006/main">
  <threadedComment ref="A3" dT="2023-09-20T20:07:43.23" personId="{B260C802-7A6F-F549-9603-B70C7EEDB718}" id="{91F5F009-7414-E444-B521-C50F439C59B4}">
    <text xml:space="preserve">Add a line for each transportation activity (f). </text>
  </threadedComment>
</ThreadedComments>
</file>

<file path=xl/threadedComments/threadedComment8.xml><?xml version="1.0" encoding="utf-8"?>
<ThreadedComments xmlns="http://schemas.microsoft.com/office/spreadsheetml/2018/threadedcomments" xmlns:x="http://schemas.openxmlformats.org/spreadsheetml/2006/main">
  <threadedComment ref="F9" dT="2023-10-02T17:56:34.11" personId="{3B8ACD1D-38B5-9C45-887D-916F3D034C65}" id="{ACDF3E79-6A4B-704E-92FE-DA0B9DA87822}">
    <text>Eq 2</text>
  </threadedComment>
  <threadedComment ref="F16" dT="2023-10-02T18:19:24.82" personId="{3B8ACD1D-38B5-9C45-887D-916F3D034C65}" id="{4274C863-2A82-1B44-A646-5FB740BCF84E}">
    <text>Tool 05</text>
  </threadedComment>
  <threadedComment ref="F20" dT="2023-10-02T18:19:14.96" personId="{3B8ACD1D-38B5-9C45-887D-916F3D034C65}" id="{EB7794F0-BEF7-5C45-918C-912DF960379F}">
    <text>Tool 03</text>
  </threadedComment>
  <threadedComment ref="F22" dT="2023-10-02T18:22:40.35" personId="{3B8ACD1D-38B5-9C45-887D-916F3D034C65}" id="{B5D9AEF8-A625-CF4B-87CF-D8C8960EF7E1}">
    <text>Eq 4</text>
  </threadedComment>
  <threadedComment ref="F27" dT="2023-10-02T20:18:08.28" personId="{3B8ACD1D-38B5-9C45-887D-916F3D034C65}" id="{11E774C7-9FC9-9B41-A51F-DC2F959ED823}">
    <text>Eq 5</text>
  </threadedComment>
  <threadedComment ref="F28" dT="2023-10-02T19:25:26.05" personId="{3B8ACD1D-38B5-9C45-887D-916F3D034C65}" id="{D8053A43-10DD-E74D-A7F8-28902C0AD6CE}">
    <text>Eq 6 for option 1 and default for option 2</text>
  </threadedComment>
  <threadedComment ref="F43" dT="2023-10-02T20:26:17.53" personId="{3B8ACD1D-38B5-9C45-887D-916F3D034C65}" id="{5DB67B6D-FE36-264E-8BAD-BD756DD822B5}">
    <text>Eq 7</text>
  </threadedComment>
  <threadedComment ref="F44" dT="2023-10-02T19:35:41.62" personId="{3B8ACD1D-38B5-9C45-887D-916F3D034C65}" id="{BB7301B7-24AF-6340-9190-97B6F4F01B21}">
    <text>Eq 8 for option 1 and default for option 2</text>
  </threadedComment>
  <threadedComment ref="F49" dT="2023-10-02T20:09:00.29" personId="{3B8ACD1D-38B5-9C45-887D-916F3D034C65}" id="{0D65D85D-A7FC-6743-AA67-094B5BF4C11F}">
    <text xml:space="preserve">Eq 9 with if/then for run-off wastewater that is collected and re-circulated </text>
  </threadedComment>
</ThreadedComments>
</file>

<file path=xl/threadedComments/threadedComment9.xml><?xml version="1.0" encoding="utf-8"?>
<ThreadedComments xmlns="http://schemas.microsoft.com/office/spreadsheetml/2018/threadedcomments" xmlns:x="http://schemas.openxmlformats.org/spreadsheetml/2006/main">
  <threadedComment ref="B38" dT="2023-09-22T17:52:54.23" personId="{B260C802-7A6F-F549-9603-B70C7EEDB718}" id="{FCDADEE1-7B57-40AD-A1ED-C54DFAA306F3}">
    <text>Equation 8</text>
  </threadedComment>
  <threadedComment ref="B43" dT="2023-09-22T17:20:03.85" personId="{B260C802-7A6F-F549-9603-B70C7EEDB718}" id="{F86A4886-EB3F-4A2C-BD0B-318E6F8BB178}">
    <text>Equation 7</text>
  </threadedComment>
  <threadedComment ref="B48" dT="2023-09-22T16:54:06.93" personId="{B260C802-7A6F-F549-9603-B70C7EEDB718}" id="{07B7AF7F-BE78-4D5B-A070-233774652D6C}">
    <text>Equation 6</text>
  </threadedComment>
  <threadedComment ref="B54" dT="2023-09-22T16:20:01.99" personId="{B260C802-7A6F-F549-9603-B70C7EEDB718}" id="{6DABC065-05ED-4574-91CB-E0D94529FB0F}">
    <text>Equation 5</text>
  </threadedComment>
  <threadedComment ref="B56" dT="2023-09-22T16:09:08.74" personId="{B260C802-7A6F-F549-9603-B70C7EEDB718}" id="{5E61A3BA-31BC-4FE1-91EB-81359CD8685C}">
    <text>Equation 4</text>
  </threadedComment>
  <threadedComment ref="B66" dT="2023-09-22T16:13:56.33" personId="{B260C802-7A6F-F549-9603-B70C7EEDB718}" id="{7AE6E3B9-92AF-400F-B4D3-62A02D4F0F4A}">
    <text>Equation 3</text>
  </threadedComment>
  <threadedComment ref="B70" dT="2023-09-22T16:08:33.70" personId="{B260C802-7A6F-F549-9603-B70C7EEDB718}" id="{94942C42-BA51-4275-800D-1D7FB06AD638}">
    <text>Equation 2</text>
  </threadedComment>
  <threadedComment ref="B71" dT="2023-09-21T18:49:20.46" personId="{B260C802-7A6F-F549-9603-B70C7EEDB718}" id="{2D495812-173B-4D1B-92B6-31A14E66F3D8}">
    <text>Equation 1</text>
  </threadedComment>
  <threadedComment ref="B79" dT="2023-09-26T23:01:53.39" personId="{B260C802-7A6F-F549-9603-B70C7EEDB718}" id="{2FD85ACB-585E-42B2-A003-06A7312B4393}">
    <text>Equation 13</text>
  </threadedComment>
  <threadedComment ref="B85" dT="2023-09-22T19:29:14.23" personId="{B260C802-7A6F-F549-9603-B70C7EEDB718}" id="{53AD4059-9BD7-4607-94F6-AE5474E1BA0A}">
    <text>Equation 11</text>
  </threadedComment>
  <threadedComment ref="B91" dT="2023-09-27T21:05:11.72" personId="{B260C802-7A6F-F549-9603-B70C7EEDB718}" id="{3FBB80CE-30A9-4B73-9FD5-7369829A0681}">
    <text>Equation 9</text>
  </threadedComment>
  <threadedComment ref="B95" dT="2023-09-26T23:02:13.22" personId="{B260C802-7A6F-F549-9603-B70C7EEDB718}" id="{F3DD8F2A-C0E4-4916-821D-57BCF7DA922C}">
    <text>Equation 14</text>
  </threadedComment>
  <threadedComment ref="B101" dT="2023-09-26T23:00:46.78" personId="{B260C802-7A6F-F549-9603-B70C7EEDB718}" id="{45C2D95A-7A28-49F8-A10D-5D87297619C1}">
    <text>Equation 12</text>
  </threadedComment>
  <threadedComment ref="B107" dT="2023-09-27T21:05:29.30" personId="{B260C802-7A6F-F549-9603-B70C7EEDB718}" id="{3E070A6F-C552-433E-9BD9-E96D5BEF84CF}">
    <text>Equation 10</text>
  </threadedComment>
  <threadedComment ref="B116" dT="2023-09-26T23:05:30.00" personId="{B260C802-7A6F-F549-9603-B70C7EEDB718}" id="{1D026F5B-126F-4F8A-9187-5A2BFC9A7421}">
    <text>Equation 15</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gmail.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5.bin"/><Relationship Id="rId4" Type="http://schemas.microsoft.com/office/2017/10/relationships/threadedComment" Target="../threadedComments/threadedComment14.x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53113-FE6C-BE48-A955-4329A92B0F29}">
  <dimension ref="A1:I134"/>
  <sheetViews>
    <sheetView tabSelected="1" topLeftCell="C1" zoomScaleNormal="100" workbookViewId="0">
      <selection activeCell="H36" sqref="H36"/>
    </sheetView>
  </sheetViews>
  <sheetFormatPr defaultColWidth="8.875" defaultRowHeight="15"/>
  <cols>
    <col min="1" max="1" width="18.125" style="6" bestFit="1" customWidth="1"/>
    <col min="2" max="2" width="21" style="6" customWidth="1"/>
    <col min="3" max="3" width="29.375" style="6" bestFit="1" customWidth="1"/>
    <col min="4" max="4" width="16.125" style="6" bestFit="1" customWidth="1"/>
    <col min="5" max="5" width="42.875" style="6" customWidth="1"/>
    <col min="6" max="6" width="16.125" style="6" customWidth="1"/>
    <col min="7" max="7" width="49.875" style="6" customWidth="1"/>
    <col min="8" max="8" width="134.625" style="6" customWidth="1"/>
    <col min="9" max="9" width="72.5" style="6" customWidth="1"/>
    <col min="10" max="16384" width="8.875" style="6"/>
  </cols>
  <sheetData>
    <row r="1" spans="1:9" s="1" customFormat="1" ht="18.75">
      <c r="A1" s="1" t="s">
        <v>0</v>
      </c>
      <c r="B1" s="1" t="s">
        <v>1</v>
      </c>
      <c r="C1" s="2" t="s">
        <v>2</v>
      </c>
      <c r="D1" s="1" t="s">
        <v>3</v>
      </c>
      <c r="E1" s="1" t="s">
        <v>4</v>
      </c>
      <c r="F1" s="1" t="s">
        <v>5</v>
      </c>
      <c r="G1" s="2" t="s">
        <v>6</v>
      </c>
      <c r="H1" s="1" t="s">
        <v>7</v>
      </c>
      <c r="I1" s="2" t="s">
        <v>8</v>
      </c>
    </row>
    <row r="2" spans="1:9" s="5" customFormat="1" ht="18.75">
      <c r="A2" s="3"/>
      <c r="B2" s="3"/>
      <c r="C2" s="4"/>
      <c r="D2" s="4"/>
      <c r="E2" s="4"/>
      <c r="F2" s="4"/>
      <c r="G2" s="3" t="s">
        <v>9</v>
      </c>
      <c r="H2" s="4"/>
    </row>
    <row r="3" spans="1:9" s="185" customFormat="1" ht="30">
      <c r="A3" s="181" t="s">
        <v>10</v>
      </c>
      <c r="B3" s="181"/>
      <c r="C3" s="181" t="s">
        <v>11</v>
      </c>
      <c r="D3" s="181" t="s">
        <v>12</v>
      </c>
      <c r="E3" s="182"/>
      <c r="F3" s="183" t="s">
        <v>13</v>
      </c>
      <c r="G3" s="181" t="s">
        <v>14</v>
      </c>
      <c r="H3" s="184" t="s">
        <v>15</v>
      </c>
      <c r="I3" s="181"/>
    </row>
    <row r="4" spans="1:9" s="185" customFormat="1">
      <c r="A4" s="181" t="s">
        <v>10</v>
      </c>
      <c r="B4" s="181"/>
      <c r="C4" s="181" t="s">
        <v>11</v>
      </c>
      <c r="D4" s="181" t="s">
        <v>12</v>
      </c>
      <c r="E4" s="182" t="s">
        <v>16</v>
      </c>
      <c r="F4" s="183" t="s">
        <v>13</v>
      </c>
      <c r="G4" s="181" t="s">
        <v>17</v>
      </c>
      <c r="H4" s="186" t="s">
        <v>18</v>
      </c>
      <c r="I4" s="181"/>
    </row>
    <row r="5" spans="1:9" s="185" customFormat="1">
      <c r="A5" s="181" t="s">
        <v>10</v>
      </c>
      <c r="B5" s="181"/>
      <c r="C5" s="181" t="s">
        <v>10</v>
      </c>
      <c r="D5" s="181" t="s">
        <v>12</v>
      </c>
      <c r="E5" s="182" t="s">
        <v>19</v>
      </c>
      <c r="F5" s="183" t="s">
        <v>13</v>
      </c>
      <c r="G5" s="181" t="s">
        <v>20</v>
      </c>
      <c r="H5" s="186" t="s">
        <v>21</v>
      </c>
      <c r="I5" s="181"/>
    </row>
    <row r="6" spans="1:9" s="185" customFormat="1">
      <c r="A6" s="181" t="s">
        <v>10</v>
      </c>
      <c r="B6" s="181"/>
      <c r="C6" s="181" t="s">
        <v>10</v>
      </c>
      <c r="D6" s="181" t="s">
        <v>12</v>
      </c>
      <c r="E6" s="182" t="s">
        <v>22</v>
      </c>
      <c r="F6" s="183" t="s">
        <v>13</v>
      </c>
      <c r="G6" s="181" t="s">
        <v>23</v>
      </c>
      <c r="H6" s="184" t="s">
        <v>24</v>
      </c>
      <c r="I6" s="181"/>
    </row>
    <row r="7" spans="1:9" s="185" customFormat="1">
      <c r="A7" s="181" t="s">
        <v>10</v>
      </c>
      <c r="B7" s="181"/>
      <c r="C7" s="181" t="s">
        <v>11</v>
      </c>
      <c r="D7" s="181" t="s">
        <v>12</v>
      </c>
      <c r="E7" s="182" t="s">
        <v>25</v>
      </c>
      <c r="F7" s="183" t="s">
        <v>13</v>
      </c>
      <c r="G7" s="181" t="s">
        <v>26</v>
      </c>
      <c r="H7" s="184" t="s">
        <v>27</v>
      </c>
      <c r="I7" s="181"/>
    </row>
    <row r="8" spans="1:9" s="185" customFormat="1">
      <c r="A8" s="181" t="s">
        <v>10</v>
      </c>
      <c r="B8" s="181"/>
      <c r="C8" s="181" t="s">
        <v>10</v>
      </c>
      <c r="D8" s="181" t="s">
        <v>12</v>
      </c>
      <c r="E8" s="182" t="s">
        <v>28</v>
      </c>
      <c r="F8" s="183" t="s">
        <v>13</v>
      </c>
      <c r="G8" s="181" t="s">
        <v>29</v>
      </c>
      <c r="H8" s="184" t="s">
        <v>30</v>
      </c>
      <c r="I8" s="181"/>
    </row>
    <row r="9" spans="1:9" s="185" customFormat="1">
      <c r="A9" s="181" t="s">
        <v>10</v>
      </c>
      <c r="B9" s="181"/>
      <c r="C9" s="181" t="s">
        <v>10</v>
      </c>
      <c r="D9" s="181" t="s">
        <v>12</v>
      </c>
      <c r="E9" s="182" t="s">
        <v>31</v>
      </c>
      <c r="F9" s="183" t="s">
        <v>13</v>
      </c>
      <c r="G9" s="181" t="s">
        <v>32</v>
      </c>
      <c r="H9" s="184" t="s">
        <v>33</v>
      </c>
      <c r="I9" s="181"/>
    </row>
    <row r="10" spans="1:9" s="185" customFormat="1" ht="45">
      <c r="A10" s="181" t="s">
        <v>10</v>
      </c>
      <c r="B10" s="181"/>
      <c r="C10" s="181" t="s">
        <v>10</v>
      </c>
      <c r="D10" s="181" t="s">
        <v>12</v>
      </c>
      <c r="E10" s="182" t="s">
        <v>34</v>
      </c>
      <c r="F10" s="183" t="s">
        <v>13</v>
      </c>
      <c r="G10" s="187" t="s">
        <v>35</v>
      </c>
      <c r="H10" s="184" t="s">
        <v>36</v>
      </c>
      <c r="I10" s="181"/>
    </row>
    <row r="11" spans="1:9" s="185" customFormat="1" ht="31.5">
      <c r="A11" s="181" t="s">
        <v>10</v>
      </c>
      <c r="B11" s="181"/>
      <c r="C11" s="181" t="s">
        <v>11</v>
      </c>
      <c r="D11" s="181" t="s">
        <v>12</v>
      </c>
      <c r="E11" s="182"/>
      <c r="F11" s="183" t="s">
        <v>13</v>
      </c>
      <c r="G11" s="181" t="s">
        <v>37</v>
      </c>
      <c r="H11" s="199" t="s">
        <v>38</v>
      </c>
      <c r="I11" s="181"/>
    </row>
    <row r="12" spans="1:9" s="185" customFormat="1">
      <c r="A12" s="181" t="s">
        <v>10</v>
      </c>
      <c r="B12" s="181"/>
      <c r="C12" s="181" t="s">
        <v>11</v>
      </c>
      <c r="D12" s="181" t="s">
        <v>12</v>
      </c>
      <c r="E12" s="182" t="s">
        <v>39</v>
      </c>
      <c r="F12" s="183" t="s">
        <v>13</v>
      </c>
      <c r="G12" s="181" t="s">
        <v>40</v>
      </c>
      <c r="H12" s="186" t="s">
        <v>41</v>
      </c>
      <c r="I12" s="181"/>
    </row>
    <row r="13" spans="1:9" s="185" customFormat="1">
      <c r="A13" s="181" t="s">
        <v>10</v>
      </c>
      <c r="B13" s="181"/>
      <c r="C13" s="181" t="s">
        <v>11</v>
      </c>
      <c r="D13" s="181" t="s">
        <v>42</v>
      </c>
      <c r="E13" s="182"/>
      <c r="F13" s="183" t="s">
        <v>13</v>
      </c>
      <c r="G13" s="181" t="s">
        <v>43</v>
      </c>
      <c r="H13" s="186" t="s">
        <v>44</v>
      </c>
      <c r="I13" s="181"/>
    </row>
    <row r="14" spans="1:9" s="185" customFormat="1">
      <c r="A14" s="181" t="s">
        <v>10</v>
      </c>
      <c r="B14" s="181"/>
      <c r="C14" s="181" t="s">
        <v>11</v>
      </c>
      <c r="D14" s="181" t="s">
        <v>12</v>
      </c>
      <c r="E14" s="182"/>
      <c r="F14" s="183" t="s">
        <v>13</v>
      </c>
      <c r="G14" s="181" t="s">
        <v>45</v>
      </c>
      <c r="H14" s="186" t="s">
        <v>46</v>
      </c>
      <c r="I14" s="181"/>
    </row>
    <row r="15" spans="1:9" s="185" customFormat="1">
      <c r="A15" s="181" t="s">
        <v>10</v>
      </c>
      <c r="B15" s="181"/>
      <c r="C15" s="181" t="s">
        <v>11</v>
      </c>
      <c r="D15" s="181" t="s">
        <v>47</v>
      </c>
      <c r="E15" s="182" t="s">
        <v>48</v>
      </c>
      <c r="F15" s="183" t="s">
        <v>13</v>
      </c>
      <c r="G15" s="181" t="s">
        <v>49</v>
      </c>
      <c r="H15" s="186" t="s">
        <v>50</v>
      </c>
      <c r="I15" s="181"/>
    </row>
    <row r="16" spans="1:9" s="185" customFormat="1">
      <c r="A16" s="181" t="s">
        <v>10</v>
      </c>
      <c r="B16" s="181"/>
      <c r="C16" s="181" t="s">
        <v>11</v>
      </c>
      <c r="D16" s="181" t="s">
        <v>51</v>
      </c>
      <c r="E16" s="182"/>
      <c r="F16" s="183" t="s">
        <v>13</v>
      </c>
      <c r="G16" s="181" t="s">
        <v>52</v>
      </c>
      <c r="H16" s="186" t="s">
        <v>53</v>
      </c>
      <c r="I16" s="181"/>
    </row>
    <row r="17" spans="1:9" s="185" customFormat="1">
      <c r="A17" s="181" t="s">
        <v>10</v>
      </c>
      <c r="B17" s="181"/>
      <c r="C17" s="181" t="s">
        <v>11</v>
      </c>
      <c r="D17" s="181" t="s">
        <v>54</v>
      </c>
      <c r="E17" s="182"/>
      <c r="F17" s="183" t="s">
        <v>13</v>
      </c>
      <c r="G17" s="181" t="s">
        <v>55</v>
      </c>
      <c r="H17" s="188" t="s">
        <v>56</v>
      </c>
      <c r="I17" s="181"/>
    </row>
    <row r="18" spans="1:9" s="185" customFormat="1">
      <c r="A18" s="181" t="s">
        <v>10</v>
      </c>
      <c r="B18" s="181"/>
      <c r="C18" s="181" t="s">
        <v>10</v>
      </c>
      <c r="D18" s="181" t="s">
        <v>12</v>
      </c>
      <c r="E18" s="182" t="s">
        <v>57</v>
      </c>
      <c r="F18" s="183" t="s">
        <v>13</v>
      </c>
      <c r="G18" s="181" t="s">
        <v>58</v>
      </c>
      <c r="H18" s="186" t="s">
        <v>41</v>
      </c>
      <c r="I18" s="181"/>
    </row>
    <row r="19" spans="1:9" s="185" customFormat="1">
      <c r="A19" s="181" t="s">
        <v>10</v>
      </c>
      <c r="B19" s="181"/>
      <c r="C19" s="181" t="s">
        <v>11</v>
      </c>
      <c r="D19" s="181" t="s">
        <v>12</v>
      </c>
      <c r="E19" s="182"/>
      <c r="F19" s="183" t="s">
        <v>13</v>
      </c>
      <c r="G19" s="181" t="s">
        <v>59</v>
      </c>
      <c r="H19" s="186" t="s">
        <v>11</v>
      </c>
      <c r="I19" s="181"/>
    </row>
    <row r="20" spans="1:9" s="185" customFormat="1">
      <c r="A20" s="181" t="s">
        <v>10</v>
      </c>
      <c r="B20" s="181"/>
      <c r="C20" s="181" t="s">
        <v>11</v>
      </c>
      <c r="D20" s="181" t="s">
        <v>12</v>
      </c>
      <c r="E20" s="182"/>
      <c r="F20" s="183" t="s">
        <v>13</v>
      </c>
      <c r="G20" s="181" t="s">
        <v>60</v>
      </c>
      <c r="H20" s="186" t="s">
        <v>11</v>
      </c>
      <c r="I20" s="181"/>
    </row>
    <row r="21" spans="1:9" s="185" customFormat="1">
      <c r="A21" s="181" t="s">
        <v>10</v>
      </c>
      <c r="B21" s="181"/>
      <c r="C21" s="181" t="s">
        <v>10</v>
      </c>
      <c r="D21" s="181" t="s">
        <v>61</v>
      </c>
      <c r="E21" s="182" t="s">
        <v>62</v>
      </c>
      <c r="F21" s="183" t="s">
        <v>13</v>
      </c>
      <c r="G21" s="181" t="s">
        <v>63</v>
      </c>
      <c r="H21" s="189" t="s">
        <v>64</v>
      </c>
      <c r="I21" s="181"/>
    </row>
    <row r="22" spans="1:9" s="185" customFormat="1">
      <c r="A22" s="181" t="s">
        <v>10</v>
      </c>
      <c r="B22" s="181"/>
      <c r="C22" s="181" t="s">
        <v>11</v>
      </c>
      <c r="D22" s="181" t="s">
        <v>65</v>
      </c>
      <c r="E22" s="182" t="s">
        <v>66</v>
      </c>
      <c r="F22" s="183" t="s">
        <v>13</v>
      </c>
      <c r="G22" s="181" t="s">
        <v>67</v>
      </c>
      <c r="H22" s="190">
        <v>43221</v>
      </c>
      <c r="I22" s="181"/>
    </row>
    <row r="23" spans="1:9" s="185" customFormat="1">
      <c r="A23" s="181" t="s">
        <v>10</v>
      </c>
      <c r="B23" s="181"/>
      <c r="C23" s="186" t="s">
        <v>10</v>
      </c>
      <c r="D23" s="181" t="s">
        <v>68</v>
      </c>
      <c r="E23" s="182" t="s">
        <v>69</v>
      </c>
      <c r="F23" s="183" t="s">
        <v>13</v>
      </c>
      <c r="G23" s="186" t="s">
        <v>70</v>
      </c>
      <c r="H23" s="186" t="s">
        <v>71</v>
      </c>
      <c r="I23" s="181"/>
    </row>
    <row r="24" spans="1:9" s="185" customFormat="1">
      <c r="A24" s="181" t="s">
        <v>10</v>
      </c>
      <c r="B24" s="181"/>
      <c r="C24" s="186" t="s">
        <v>10</v>
      </c>
      <c r="D24" s="181" t="s">
        <v>68</v>
      </c>
      <c r="E24" s="182" t="s">
        <v>72</v>
      </c>
      <c r="F24" s="183" t="s">
        <v>13</v>
      </c>
      <c r="G24" s="186" t="s">
        <v>73</v>
      </c>
      <c r="H24" s="186" t="s">
        <v>71</v>
      </c>
      <c r="I24" s="181"/>
    </row>
    <row r="25" spans="1:9" s="185" customFormat="1">
      <c r="A25" s="181" t="s">
        <v>10</v>
      </c>
      <c r="B25" s="181"/>
      <c r="C25" s="186" t="s">
        <v>11</v>
      </c>
      <c r="D25" s="181" t="s">
        <v>12</v>
      </c>
      <c r="E25" s="182"/>
      <c r="F25" s="183" t="s">
        <v>13</v>
      </c>
      <c r="G25" s="186" t="s">
        <v>74</v>
      </c>
      <c r="H25" s="186" t="s">
        <v>75</v>
      </c>
      <c r="I25" s="181"/>
    </row>
    <row r="26" spans="1:9" s="185" customFormat="1" ht="30">
      <c r="A26" s="181" t="s">
        <v>10</v>
      </c>
      <c r="B26" s="181"/>
      <c r="C26" s="186" t="s">
        <v>11</v>
      </c>
      <c r="D26" s="181" t="s">
        <v>12</v>
      </c>
      <c r="E26" s="182"/>
      <c r="F26" s="183" t="s">
        <v>13</v>
      </c>
      <c r="G26" s="193" t="s">
        <v>76</v>
      </c>
      <c r="H26" t="s">
        <v>77</v>
      </c>
      <c r="I26" s="181"/>
    </row>
    <row r="27" spans="1:9" s="185" customFormat="1">
      <c r="A27" s="181" t="s">
        <v>10</v>
      </c>
      <c r="B27" s="181"/>
      <c r="C27" s="186" t="s">
        <v>11</v>
      </c>
      <c r="D27" s="181" t="s">
        <v>12</v>
      </c>
      <c r="E27" s="182" t="s">
        <v>78</v>
      </c>
      <c r="F27" s="183" t="s">
        <v>13</v>
      </c>
      <c r="G27" s="185" t="s">
        <v>79</v>
      </c>
      <c r="H27" s="186" t="s">
        <v>80</v>
      </c>
      <c r="I27" s="181"/>
    </row>
    <row r="28" spans="1:9" s="185" customFormat="1">
      <c r="A28" s="181" t="s">
        <v>10</v>
      </c>
      <c r="B28" s="181"/>
      <c r="C28" s="186" t="s">
        <v>11</v>
      </c>
      <c r="D28" s="181" t="s">
        <v>12</v>
      </c>
      <c r="E28" s="182"/>
      <c r="F28" s="183" t="s">
        <v>13</v>
      </c>
      <c r="G28" s="185" t="s">
        <v>81</v>
      </c>
      <c r="H28" s="186" t="s">
        <v>13</v>
      </c>
      <c r="I28" s="181"/>
    </row>
    <row r="29" spans="1:9" s="5" customFormat="1" ht="18.75">
      <c r="A29" s="3"/>
      <c r="B29" s="3"/>
      <c r="C29" s="4"/>
      <c r="D29" s="4"/>
      <c r="E29" s="4"/>
      <c r="F29" s="4"/>
      <c r="G29" s="3" t="s">
        <v>82</v>
      </c>
      <c r="H29" s="4"/>
    </row>
    <row r="30" spans="1:9" s="13" customFormat="1" ht="93" customHeight="1">
      <c r="A30" s="13" t="s">
        <v>10</v>
      </c>
      <c r="C30" s="13" t="s">
        <v>11</v>
      </c>
      <c r="D30" s="13" t="s">
        <v>83</v>
      </c>
      <c r="F30" s="13" t="s">
        <v>13</v>
      </c>
      <c r="G30" s="14" t="s">
        <v>84</v>
      </c>
      <c r="H30" s="15" t="s">
        <v>85</v>
      </c>
    </row>
    <row r="31" spans="1:9" s="13" customFormat="1" ht="87" customHeight="1">
      <c r="A31" s="13" t="s">
        <v>10</v>
      </c>
      <c r="C31" s="13" t="s">
        <v>11</v>
      </c>
      <c r="D31" s="13" t="s">
        <v>83</v>
      </c>
      <c r="F31" s="13" t="s">
        <v>13</v>
      </c>
      <c r="G31" s="14" t="s">
        <v>86</v>
      </c>
      <c r="H31" s="15" t="s">
        <v>87</v>
      </c>
    </row>
    <row r="32" spans="1:9" s="13" customFormat="1" ht="84" customHeight="1">
      <c r="A32" s="13" t="s">
        <v>10</v>
      </c>
      <c r="C32" s="13" t="s">
        <v>11</v>
      </c>
      <c r="D32" s="13" t="s">
        <v>83</v>
      </c>
      <c r="F32" s="13" t="s">
        <v>13</v>
      </c>
      <c r="G32" s="14" t="s">
        <v>88</v>
      </c>
      <c r="H32" s="15" t="s">
        <v>89</v>
      </c>
    </row>
    <row r="33" spans="1:9" s="5" customFormat="1" ht="18.75">
      <c r="A33" s="3"/>
      <c r="B33" s="3"/>
      <c r="C33" s="4"/>
      <c r="D33" s="4"/>
      <c r="E33" s="4"/>
      <c r="F33" s="4"/>
      <c r="G33" s="3" t="s">
        <v>90</v>
      </c>
      <c r="H33" s="4"/>
    </row>
    <row r="34" spans="1:9" s="9" customFormat="1" ht="39" customHeight="1">
      <c r="A34" s="9" t="s">
        <v>10</v>
      </c>
      <c r="C34" s="9" t="s">
        <v>11</v>
      </c>
      <c r="D34" s="9" t="s">
        <v>91</v>
      </c>
      <c r="E34" s="191"/>
      <c r="F34" s="194" t="s">
        <v>92</v>
      </c>
      <c r="G34" s="11" t="s">
        <v>93</v>
      </c>
      <c r="H34" s="12" t="s">
        <v>94</v>
      </c>
    </row>
    <row r="35" spans="1:9" s="5" customFormat="1" ht="18.75">
      <c r="A35" s="3"/>
      <c r="B35" s="3"/>
      <c r="C35" s="4"/>
      <c r="D35" s="4"/>
      <c r="E35" s="4"/>
      <c r="F35" s="4"/>
      <c r="G35" s="3" t="s">
        <v>95</v>
      </c>
      <c r="H35" s="4"/>
    </row>
    <row r="36" spans="1:9" s="9" customFormat="1" ht="23.1" customHeight="1">
      <c r="A36" s="9" t="s">
        <v>11</v>
      </c>
      <c r="C36" s="9" t="s">
        <v>96</v>
      </c>
      <c r="D36" s="9" t="s">
        <v>91</v>
      </c>
      <c r="F36" s="194" t="s">
        <v>92</v>
      </c>
      <c r="G36" s="11" t="s">
        <v>93</v>
      </c>
      <c r="H36" s="12" t="e">
        <f>H38*H40</f>
        <v>#VALUE!</v>
      </c>
      <c r="I36" s="198" t="s">
        <v>97</v>
      </c>
    </row>
    <row r="37" spans="1:9" s="13" customFormat="1" ht="39" customHeight="1">
      <c r="A37" s="13" t="s">
        <v>10</v>
      </c>
      <c r="C37" s="13" t="s">
        <v>98</v>
      </c>
      <c r="D37" s="13" t="s">
        <v>83</v>
      </c>
      <c r="F37" s="192" t="s">
        <v>13</v>
      </c>
      <c r="G37" s="14" t="s">
        <v>99</v>
      </c>
      <c r="H37" s="15" t="s">
        <v>100</v>
      </c>
    </row>
    <row r="38" spans="1:9" s="9" customFormat="1" ht="30" customHeight="1">
      <c r="A38" s="9" t="s">
        <v>11</v>
      </c>
      <c r="C38" s="9" t="s">
        <v>96</v>
      </c>
      <c r="D38" s="9" t="s">
        <v>91</v>
      </c>
      <c r="F38" s="195" t="s">
        <v>101</v>
      </c>
      <c r="G38" s="11" t="s">
        <v>102</v>
      </c>
      <c r="H38" s="12" t="s">
        <v>103</v>
      </c>
    </row>
    <row r="39" spans="1:9" ht="23.1" customHeight="1">
      <c r="A39" s="6" t="s">
        <v>98</v>
      </c>
      <c r="C39" s="6" t="s">
        <v>96</v>
      </c>
      <c r="D39" s="6" t="s">
        <v>104</v>
      </c>
      <c r="F39" s="196" t="s">
        <v>105</v>
      </c>
      <c r="G39" s="7" t="s">
        <v>106</v>
      </c>
      <c r="H39" s="18">
        <v>24881</v>
      </c>
    </row>
    <row r="40" spans="1:9" ht="23.1" customHeight="1">
      <c r="A40" s="6" t="s">
        <v>10</v>
      </c>
      <c r="C40" s="6" t="s">
        <v>96</v>
      </c>
      <c r="D40" s="6" t="s">
        <v>104</v>
      </c>
      <c r="F40" s="196" t="s">
        <v>107</v>
      </c>
      <c r="G40" s="7" t="s">
        <v>108</v>
      </c>
      <c r="H40" s="18">
        <v>0.8</v>
      </c>
    </row>
    <row r="41" spans="1:9" s="5" customFormat="1" ht="18.75">
      <c r="A41" s="3"/>
      <c r="B41" s="3"/>
      <c r="C41" s="4"/>
      <c r="D41" s="4"/>
      <c r="E41" s="4"/>
      <c r="F41" s="4"/>
      <c r="G41" s="3" t="s">
        <v>109</v>
      </c>
      <c r="H41" s="4"/>
    </row>
    <row r="42" spans="1:9">
      <c r="A42" s="43" t="s">
        <v>10</v>
      </c>
      <c r="B42" s="43"/>
      <c r="C42" s="43" t="s">
        <v>10</v>
      </c>
      <c r="D42" s="43" t="s">
        <v>12</v>
      </c>
      <c r="E42" s="43"/>
      <c r="F42" s="43" t="s">
        <v>13</v>
      </c>
      <c r="G42" s="43" t="s">
        <v>110</v>
      </c>
      <c r="H42" s="43"/>
    </row>
    <row r="43" spans="1:9" s="9" customFormat="1" ht="45" customHeight="1">
      <c r="A43" s="9" t="s">
        <v>11</v>
      </c>
      <c r="C43" s="9" t="s">
        <v>10</v>
      </c>
      <c r="D43" s="9" t="s">
        <v>91</v>
      </c>
      <c r="F43" s="10" t="s">
        <v>111</v>
      </c>
      <c r="G43" s="11" t="s">
        <v>112</v>
      </c>
      <c r="H43" s="12">
        <f>SUM(H46,H52)</f>
        <v>0</v>
      </c>
    </row>
    <row r="44" spans="1:9" s="5" customFormat="1" ht="18.75">
      <c r="A44" s="3"/>
      <c r="B44" s="3"/>
      <c r="C44" s="4"/>
      <c r="D44" s="4"/>
      <c r="E44" s="4"/>
      <c r="F44" s="4"/>
      <c r="G44" s="3" t="s">
        <v>113</v>
      </c>
      <c r="H44" s="4"/>
    </row>
    <row r="45" spans="1:9" ht="30">
      <c r="A45" s="43" t="s">
        <v>10</v>
      </c>
      <c r="B45" s="43"/>
      <c r="C45" s="43" t="s">
        <v>10</v>
      </c>
      <c r="D45" s="43" t="s">
        <v>12</v>
      </c>
      <c r="E45" s="43"/>
      <c r="F45" s="43" t="s">
        <v>13</v>
      </c>
      <c r="G45" s="99" t="s">
        <v>114</v>
      </c>
      <c r="H45" s="43"/>
    </row>
    <row r="46" spans="1:9" s="9" customFormat="1" ht="45" customHeight="1">
      <c r="A46" s="9" t="s">
        <v>11</v>
      </c>
      <c r="C46" s="9" t="s">
        <v>10</v>
      </c>
      <c r="D46" s="9" t="s">
        <v>91</v>
      </c>
      <c r="F46" s="10" t="s">
        <v>115</v>
      </c>
      <c r="G46" s="11" t="s">
        <v>116</v>
      </c>
      <c r="H46" s="12">
        <f>(H47*H48)/(1-H49)</f>
        <v>0</v>
      </c>
    </row>
    <row r="47" spans="1:9" ht="35.1" customHeight="1">
      <c r="A47" s="6" t="s">
        <v>10</v>
      </c>
      <c r="C47" s="6" t="s">
        <v>10</v>
      </c>
      <c r="D47" s="6" t="s">
        <v>104</v>
      </c>
      <c r="F47" s="196" t="s">
        <v>117</v>
      </c>
      <c r="G47" s="7" t="s">
        <v>118</v>
      </c>
      <c r="H47" s="18"/>
    </row>
    <row r="48" spans="1:9" ht="35.1" customHeight="1">
      <c r="A48" s="6" t="s">
        <v>10</v>
      </c>
      <c r="C48" s="6" t="s">
        <v>10</v>
      </c>
      <c r="D48" s="6" t="s">
        <v>104</v>
      </c>
      <c r="F48" s="197" t="s">
        <v>119</v>
      </c>
      <c r="G48" s="7" t="s">
        <v>120</v>
      </c>
      <c r="H48" s="18"/>
    </row>
    <row r="49" spans="1:8" ht="62.1" customHeight="1">
      <c r="A49" s="6" t="s">
        <v>10</v>
      </c>
      <c r="C49" s="6" t="s">
        <v>10</v>
      </c>
      <c r="D49" s="6" t="s">
        <v>104</v>
      </c>
      <c r="F49" s="17" t="s">
        <v>121</v>
      </c>
      <c r="G49" s="7" t="s">
        <v>122</v>
      </c>
      <c r="H49" s="18"/>
    </row>
    <row r="50" spans="1:8" s="5" customFormat="1" ht="18.75">
      <c r="A50" s="3"/>
      <c r="B50" s="3"/>
      <c r="C50" s="4"/>
      <c r="D50" s="4"/>
      <c r="E50" s="4"/>
      <c r="F50" s="4"/>
      <c r="G50" s="3" t="s">
        <v>113</v>
      </c>
      <c r="H50" s="4"/>
    </row>
    <row r="51" spans="1:8" ht="30">
      <c r="A51" s="43" t="s">
        <v>10</v>
      </c>
      <c r="B51" s="43"/>
      <c r="C51" s="43" t="s">
        <v>10</v>
      </c>
      <c r="D51" s="43" t="s">
        <v>12</v>
      </c>
      <c r="E51" s="43"/>
      <c r="F51" s="43" t="s">
        <v>13</v>
      </c>
      <c r="G51" s="99" t="s">
        <v>114</v>
      </c>
      <c r="H51" s="43"/>
    </row>
    <row r="52" spans="1:8" s="9" customFormat="1" ht="45" customHeight="1">
      <c r="A52" s="9" t="s">
        <v>11</v>
      </c>
      <c r="C52" s="9" t="s">
        <v>10</v>
      </c>
      <c r="D52" s="9" t="s">
        <v>91</v>
      </c>
      <c r="F52" s="10" t="s">
        <v>115</v>
      </c>
      <c r="G52" s="11" t="s">
        <v>116</v>
      </c>
      <c r="H52" s="12">
        <f>(H53*H54)/(1-H55)</f>
        <v>0</v>
      </c>
    </row>
    <row r="53" spans="1:8" ht="35.1" customHeight="1">
      <c r="A53" s="6" t="s">
        <v>10</v>
      </c>
      <c r="C53" s="6" t="s">
        <v>10</v>
      </c>
      <c r="D53" s="6" t="s">
        <v>104</v>
      </c>
      <c r="F53" s="196" t="s">
        <v>123</v>
      </c>
      <c r="G53" s="7" t="s">
        <v>118</v>
      </c>
      <c r="H53" s="18"/>
    </row>
    <row r="54" spans="1:8" ht="35.1" customHeight="1">
      <c r="A54" s="6" t="s">
        <v>10</v>
      </c>
      <c r="C54" s="6" t="s">
        <v>10</v>
      </c>
      <c r="D54" s="6" t="s">
        <v>104</v>
      </c>
      <c r="F54" s="196" t="s">
        <v>124</v>
      </c>
      <c r="G54" s="7" t="s">
        <v>120</v>
      </c>
      <c r="H54" s="18"/>
    </row>
    <row r="55" spans="1:8" ht="62.1" customHeight="1">
      <c r="A55" s="6" t="s">
        <v>10</v>
      </c>
      <c r="C55" s="6" t="s">
        <v>10</v>
      </c>
      <c r="D55" s="6" t="s">
        <v>104</v>
      </c>
      <c r="F55" s="17" t="s">
        <v>121</v>
      </c>
      <c r="G55" s="7" t="s">
        <v>122</v>
      </c>
      <c r="H55" s="18"/>
    </row>
    <row r="56" spans="1:8" s="5" customFormat="1" ht="18.75">
      <c r="A56" s="3"/>
      <c r="B56" s="3"/>
      <c r="C56" s="4"/>
      <c r="D56" s="4"/>
      <c r="E56" s="4"/>
      <c r="F56" s="4"/>
      <c r="G56" s="3" t="s">
        <v>109</v>
      </c>
      <c r="H56" s="4"/>
    </row>
    <row r="57" spans="1:8">
      <c r="A57" s="43" t="s">
        <v>10</v>
      </c>
      <c r="B57" s="43"/>
      <c r="C57" s="43" t="s">
        <v>10</v>
      </c>
      <c r="D57" s="43" t="s">
        <v>12</v>
      </c>
      <c r="E57" s="43"/>
      <c r="F57" s="43" t="s">
        <v>13</v>
      </c>
      <c r="G57" s="43" t="s">
        <v>110</v>
      </c>
      <c r="H57" s="43"/>
    </row>
    <row r="58" spans="1:8" s="9" customFormat="1" ht="45" customHeight="1">
      <c r="A58" s="9" t="s">
        <v>11</v>
      </c>
      <c r="C58" s="9" t="s">
        <v>10</v>
      </c>
      <c r="D58" s="9" t="s">
        <v>91</v>
      </c>
      <c r="F58" s="10" t="s">
        <v>111</v>
      </c>
      <c r="G58" s="11" t="s">
        <v>112</v>
      </c>
      <c r="H58" s="12">
        <f>SUM(H61,H67)</f>
        <v>0</v>
      </c>
    </row>
    <row r="59" spans="1:8" s="5" customFormat="1" ht="18.75">
      <c r="A59" s="3"/>
      <c r="B59" s="3"/>
      <c r="C59" s="4"/>
      <c r="D59" s="4"/>
      <c r="E59" s="4"/>
      <c r="F59" s="4"/>
      <c r="G59" s="3" t="s">
        <v>113</v>
      </c>
      <c r="H59" s="4"/>
    </row>
    <row r="60" spans="1:8" ht="30">
      <c r="A60" s="43" t="s">
        <v>10</v>
      </c>
      <c r="B60" s="43"/>
      <c r="C60" s="43" t="s">
        <v>10</v>
      </c>
      <c r="D60" s="43" t="s">
        <v>12</v>
      </c>
      <c r="E60" s="43"/>
      <c r="F60" s="43" t="s">
        <v>13</v>
      </c>
      <c r="G60" s="99" t="s">
        <v>114</v>
      </c>
      <c r="H60" s="43"/>
    </row>
    <row r="61" spans="1:8" s="9" customFormat="1" ht="45" customHeight="1">
      <c r="A61" s="9" t="s">
        <v>11</v>
      </c>
      <c r="C61" s="9" t="s">
        <v>10</v>
      </c>
      <c r="D61" s="9" t="s">
        <v>91</v>
      </c>
      <c r="F61" s="10" t="s">
        <v>115</v>
      </c>
      <c r="G61" s="11" t="s">
        <v>116</v>
      </c>
      <c r="H61" s="12">
        <f>(H62*H63)/(1-H64)</f>
        <v>0</v>
      </c>
    </row>
    <row r="62" spans="1:8" ht="35.1" customHeight="1">
      <c r="A62" s="6" t="s">
        <v>10</v>
      </c>
      <c r="C62" s="6" t="s">
        <v>10</v>
      </c>
      <c r="D62" s="6" t="s">
        <v>104</v>
      </c>
      <c r="F62" s="196" t="s">
        <v>117</v>
      </c>
      <c r="G62" s="7" t="s">
        <v>118</v>
      </c>
      <c r="H62" s="18"/>
    </row>
    <row r="63" spans="1:8" ht="35.1" customHeight="1">
      <c r="A63" s="6" t="s">
        <v>10</v>
      </c>
      <c r="C63" s="6" t="s">
        <v>10</v>
      </c>
      <c r="D63" s="6" t="s">
        <v>104</v>
      </c>
      <c r="F63" s="196" t="s">
        <v>124</v>
      </c>
      <c r="G63" s="7" t="s">
        <v>120</v>
      </c>
      <c r="H63" s="18"/>
    </row>
    <row r="64" spans="1:8" ht="62.1" customHeight="1">
      <c r="A64" s="6" t="s">
        <v>10</v>
      </c>
      <c r="C64" s="6" t="s">
        <v>10</v>
      </c>
      <c r="D64" s="6" t="s">
        <v>104</v>
      </c>
      <c r="F64" s="17" t="s">
        <v>121</v>
      </c>
      <c r="G64" s="7" t="s">
        <v>122</v>
      </c>
      <c r="H64" s="18"/>
    </row>
    <row r="65" spans="1:8" s="5" customFormat="1" ht="18.75">
      <c r="A65" s="3"/>
      <c r="B65" s="3"/>
      <c r="C65" s="4"/>
      <c r="D65" s="4"/>
      <c r="E65" s="4"/>
      <c r="F65" s="4"/>
      <c r="G65" s="3" t="s">
        <v>113</v>
      </c>
      <c r="H65" s="4"/>
    </row>
    <row r="66" spans="1:8" ht="30">
      <c r="A66" s="43" t="s">
        <v>10</v>
      </c>
      <c r="B66" s="43"/>
      <c r="C66" s="43" t="s">
        <v>10</v>
      </c>
      <c r="D66" s="43" t="s">
        <v>12</v>
      </c>
      <c r="E66" s="43"/>
      <c r="F66" s="43" t="s">
        <v>13</v>
      </c>
      <c r="G66" s="99" t="s">
        <v>114</v>
      </c>
      <c r="H66" s="43"/>
    </row>
    <row r="67" spans="1:8" s="9" customFormat="1" ht="45" customHeight="1">
      <c r="A67" s="9" t="s">
        <v>11</v>
      </c>
      <c r="C67" s="9" t="s">
        <v>10</v>
      </c>
      <c r="D67" s="9" t="s">
        <v>91</v>
      </c>
      <c r="F67" s="10" t="s">
        <v>115</v>
      </c>
      <c r="G67" s="11" t="s">
        <v>116</v>
      </c>
      <c r="H67" s="12">
        <f>(H68*H69)/(1-H70)</f>
        <v>0</v>
      </c>
    </row>
    <row r="68" spans="1:8" ht="35.1" customHeight="1">
      <c r="A68" s="6" t="s">
        <v>10</v>
      </c>
      <c r="C68" s="6" t="s">
        <v>10</v>
      </c>
      <c r="D68" s="6" t="s">
        <v>104</v>
      </c>
      <c r="F68" s="196" t="s">
        <v>117</v>
      </c>
      <c r="G68" s="7" t="s">
        <v>118</v>
      </c>
      <c r="H68" s="18"/>
    </row>
    <row r="69" spans="1:8" ht="35.1" customHeight="1">
      <c r="A69" s="6" t="s">
        <v>10</v>
      </c>
      <c r="C69" s="6" t="s">
        <v>10</v>
      </c>
      <c r="D69" s="6" t="s">
        <v>104</v>
      </c>
      <c r="F69" s="196" t="s">
        <v>119</v>
      </c>
      <c r="G69" s="7" t="s">
        <v>120</v>
      </c>
      <c r="H69" s="18"/>
    </row>
    <row r="70" spans="1:8" ht="62.1" customHeight="1">
      <c r="A70" s="6" t="s">
        <v>10</v>
      </c>
      <c r="C70" s="6" t="s">
        <v>10</v>
      </c>
      <c r="D70" s="6" t="s">
        <v>104</v>
      </c>
      <c r="F70" s="17" t="s">
        <v>121</v>
      </c>
      <c r="G70" s="7" t="s">
        <v>122</v>
      </c>
      <c r="H70" s="18"/>
    </row>
    <row r="71" spans="1:8" s="5" customFormat="1" ht="18.75">
      <c r="A71" s="3"/>
      <c r="B71" s="3"/>
      <c r="C71" s="4"/>
      <c r="D71" s="4"/>
      <c r="E71" s="4"/>
      <c r="F71" s="4"/>
      <c r="G71" s="3" t="s">
        <v>125</v>
      </c>
      <c r="H71" s="4"/>
    </row>
    <row r="72" spans="1:8" s="9" customFormat="1" ht="23.1" customHeight="1">
      <c r="A72" s="9" t="s">
        <v>11</v>
      </c>
      <c r="C72" s="9" t="s">
        <v>96</v>
      </c>
      <c r="D72" s="9" t="s">
        <v>91</v>
      </c>
      <c r="F72" s="194" t="s">
        <v>92</v>
      </c>
      <c r="G72" s="11" t="s">
        <v>93</v>
      </c>
      <c r="H72" s="12" t="e">
        <f>H74*H76</f>
        <v>#VALUE!</v>
      </c>
    </row>
    <row r="73" spans="1:8" s="13" customFormat="1" ht="39" customHeight="1">
      <c r="A73" s="13" t="s">
        <v>10</v>
      </c>
      <c r="C73" s="13" t="s">
        <v>98</v>
      </c>
      <c r="D73" s="13" t="s">
        <v>83</v>
      </c>
      <c r="F73" s="192" t="s">
        <v>13</v>
      </c>
      <c r="G73" s="14" t="s">
        <v>126</v>
      </c>
      <c r="H73" s="15" t="s">
        <v>100</v>
      </c>
    </row>
    <row r="74" spans="1:8" s="9" customFormat="1" ht="38.1" customHeight="1">
      <c r="A74" s="9" t="s">
        <v>11</v>
      </c>
      <c r="C74" s="9" t="s">
        <v>96</v>
      </c>
      <c r="D74" s="9" t="s">
        <v>91</v>
      </c>
      <c r="F74" s="195" t="s">
        <v>101</v>
      </c>
      <c r="G74" s="11" t="s">
        <v>102</v>
      </c>
      <c r="H74" s="12" t="s">
        <v>127</v>
      </c>
    </row>
    <row r="75" spans="1:8" ht="23.1" customHeight="1">
      <c r="A75" s="6" t="s">
        <v>98</v>
      </c>
      <c r="C75" s="6" t="s">
        <v>96</v>
      </c>
      <c r="D75" s="6" t="s">
        <v>104</v>
      </c>
      <c r="F75" s="197" t="s">
        <v>105</v>
      </c>
      <c r="G75" s="7" t="s">
        <v>106</v>
      </c>
      <c r="H75" s="18"/>
    </row>
    <row r="76" spans="1:8" ht="23.1" customHeight="1">
      <c r="A76" s="6" t="s">
        <v>10</v>
      </c>
      <c r="C76" s="6" t="s">
        <v>96</v>
      </c>
      <c r="D76" s="6" t="s">
        <v>104</v>
      </c>
      <c r="F76" s="196" t="s">
        <v>107</v>
      </c>
      <c r="G76" s="7" t="s">
        <v>108</v>
      </c>
      <c r="H76" s="18"/>
    </row>
    <row r="77" spans="1:8" s="5" customFormat="1" ht="18.75">
      <c r="A77" s="3"/>
      <c r="B77" s="3"/>
      <c r="C77" s="4"/>
      <c r="D77" s="4"/>
      <c r="E77" s="4"/>
      <c r="F77" s="4"/>
      <c r="G77" s="3" t="s">
        <v>109</v>
      </c>
      <c r="H77" s="4"/>
    </row>
    <row r="78" spans="1:8">
      <c r="A78" s="43" t="s">
        <v>10</v>
      </c>
      <c r="B78" s="43"/>
      <c r="C78" s="43" t="s">
        <v>10</v>
      </c>
      <c r="D78" s="43" t="s">
        <v>12</v>
      </c>
      <c r="E78" s="43"/>
      <c r="F78" s="43" t="s">
        <v>13</v>
      </c>
      <c r="G78" s="43" t="s">
        <v>110</v>
      </c>
      <c r="H78" s="43"/>
    </row>
    <row r="79" spans="1:8" s="9" customFormat="1" ht="45" customHeight="1">
      <c r="A79" s="9" t="s">
        <v>11</v>
      </c>
      <c r="C79" s="9" t="s">
        <v>10</v>
      </c>
      <c r="D79" s="9" t="s">
        <v>91</v>
      </c>
      <c r="F79" s="10" t="s">
        <v>111</v>
      </c>
      <c r="G79" s="11" t="s">
        <v>112</v>
      </c>
      <c r="H79" s="12">
        <f>H80/(1-H81)</f>
        <v>0</v>
      </c>
    </row>
    <row r="80" spans="1:8" ht="35.1" customHeight="1">
      <c r="A80" s="6" t="s">
        <v>10</v>
      </c>
      <c r="C80" s="6" t="s">
        <v>10</v>
      </c>
      <c r="D80" s="6" t="s">
        <v>104</v>
      </c>
      <c r="F80" s="197" t="s">
        <v>128</v>
      </c>
      <c r="G80" s="7" t="s">
        <v>129</v>
      </c>
      <c r="H80" s="18"/>
    </row>
    <row r="81" spans="1:9" ht="62.1" customHeight="1">
      <c r="A81" s="6" t="s">
        <v>10</v>
      </c>
      <c r="C81" s="6" t="s">
        <v>10</v>
      </c>
      <c r="D81" s="6" t="s">
        <v>104</v>
      </c>
      <c r="F81" s="17" t="s">
        <v>121</v>
      </c>
      <c r="G81" s="7" t="s">
        <v>122</v>
      </c>
      <c r="H81" s="18"/>
    </row>
    <row r="82" spans="1:9" s="5" customFormat="1" ht="18.75">
      <c r="A82" s="3"/>
      <c r="B82" s="3"/>
      <c r="C82" s="4"/>
      <c r="D82" s="4"/>
      <c r="E82" s="4"/>
      <c r="F82" s="4"/>
      <c r="G82" s="3" t="s">
        <v>109</v>
      </c>
      <c r="H82" s="4"/>
    </row>
    <row r="83" spans="1:9">
      <c r="A83" s="43" t="s">
        <v>10</v>
      </c>
      <c r="B83" s="43"/>
      <c r="C83" s="43" t="s">
        <v>10</v>
      </c>
      <c r="D83" s="43" t="s">
        <v>12</v>
      </c>
      <c r="E83" s="43"/>
      <c r="F83" s="43" t="s">
        <v>13</v>
      </c>
      <c r="G83" s="43" t="s">
        <v>110</v>
      </c>
      <c r="H83" s="43"/>
    </row>
    <row r="84" spans="1:9" s="9" customFormat="1" ht="45" customHeight="1">
      <c r="A84" s="9" t="s">
        <v>11</v>
      </c>
      <c r="C84" s="9" t="s">
        <v>10</v>
      </c>
      <c r="D84" s="9" t="s">
        <v>91</v>
      </c>
      <c r="F84" s="10" t="s">
        <v>111</v>
      </c>
      <c r="G84" s="11" t="s">
        <v>112</v>
      </c>
      <c r="H84" s="12">
        <f>H85/(1-H86)</f>
        <v>0</v>
      </c>
    </row>
    <row r="85" spans="1:9" ht="35.1" customHeight="1">
      <c r="A85" s="6" t="s">
        <v>10</v>
      </c>
      <c r="C85" s="6" t="s">
        <v>10</v>
      </c>
      <c r="D85" s="6" t="s">
        <v>104</v>
      </c>
      <c r="F85" s="197" t="s">
        <v>128</v>
      </c>
      <c r="G85" s="7" t="s">
        <v>129</v>
      </c>
      <c r="H85" s="18"/>
    </row>
    <row r="86" spans="1:9" ht="62.1" customHeight="1">
      <c r="A86" s="6" t="s">
        <v>10</v>
      </c>
      <c r="C86" s="6" t="s">
        <v>10</v>
      </c>
      <c r="D86" s="6" t="s">
        <v>104</v>
      </c>
      <c r="F86" s="17" t="s">
        <v>121</v>
      </c>
      <c r="G86" s="7" t="s">
        <v>122</v>
      </c>
      <c r="H86" s="18"/>
    </row>
    <row r="87" spans="1:9" s="5" customFormat="1" ht="18.75">
      <c r="A87" s="3"/>
      <c r="B87" s="3"/>
      <c r="C87" s="4"/>
      <c r="D87" s="4"/>
      <c r="E87" s="4"/>
      <c r="F87" s="4"/>
      <c r="G87" s="3" t="s">
        <v>130</v>
      </c>
      <c r="H87" s="4"/>
    </row>
    <row r="88" spans="1:9" s="9" customFormat="1" ht="27.95" customHeight="1">
      <c r="A88" s="9" t="s">
        <v>11</v>
      </c>
      <c r="C88" s="9" t="s">
        <v>96</v>
      </c>
      <c r="D88" s="9" t="s">
        <v>91</v>
      </c>
      <c r="F88" s="10" t="s">
        <v>131</v>
      </c>
      <c r="G88" s="11" t="s">
        <v>93</v>
      </c>
      <c r="H88" s="12">
        <f>SUM(H92,H98)</f>
        <v>0</v>
      </c>
    </row>
    <row r="89" spans="1:9" s="13" customFormat="1" ht="51.95" customHeight="1">
      <c r="A89" s="13" t="s">
        <v>10</v>
      </c>
      <c r="C89" s="13" t="s">
        <v>11</v>
      </c>
      <c r="D89" s="13" t="s">
        <v>83</v>
      </c>
      <c r="F89" s="13" t="s">
        <v>13</v>
      </c>
      <c r="G89" s="14" t="s">
        <v>132</v>
      </c>
      <c r="H89" s="15" t="s">
        <v>10</v>
      </c>
      <c r="I89" s="13" t="s">
        <v>133</v>
      </c>
    </row>
    <row r="90" spans="1:9" s="5" customFormat="1" ht="18.75">
      <c r="A90" s="3"/>
      <c r="B90" s="3"/>
      <c r="C90" s="4"/>
      <c r="D90" s="4"/>
      <c r="E90" s="4"/>
      <c r="F90" s="4"/>
      <c r="G90" s="3" t="s">
        <v>134</v>
      </c>
      <c r="H90" s="4"/>
    </row>
    <row r="91" spans="1:9">
      <c r="A91" s="43" t="s">
        <v>10</v>
      </c>
      <c r="B91" s="43"/>
      <c r="C91" s="43" t="s">
        <v>10</v>
      </c>
      <c r="D91" s="43" t="s">
        <v>12</v>
      </c>
      <c r="E91" s="43"/>
      <c r="F91" s="43" t="s">
        <v>13</v>
      </c>
      <c r="G91" s="43" t="s">
        <v>135</v>
      </c>
      <c r="H91" s="43"/>
    </row>
    <row r="92" spans="1:9" s="9" customFormat="1" ht="32.1" customHeight="1">
      <c r="A92" s="9" t="s">
        <v>11</v>
      </c>
      <c r="C92" s="9" t="s">
        <v>10</v>
      </c>
      <c r="D92" s="9" t="s">
        <v>91</v>
      </c>
      <c r="F92" s="10" t="s">
        <v>136</v>
      </c>
      <c r="G92" s="11" t="s">
        <v>137</v>
      </c>
      <c r="H92" s="12">
        <f>H93*H94*H95</f>
        <v>0</v>
      </c>
    </row>
    <row r="93" spans="1:9" ht="32.1" customHeight="1">
      <c r="A93" s="6" t="s">
        <v>10</v>
      </c>
      <c r="C93" s="6" t="s">
        <v>10</v>
      </c>
      <c r="D93" s="6" t="s">
        <v>104</v>
      </c>
      <c r="F93" s="197" t="s">
        <v>138</v>
      </c>
      <c r="G93" s="7" t="s">
        <v>139</v>
      </c>
      <c r="H93" s="18"/>
    </row>
    <row r="94" spans="1:9" ht="18.95" customHeight="1">
      <c r="A94" s="6" t="s">
        <v>10</v>
      </c>
      <c r="C94" s="6" t="s">
        <v>10</v>
      </c>
      <c r="D94" s="6" t="s">
        <v>104</v>
      </c>
      <c r="F94" s="17" t="s">
        <v>140</v>
      </c>
      <c r="G94" s="7" t="s">
        <v>141</v>
      </c>
      <c r="H94" s="18"/>
    </row>
    <row r="95" spans="1:9" ht="20.100000000000001" customHeight="1">
      <c r="A95" s="6" t="s">
        <v>10</v>
      </c>
      <c r="C95" s="6" t="s">
        <v>10</v>
      </c>
      <c r="D95" s="6" t="s">
        <v>104</v>
      </c>
      <c r="F95" s="197" t="s">
        <v>142</v>
      </c>
      <c r="G95" s="7" t="s">
        <v>143</v>
      </c>
      <c r="H95" s="18"/>
    </row>
    <row r="96" spans="1:9" s="5" customFormat="1" ht="18.75">
      <c r="A96" s="3"/>
      <c r="B96" s="3"/>
      <c r="C96" s="4"/>
      <c r="D96" s="4"/>
      <c r="E96" s="4"/>
      <c r="F96" s="4"/>
      <c r="G96" s="3" t="s">
        <v>134</v>
      </c>
      <c r="H96" s="4"/>
    </row>
    <row r="97" spans="1:8">
      <c r="A97" s="43" t="s">
        <v>10</v>
      </c>
      <c r="B97" s="43"/>
      <c r="C97" s="43" t="s">
        <v>10</v>
      </c>
      <c r="D97" s="43" t="s">
        <v>12</v>
      </c>
      <c r="E97" s="43"/>
      <c r="F97" s="43" t="s">
        <v>13</v>
      </c>
      <c r="G97" s="43" t="s">
        <v>135</v>
      </c>
      <c r="H97" s="43"/>
    </row>
    <row r="98" spans="1:8" s="9" customFormat="1" ht="32.1" customHeight="1">
      <c r="A98" s="9" t="s">
        <v>11</v>
      </c>
      <c r="C98" s="9" t="s">
        <v>10</v>
      </c>
      <c r="D98" s="9" t="s">
        <v>91</v>
      </c>
      <c r="F98" s="10" t="s">
        <v>136</v>
      </c>
      <c r="G98" s="11" t="s">
        <v>137</v>
      </c>
      <c r="H98" s="12">
        <f>H99*H100*H101</f>
        <v>0</v>
      </c>
    </row>
    <row r="99" spans="1:8" ht="32.1" customHeight="1">
      <c r="A99" s="6" t="s">
        <v>10</v>
      </c>
      <c r="C99" s="6" t="s">
        <v>10</v>
      </c>
      <c r="D99" s="6" t="s">
        <v>104</v>
      </c>
      <c r="F99" s="197" t="s">
        <v>138</v>
      </c>
      <c r="G99" s="7" t="s">
        <v>139</v>
      </c>
      <c r="H99" s="18"/>
    </row>
    <row r="100" spans="1:8" ht="18.95" customHeight="1">
      <c r="A100" s="6" t="s">
        <v>10</v>
      </c>
      <c r="C100" s="6" t="s">
        <v>10</v>
      </c>
      <c r="D100" s="6" t="s">
        <v>104</v>
      </c>
      <c r="F100" s="197" t="s">
        <v>144</v>
      </c>
      <c r="G100" s="7" t="s">
        <v>141</v>
      </c>
      <c r="H100" s="18"/>
    </row>
    <row r="101" spans="1:8" ht="20.100000000000001" customHeight="1">
      <c r="A101" s="6" t="s">
        <v>10</v>
      </c>
      <c r="C101" s="6" t="s">
        <v>10</v>
      </c>
      <c r="D101" s="6" t="s">
        <v>104</v>
      </c>
      <c r="F101" s="197" t="s">
        <v>142</v>
      </c>
      <c r="G101" s="7" t="s">
        <v>143</v>
      </c>
      <c r="H101" s="18"/>
    </row>
    <row r="102" spans="1:8" s="5" customFormat="1" ht="18.75">
      <c r="A102" s="3"/>
      <c r="B102" s="3"/>
      <c r="C102" s="4"/>
      <c r="D102" s="4"/>
      <c r="E102" s="4"/>
      <c r="F102" s="4"/>
      <c r="G102" s="3" t="s">
        <v>145</v>
      </c>
      <c r="H102" s="4"/>
    </row>
    <row r="103" spans="1:8" s="9" customFormat="1" ht="53.1" customHeight="1">
      <c r="A103" s="9" t="s">
        <v>96</v>
      </c>
      <c r="C103" s="9" t="s">
        <v>11</v>
      </c>
      <c r="D103" s="9" t="s">
        <v>91</v>
      </c>
      <c r="E103" s="191"/>
      <c r="F103" s="10" t="s">
        <v>146</v>
      </c>
      <c r="G103" s="11" t="s">
        <v>147</v>
      </c>
      <c r="H103" s="12" t="s">
        <v>148</v>
      </c>
    </row>
    <row r="104" spans="1:8" s="5" customFormat="1" ht="18.75">
      <c r="A104" s="3"/>
      <c r="B104" s="3"/>
      <c r="C104" s="4"/>
      <c r="D104" s="4"/>
      <c r="E104" s="4"/>
      <c r="F104" s="4"/>
      <c r="G104" s="3" t="s">
        <v>149</v>
      </c>
      <c r="H104" s="4"/>
    </row>
    <row r="105" spans="1:8" s="9" customFormat="1" ht="36.950000000000003" customHeight="1">
      <c r="A105" s="9" t="s">
        <v>96</v>
      </c>
      <c r="C105" s="9" t="s">
        <v>10</v>
      </c>
      <c r="D105" s="9" t="s">
        <v>104</v>
      </c>
      <c r="F105" s="10" t="s">
        <v>146</v>
      </c>
      <c r="G105" s="11" t="s">
        <v>147</v>
      </c>
      <c r="H105" s="12" t="e">
        <f>'ACM0002 Geothermal &amp; Hydro'!G3+SUM(H107:H111)</f>
        <v>#REF!</v>
      </c>
    </row>
    <row r="106" spans="1:8" s="45" customFormat="1">
      <c r="A106" s="45" t="s">
        <v>10</v>
      </c>
      <c r="C106" s="45" t="s">
        <v>11</v>
      </c>
      <c r="D106" s="45" t="s">
        <v>83</v>
      </c>
      <c r="F106" s="45" t="s">
        <v>13</v>
      </c>
      <c r="G106" s="46" t="s">
        <v>150</v>
      </c>
      <c r="H106" s="100" t="s">
        <v>10</v>
      </c>
    </row>
    <row r="107" spans="1:8" s="9" customFormat="1" ht="46.5">
      <c r="A107" s="9" t="s">
        <v>96</v>
      </c>
      <c r="C107" s="9" t="s">
        <v>96</v>
      </c>
      <c r="D107" s="9" t="s">
        <v>91</v>
      </c>
      <c r="F107" s="10" t="s">
        <v>151</v>
      </c>
      <c r="G107" s="11" t="s">
        <v>152</v>
      </c>
      <c r="H107" s="16" t="e">
        <f>IF(AND(H106="Yes"),#REF!)</f>
        <v>#REF!</v>
      </c>
    </row>
    <row r="108" spans="1:8" s="9" customFormat="1" ht="31.5">
      <c r="A108" s="9" t="s">
        <v>96</v>
      </c>
      <c r="C108" s="9" t="s">
        <v>96</v>
      </c>
      <c r="D108" s="9" t="s">
        <v>91</v>
      </c>
      <c r="F108" s="10" t="s">
        <v>153</v>
      </c>
      <c r="G108" s="11" t="s">
        <v>154</v>
      </c>
      <c r="H108" s="16" t="e">
        <f>IF(AND(H106="Yes"),#REF!)</f>
        <v>#REF!</v>
      </c>
    </row>
    <row r="109" spans="1:8" s="9" customFormat="1" ht="18.75">
      <c r="A109" s="9" t="s">
        <v>96</v>
      </c>
      <c r="C109" s="9" t="s">
        <v>96</v>
      </c>
      <c r="D109" s="9" t="s">
        <v>91</v>
      </c>
      <c r="F109" s="10" t="s">
        <v>155</v>
      </c>
      <c r="G109" s="11" t="s">
        <v>156</v>
      </c>
      <c r="H109" s="16" t="e">
        <f>IF(AND(H106="Yes"),#REF!)</f>
        <v>#REF!</v>
      </c>
    </row>
    <row r="110" spans="1:8" s="9" customFormat="1" ht="31.5">
      <c r="A110" s="9" t="s">
        <v>96</v>
      </c>
      <c r="C110" s="9" t="s">
        <v>96</v>
      </c>
      <c r="D110" s="9" t="s">
        <v>91</v>
      </c>
      <c r="F110" s="10" t="s">
        <v>157</v>
      </c>
      <c r="G110" s="11" t="s">
        <v>158</v>
      </c>
      <c r="H110" s="16" t="e">
        <f>IF(AND(H106="Yes"),#REF!)</f>
        <v>#REF!</v>
      </c>
    </row>
    <row r="111" spans="1:8" s="9" customFormat="1" ht="31.5">
      <c r="A111" s="9" t="s">
        <v>96</v>
      </c>
      <c r="C111" s="9" t="s">
        <v>96</v>
      </c>
      <c r="D111" s="9" t="s">
        <v>91</v>
      </c>
      <c r="F111" s="10" t="s">
        <v>159</v>
      </c>
      <c r="G111" s="11" t="s">
        <v>160</v>
      </c>
      <c r="H111" s="16" t="e">
        <f>IF(AND(H106="Yes"),#REF!)</f>
        <v>#REF!</v>
      </c>
    </row>
    <row r="112" spans="1:8" s="5" customFormat="1" ht="18.75">
      <c r="A112" s="3"/>
      <c r="B112" s="3"/>
      <c r="C112" s="4"/>
      <c r="D112" s="4"/>
      <c r="E112" s="4"/>
      <c r="F112" s="4"/>
      <c r="G112" s="3" t="s">
        <v>161</v>
      </c>
      <c r="H112" s="4"/>
    </row>
    <row r="113" spans="1:8" s="9" customFormat="1" ht="36.950000000000003" customHeight="1">
      <c r="A113" s="9" t="s">
        <v>11</v>
      </c>
      <c r="C113" s="9" t="s">
        <v>10</v>
      </c>
      <c r="D113" s="9" t="s">
        <v>91</v>
      </c>
      <c r="F113" s="10" t="s">
        <v>146</v>
      </c>
      <c r="G113" s="11" t="s">
        <v>147</v>
      </c>
      <c r="H113" s="12">
        <f>'ACM0002 Geothermal &amp; Hydro'!G21 + SUM(H115:H119)</f>
        <v>500</v>
      </c>
    </row>
    <row r="114" spans="1:8" s="45" customFormat="1">
      <c r="A114" s="45" t="s">
        <v>10</v>
      </c>
      <c r="C114" s="45" t="s">
        <v>11</v>
      </c>
      <c r="D114" s="45" t="s">
        <v>83</v>
      </c>
      <c r="F114" s="45" t="s">
        <v>13</v>
      </c>
      <c r="G114" s="46" t="s">
        <v>150</v>
      </c>
      <c r="H114" s="100" t="s">
        <v>11</v>
      </c>
    </row>
    <row r="115" spans="1:8" s="9" customFormat="1" ht="46.5">
      <c r="A115" s="9" t="s">
        <v>96</v>
      </c>
      <c r="C115" s="9" t="s">
        <v>96</v>
      </c>
      <c r="D115" s="9" t="s">
        <v>91</v>
      </c>
      <c r="F115" s="10" t="s">
        <v>151</v>
      </c>
      <c r="G115" s="11" t="s">
        <v>152</v>
      </c>
      <c r="H115" s="16" t="b">
        <f>IF(AND(H114="Yes"),#REF!)</f>
        <v>0</v>
      </c>
    </row>
    <row r="116" spans="1:8" s="9" customFormat="1" ht="31.5">
      <c r="A116" s="9" t="s">
        <v>96</v>
      </c>
      <c r="C116" s="9" t="s">
        <v>96</v>
      </c>
      <c r="D116" s="9" t="s">
        <v>91</v>
      </c>
      <c r="F116" s="10" t="s">
        <v>153</v>
      </c>
      <c r="G116" s="11" t="s">
        <v>154</v>
      </c>
      <c r="H116" s="16" t="b">
        <f>IF(AND(H114="Yes"),#REF!)</f>
        <v>0</v>
      </c>
    </row>
    <row r="117" spans="1:8" s="9" customFormat="1" ht="18.75">
      <c r="A117" s="9" t="s">
        <v>96</v>
      </c>
      <c r="C117" s="9" t="s">
        <v>96</v>
      </c>
      <c r="D117" s="9" t="s">
        <v>91</v>
      </c>
      <c r="F117" s="10" t="s">
        <v>155</v>
      </c>
      <c r="G117" s="11" t="s">
        <v>156</v>
      </c>
      <c r="H117" s="16" t="b">
        <f>IF(AND(H114="Yes"),#REF!)</f>
        <v>0</v>
      </c>
    </row>
    <row r="118" spans="1:8" s="9" customFormat="1" ht="31.5">
      <c r="A118" s="9" t="s">
        <v>96</v>
      </c>
      <c r="C118" s="9" t="s">
        <v>96</v>
      </c>
      <c r="D118" s="9" t="s">
        <v>91</v>
      </c>
      <c r="F118" s="10" t="s">
        <v>157</v>
      </c>
      <c r="G118" s="11" t="s">
        <v>158</v>
      </c>
      <c r="H118" s="16" t="b">
        <f>IF(AND(H114="Yes"),#REF!)</f>
        <v>0</v>
      </c>
    </row>
    <row r="119" spans="1:8" s="9" customFormat="1" ht="31.5">
      <c r="A119" s="9" t="s">
        <v>96</v>
      </c>
      <c r="C119" s="9" t="s">
        <v>96</v>
      </c>
      <c r="D119" s="9" t="s">
        <v>91</v>
      </c>
      <c r="F119" s="10" t="s">
        <v>159</v>
      </c>
      <c r="G119" s="11" t="s">
        <v>160</v>
      </c>
      <c r="H119" s="16" t="b">
        <f>IF(AND(H114="Yes"),#REF!)</f>
        <v>0</v>
      </c>
    </row>
    <row r="120" spans="1:8" s="5" customFormat="1" ht="18.75">
      <c r="A120" s="3"/>
      <c r="B120" s="3"/>
      <c r="C120" s="4"/>
      <c r="D120" s="4"/>
      <c r="E120" s="4"/>
      <c r="F120" s="4"/>
      <c r="G120" s="3" t="s">
        <v>162</v>
      </c>
      <c r="H120" s="4"/>
    </row>
    <row r="121" spans="1:8" s="9" customFormat="1" ht="36.950000000000003" customHeight="1">
      <c r="A121" s="9" t="s">
        <v>11</v>
      </c>
      <c r="C121" s="9" t="s">
        <v>11</v>
      </c>
      <c r="D121" s="9" t="s">
        <v>91</v>
      </c>
      <c r="F121" s="10" t="s">
        <v>146</v>
      </c>
      <c r="G121" s="11" t="s">
        <v>147</v>
      </c>
      <c r="H121" s="12">
        <v>0</v>
      </c>
    </row>
    <row r="122" spans="1:8" s="5" customFormat="1" ht="18.75">
      <c r="A122" s="3"/>
      <c r="B122" s="3"/>
      <c r="C122" s="4"/>
      <c r="D122" s="4"/>
      <c r="E122" s="4"/>
      <c r="F122" s="4"/>
      <c r="G122" s="3" t="s">
        <v>163</v>
      </c>
      <c r="H122" s="4"/>
    </row>
    <row r="123" spans="1:8" s="9" customFormat="1" ht="51.95" customHeight="1">
      <c r="A123" s="9" t="s">
        <v>96</v>
      </c>
      <c r="C123" s="9" t="s">
        <v>11</v>
      </c>
      <c r="D123" s="9" t="s">
        <v>91</v>
      </c>
      <c r="F123" s="10" t="s">
        <v>164</v>
      </c>
      <c r="G123" s="11" t="s">
        <v>165</v>
      </c>
      <c r="H123" s="12" t="s">
        <v>166</v>
      </c>
    </row>
    <row r="124" spans="1:8" s="5" customFormat="1" ht="18.75">
      <c r="A124" s="3"/>
      <c r="B124" s="3"/>
      <c r="C124" s="4"/>
      <c r="D124" s="4"/>
      <c r="E124" s="4"/>
      <c r="F124" s="4"/>
      <c r="G124" s="3" t="s">
        <v>167</v>
      </c>
      <c r="H124" s="4"/>
    </row>
    <row r="125" spans="1:8" ht="18.75">
      <c r="A125" s="6" t="s">
        <v>96</v>
      </c>
      <c r="C125" s="6" t="s">
        <v>10</v>
      </c>
      <c r="D125" s="6" t="s">
        <v>104</v>
      </c>
      <c r="F125" s="17" t="s">
        <v>164</v>
      </c>
      <c r="G125" s="7" t="s">
        <v>165</v>
      </c>
      <c r="H125" s="8"/>
    </row>
    <row r="126" spans="1:8" s="5" customFormat="1" ht="18.75">
      <c r="A126" s="3"/>
      <c r="B126" s="3"/>
      <c r="C126" s="4"/>
      <c r="D126" s="4"/>
      <c r="E126" s="4"/>
      <c r="F126" s="4"/>
      <c r="G126" s="3" t="s">
        <v>168</v>
      </c>
      <c r="H126" s="4"/>
    </row>
    <row r="127" spans="1:8" s="9" customFormat="1" ht="18.75">
      <c r="A127" s="9" t="s">
        <v>11</v>
      </c>
      <c r="C127" s="9" t="s">
        <v>10</v>
      </c>
      <c r="D127" s="9" t="s">
        <v>91</v>
      </c>
      <c r="F127" s="10" t="s">
        <v>164</v>
      </c>
      <c r="G127" s="11" t="s">
        <v>165</v>
      </c>
      <c r="H127" s="16" t="e" cm="1">
        <f t="array" aca="1" ref="H127" ca="1">IF(AND(H106 _xludf.or H114="Yes"),'[1]Biomass Emissions Summary Tab '!B34)</f>
        <v>#NAME?</v>
      </c>
    </row>
    <row r="128" spans="1:8" s="5" customFormat="1" ht="18.75">
      <c r="A128" s="3"/>
      <c r="B128" s="3"/>
      <c r="C128" s="4"/>
      <c r="D128" s="4"/>
      <c r="E128" s="4"/>
      <c r="F128" s="4"/>
      <c r="G128" s="3" t="s">
        <v>169</v>
      </c>
      <c r="H128" s="4"/>
    </row>
    <row r="129" spans="1:8" s="9" customFormat="1" ht="18.75">
      <c r="A129" s="9" t="s">
        <v>11</v>
      </c>
      <c r="C129" s="9" t="s">
        <v>11</v>
      </c>
      <c r="D129" s="9" t="s">
        <v>91</v>
      </c>
      <c r="F129" s="10" t="s">
        <v>164</v>
      </c>
      <c r="G129" s="11" t="s">
        <v>165</v>
      </c>
      <c r="H129" s="16">
        <v>0</v>
      </c>
    </row>
    <row r="130" spans="1:8" s="5" customFormat="1" ht="18.75">
      <c r="A130" s="3"/>
      <c r="B130" s="3"/>
      <c r="C130" s="4"/>
      <c r="D130" s="4"/>
      <c r="E130" s="4"/>
      <c r="F130" s="4"/>
      <c r="G130" s="3" t="s">
        <v>170</v>
      </c>
      <c r="H130" s="4"/>
    </row>
    <row r="131" spans="1:8" s="9" customFormat="1" ht="18.75">
      <c r="A131" s="9" t="s">
        <v>11</v>
      </c>
      <c r="C131" s="9" t="s">
        <v>10</v>
      </c>
      <c r="D131" s="9" t="s">
        <v>91</v>
      </c>
      <c r="E131" s="191" t="s">
        <v>171</v>
      </c>
      <c r="F131" s="10" t="s">
        <v>172</v>
      </c>
      <c r="G131" s="11" t="s">
        <v>173</v>
      </c>
      <c r="H131" s="16" t="e">
        <f>H132-H133-H134</f>
        <v>#VALUE!</v>
      </c>
    </row>
    <row r="132" spans="1:8" s="9" customFormat="1" ht="18.75">
      <c r="A132" s="9" t="s">
        <v>11</v>
      </c>
      <c r="C132" s="9" t="s">
        <v>10</v>
      </c>
      <c r="D132" s="9" t="s">
        <v>91</v>
      </c>
      <c r="E132" s="191" t="s">
        <v>174</v>
      </c>
      <c r="F132" s="10" t="s">
        <v>175</v>
      </c>
      <c r="G132" s="11" t="s">
        <v>176</v>
      </c>
      <c r="H132" s="16" t="str">
        <f>H34</f>
        <v xml:space="preserve">If baseline emissions are based on electricity consumption of the households/user then use fiel H36 in "AMS-I.A." schema, if based on the annual electricity generation by the project activity then use field H72 in "AMS-I.A." schema, if based on a trend-adjusted projection of historical fuel consumption then use field H84 in "AMS-I.A." scheema </v>
      </c>
    </row>
    <row r="133" spans="1:8" s="9" customFormat="1" ht="18.75">
      <c r="A133" s="9" t="s">
        <v>11</v>
      </c>
      <c r="C133" s="9" t="s">
        <v>10</v>
      </c>
      <c r="D133" s="9" t="s">
        <v>91</v>
      </c>
      <c r="E133" s="191" t="s">
        <v>177</v>
      </c>
      <c r="F133" s="10" t="s">
        <v>178</v>
      </c>
      <c r="G133" s="11" t="s">
        <v>147</v>
      </c>
      <c r="H133" s="16" t="str">
        <f>H103</f>
        <v>If the project emissions are related to the operation of geothermal power plants (e.g. noncondensable gases, electricity/fossil fuel consumption) then use field H105 in "AMS-I.A." schema,  if project emissions are from water reservoirs of hydro power plants then use field H113 in "AMS-I.A." schema, if  project emissions are from other types of renewable energy projects then use field H121 in "AMS-I.A." schema</v>
      </c>
    </row>
    <row r="134" spans="1:8" s="9" customFormat="1" ht="18.75">
      <c r="A134" s="9" t="s">
        <v>11</v>
      </c>
      <c r="C134" s="9" t="s">
        <v>96</v>
      </c>
      <c r="D134" s="9" t="s">
        <v>91</v>
      </c>
      <c r="F134" s="9" t="s">
        <v>179</v>
      </c>
      <c r="G134" s="9" t="s">
        <v>180</v>
      </c>
      <c r="H134" s="16" t="str">
        <f>H123</f>
        <v xml:space="preserve">If leakage emissions are from energy generating equipment being  transferred from another activity then use field H125 in "AMS-I.A." schema, if leakage emissions are from project activities utilizing biomass and/or biomass residues then use field H127 of "AMS-I.A." schema, if leakage emissions do not need to be considered then use field H129 in "AMS-I.A." schema </v>
      </c>
    </row>
  </sheetData>
  <phoneticPr fontId="7" type="noConversion"/>
  <dataValidations count="6">
    <dataValidation type="list" showInputMessage="1" showErrorMessage="1" sqref="H30" xr:uid="{B00B0CD4-F902-044D-BDD9-9F937936801B}">
      <formula1>"Option 1, Option 2, Option 3"</formula1>
    </dataValidation>
    <dataValidation type="list" showInputMessage="1" showErrorMessage="1" sqref="H31" xr:uid="{55753D76-2CB9-054C-BA44-C1915B3D5EAE}">
      <formula1>"Geothermal, Hydro, Other Renewable Energy"</formula1>
    </dataValidation>
    <dataValidation type="list" showInputMessage="1" showErrorMessage="1" sqref="H32" xr:uid="{1E675F6F-3FB4-E24E-A2DC-C4B36CB8E3A3}">
      <formula1>"Transfer, Biomass, None"</formula1>
    </dataValidation>
    <dataValidation type="list" allowBlank="1" showInputMessage="1" showErrorMessage="1" sqref="H106 H114" xr:uid="{EBDAA78F-691C-3A4B-B61F-FAC9C10366E9}">
      <formula1>"Yes,No"</formula1>
    </dataValidation>
    <dataValidation type="list" showInputMessage="1" showErrorMessage="1" sqref="H89" xr:uid="{9DEA1F69-829C-394C-9293-206B8E045FCA}">
      <formula1>"Yes, No "</formula1>
    </dataValidation>
    <dataValidation type="list" allowBlank="1" showInputMessage="1" showErrorMessage="1" sqref="H37 H73" xr:uid="{C2F52EA4-453E-D64F-9855-16A78E3DB44B}">
      <formula1>"Energy, Lighting Service "</formula1>
    </dataValidation>
  </dataValidations>
  <hyperlinks>
    <hyperlink ref="H17" r:id="rId1" xr:uid="{2CA9557B-6C7F-3745-BA10-470B229F2F87}"/>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6DEC127E-F212-9246-A2D6-898E56861134}">
          <x14:formula1>
            <xm:f>'IWA Properties'!$A$2:$A$277</xm:f>
          </x14:formula1>
          <xm:sqref>E3:E28 E34 E103 E131:E133</xm:sqref>
        </x14:dataValidation>
        <x14:dataValidation type="list" allowBlank="1" showInputMessage="1" showErrorMessage="1" xr:uid="{DCAAD9B6-FE0B-8E4A-B454-702A3ED6FF0A}">
          <x14:formula1>
            <xm:f>'IWA Properties'!$B$2:$B$481</xm:f>
          </x14:formula1>
          <xm:sqref>H21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0B31F-9ED4-0E41-A581-283CA5098B56}">
  <dimension ref="A1:I17"/>
  <sheetViews>
    <sheetView workbookViewId="0">
      <selection activeCell="E35" sqref="E35"/>
    </sheetView>
  </sheetViews>
  <sheetFormatPr defaultColWidth="8.875" defaultRowHeight="15"/>
  <cols>
    <col min="1" max="1" width="10.375" style="8" customWidth="1"/>
    <col min="2" max="2" width="16.625" style="6" customWidth="1"/>
    <col min="3" max="3" width="10.375" style="6" customWidth="1"/>
    <col min="4" max="4" width="8.375" style="6" customWidth="1"/>
    <col min="5" max="5" width="11.5" style="6" customWidth="1"/>
    <col min="6" max="6" width="17.625" style="6" customWidth="1"/>
    <col min="7" max="7" width="20.375" style="6" customWidth="1"/>
    <col min="8" max="8" width="12.625" style="6" customWidth="1"/>
    <col min="9" max="16384" width="8.875" style="6"/>
  </cols>
  <sheetData>
    <row r="1" spans="1:9" s="1" customFormat="1" ht="19.5" thickBot="1">
      <c r="A1" s="268" t="s">
        <v>496</v>
      </c>
      <c r="B1" s="269"/>
      <c r="C1" s="269"/>
      <c r="D1" s="269"/>
      <c r="E1" s="269"/>
      <c r="F1" s="269"/>
      <c r="G1" s="269"/>
      <c r="H1" s="269"/>
      <c r="I1" s="270"/>
    </row>
    <row r="2" spans="1:9" s="98" customFormat="1">
      <c r="A2" s="123" t="s">
        <v>497</v>
      </c>
      <c r="B2" s="98" t="s">
        <v>498</v>
      </c>
      <c r="C2" s="98" t="s">
        <v>499</v>
      </c>
      <c r="D2" s="98" t="s">
        <v>500</v>
      </c>
      <c r="E2" s="98" t="s">
        <v>501</v>
      </c>
      <c r="F2" s="98" t="s">
        <v>502</v>
      </c>
      <c r="G2" s="98" t="s">
        <v>503</v>
      </c>
      <c r="H2" s="98" t="s">
        <v>504</v>
      </c>
      <c r="I2" s="124" t="s">
        <v>505</v>
      </c>
    </row>
    <row r="3" spans="1:9">
      <c r="A3" s="125" t="str">
        <f>IF('[3]Tool 12 - Freight Trains'!C4="Project emissions (PEtr,m)",'[3]Tool 12 - Freight Trains'!C5)</f>
        <v>Activity 1</v>
      </c>
      <c r="B3" s="9" t="str">
        <f>IF('[3]Tool 12 - Freight Trains'!C4="Project emissions (PEtr,m)",'[3]Tool 12 - Freight Trains'!C9)</f>
        <v>Sugar cane bagasse</v>
      </c>
      <c r="C3" s="9">
        <f>IF('[3]Tool 12 - Freight Trains'!C4="Project emissions (PEtr,m)",'[3]Tool 12 - Freight Trains'!C11)</f>
        <v>2</v>
      </c>
      <c r="D3" s="9" t="str">
        <f>IF('[3]Tool 12 - Freight Trains'!C4="Project emissions (PEtr,m)",'[3]Tool 12 - Freight Trains'!C7)</f>
        <v>Source 1</v>
      </c>
      <c r="E3" s="9" t="str">
        <f>IF('[3]Tool 12 - Freight Trains'!C4="Project emissions (PEtr,m)",'[3]Tool 12 - Freight Trains'!C8)</f>
        <v>Facility 1</v>
      </c>
      <c r="F3" s="9" t="b">
        <f>IF(AND('[3]Tool 12 - Freight Trains'!C4="Project emissions (PEtr,m)",'[3]Tool 12 - Freight Trains'!C12="Option B: Using conservative default values"),'[3]Tool 12 - Freight Trains'!C19)</f>
        <v>0</v>
      </c>
      <c r="G3" s="9" t="str">
        <f>IF('[3]Tool 12 - Freight Trains'!C4="Project emissions (PEtr,m)",'[3]Tool 12 - Freight Trains'!C13)</f>
        <v>Road Vehicle</v>
      </c>
      <c r="H3" s="9" t="str">
        <f>IF('[3]Tool 12 - Freight Trains'!C4="Project emissions (PEtr,m)",'[3]Tool 12 - Freight Trains'!C14)</f>
        <v>Heavy</v>
      </c>
      <c r="I3" s="126" t="str">
        <f>IF(AND('[3]Tool 12 - Freight Trains'!C4="Project emissions (PEtr,m)",'[3]Tool 12 - Freight Trains'!C12="Option B: Using conservative default values"),'[3]Tool 12 - Freight Trains'!C21,IF(AND('[3]Tool 12 - Freight Trains'!C4="Project emissions (PEtr,m)",'[3]Tool 12 - Freight Trains'!C12="Option A: Monitoring fuel consumption"),'[3]Tool 12 - Freight Trains'!C17))</f>
        <v>[Tool  03] Parameter = PEFC,j,y</v>
      </c>
    </row>
    <row r="4" spans="1:9">
      <c r="A4" s="127">
        <v>2</v>
      </c>
      <c r="I4" s="128"/>
    </row>
    <row r="5" spans="1:9">
      <c r="A5" s="127">
        <v>3</v>
      </c>
      <c r="I5" s="128"/>
    </row>
    <row r="6" spans="1:9" ht="15.75" thickBot="1">
      <c r="A6" s="127">
        <v>4</v>
      </c>
      <c r="I6" s="128"/>
    </row>
    <row r="7" spans="1:9" s="98" customFormat="1" ht="15.75" thickBot="1">
      <c r="A7" s="129" t="s">
        <v>425</v>
      </c>
      <c r="B7" s="130"/>
      <c r="C7" s="130"/>
      <c r="D7" s="130"/>
      <c r="E7" s="130"/>
      <c r="F7" s="130"/>
      <c r="G7" s="130"/>
      <c r="H7" s="130"/>
      <c r="I7" s="131">
        <f>SUM(I3:I6)</f>
        <v>0</v>
      </c>
    </row>
    <row r="10" spans="1:9" ht="15.75" thickBot="1"/>
    <row r="11" spans="1:9" ht="19.5" thickBot="1">
      <c r="A11" s="268" t="s">
        <v>506</v>
      </c>
      <c r="B11" s="269"/>
      <c r="C11" s="269"/>
      <c r="D11" s="269"/>
      <c r="E11" s="269"/>
      <c r="F11" s="269"/>
      <c r="G11" s="269"/>
      <c r="H11" s="269"/>
      <c r="I11" s="270"/>
    </row>
    <row r="12" spans="1:9">
      <c r="A12" s="123" t="s">
        <v>497</v>
      </c>
      <c r="B12" s="98" t="s">
        <v>498</v>
      </c>
      <c r="C12" s="98" t="s">
        <v>499</v>
      </c>
      <c r="D12" s="98" t="s">
        <v>500</v>
      </c>
      <c r="E12" s="98" t="s">
        <v>501</v>
      </c>
      <c r="F12" s="98" t="s">
        <v>502</v>
      </c>
      <c r="G12" s="98" t="s">
        <v>503</v>
      </c>
      <c r="H12" s="98" t="s">
        <v>504</v>
      </c>
      <c r="I12" s="124" t="s">
        <v>505</v>
      </c>
    </row>
    <row r="13" spans="1:9">
      <c r="A13" s="127">
        <v>1</v>
      </c>
      <c r="B13" s="9" t="b">
        <f>IF('[3]Tool 12 - Freight Trains'!C4="Leakage emissions (LEtr,m)",'[3]Tool 12 - Freight Trains'!C9)</f>
        <v>0</v>
      </c>
      <c r="C13" s="9" t="b">
        <f>IF('[3]Tool 12 - Freight Trains'!C4="Leakage emissions (LEtr,m)",'[3]Tool 12 - Freight Trains'!C11)</f>
        <v>0</v>
      </c>
      <c r="D13" s="9" t="b">
        <f>IF('[3]Tool 12 - Freight Trains'!C4="Leakage emissions (LEtr,m)",'[3]Tool 12 - Freight Trains'!C7)</f>
        <v>0</v>
      </c>
      <c r="E13" s="9" t="b">
        <f>IF('[3]Tool 12 - Freight Trains'!C4="Leakage emissions (LEtr,m)",'[3]Tool 12 - Freight Trains'!C8)</f>
        <v>0</v>
      </c>
      <c r="F13" s="9" t="b">
        <f>IF(AND('[3]Tool 12 - Freight Trains'!C4="Leakage emissions (LEtr,m)",'[3]Tool 12 - Freight Trains'!C12="Option B: Using conservative default values"),'[3]Tool 12 - Freight Trains'!C19)</f>
        <v>0</v>
      </c>
      <c r="G13" s="9" t="b">
        <f>IF('[3]Tool 12 - Freight Trains'!C4="Leakage emissions (LEtr,m)",'[3]Tool 12 - Freight Trains'!C13)</f>
        <v>0</v>
      </c>
      <c r="H13" s="9" t="b">
        <f>IF('[3]Tool 12 - Freight Trains'!C4="Leakage emissions (LEtr,m)",'[3]Tool 12 - Freight Trains'!C14)</f>
        <v>0</v>
      </c>
      <c r="I13" s="126" t="b">
        <f>IF(AND('[3]Tool 12 - Freight Trains'!C4="Leakage emissions (LEtr,m)",'[3]Tool 12 - Freight Trains'!C12="Option B: Using conservative default values"),'[3]Tool 12 - Freight Trains'!C21,IF(AND('[3]Tool 12 - Freight Trains'!C4="Leakage emissions (LEtr,m)",'[3]Tool 12 - Freight Trains'!C12="Option A: Monitoring fuel consumption"),'[3]Tool 12 - Freight Trains'!C17))</f>
        <v>0</v>
      </c>
    </row>
    <row r="14" spans="1:9">
      <c r="A14" s="127">
        <v>2</v>
      </c>
      <c r="I14" s="128"/>
    </row>
    <row r="15" spans="1:9">
      <c r="A15" s="127">
        <v>3</v>
      </c>
      <c r="I15" s="128"/>
    </row>
    <row r="16" spans="1:9">
      <c r="A16" s="127">
        <v>4</v>
      </c>
      <c r="I16" s="128"/>
    </row>
    <row r="17" spans="1:9" ht="15.75" thickBot="1">
      <c r="A17" s="132" t="s">
        <v>425</v>
      </c>
      <c r="B17" s="133"/>
      <c r="C17" s="133"/>
      <c r="D17" s="133"/>
      <c r="E17" s="133"/>
      <c r="F17" s="133"/>
      <c r="G17" s="133"/>
      <c r="H17" s="133"/>
      <c r="I17" s="134">
        <f>SUM(I13:I16)</f>
        <v>0</v>
      </c>
    </row>
  </sheetData>
  <mergeCells count="2">
    <mergeCell ref="A1:I1"/>
    <mergeCell ref="A11:I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4967F-4FC5-AB4B-BF80-8A17A9BA37D1}">
  <dimension ref="A1:E3"/>
  <sheetViews>
    <sheetView workbookViewId="0">
      <selection activeCell="M33" sqref="M33"/>
    </sheetView>
  </sheetViews>
  <sheetFormatPr defaultColWidth="8.875" defaultRowHeight="15"/>
  <cols>
    <col min="1" max="1" width="38.375" style="6" customWidth="1"/>
    <col min="2" max="2" width="13.875" style="6" customWidth="1"/>
    <col min="3" max="3" width="23.125" style="6" customWidth="1"/>
    <col min="4" max="4" width="18.125" style="6" customWidth="1"/>
    <col min="5" max="16384" width="8.875" style="6"/>
  </cols>
  <sheetData>
    <row r="1" spans="1:5" s="98" customFormat="1">
      <c r="A1" s="98" t="s">
        <v>507</v>
      </c>
      <c r="B1" s="98" t="s">
        <v>508</v>
      </c>
      <c r="C1" s="98" t="s">
        <v>509</v>
      </c>
      <c r="D1" s="98" t="s">
        <v>504</v>
      </c>
      <c r="E1" s="98" t="s">
        <v>510</v>
      </c>
    </row>
    <row r="2" spans="1:5">
      <c r="A2" s="6" t="s">
        <v>477</v>
      </c>
      <c r="B2" s="6" t="s">
        <v>10</v>
      </c>
      <c r="C2" s="6" t="s">
        <v>511</v>
      </c>
      <c r="D2" s="6" t="s">
        <v>512</v>
      </c>
      <c r="E2" s="6" t="s">
        <v>460</v>
      </c>
    </row>
    <row r="3" spans="1:5">
      <c r="A3" s="6" t="s">
        <v>488</v>
      </c>
      <c r="B3" s="6" t="s">
        <v>98</v>
      </c>
      <c r="C3" s="6" t="s">
        <v>479</v>
      </c>
      <c r="D3" s="6" t="s">
        <v>481</v>
      </c>
      <c r="E3" s="6" t="s">
        <v>513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3B66-CC20-C64F-8317-66E95AA7EA00}">
  <dimension ref="A1:I65"/>
  <sheetViews>
    <sheetView workbookViewId="0">
      <selection activeCell="G66" sqref="G66"/>
    </sheetView>
  </sheetViews>
  <sheetFormatPr defaultColWidth="8.875" defaultRowHeight="15"/>
  <cols>
    <col min="1" max="1" width="13.125" style="6" customWidth="1"/>
    <col min="2" max="2" width="13.625" style="6" customWidth="1"/>
    <col min="3" max="3" width="12.125" style="6" customWidth="1"/>
    <col min="4" max="4" width="15.375" style="6" customWidth="1"/>
    <col min="5" max="5" width="17.875" style="6" bestFit="1" customWidth="1"/>
    <col min="6" max="6" width="69.875" style="6" customWidth="1"/>
    <col min="7" max="7" width="45.625" style="6" customWidth="1"/>
    <col min="8" max="8" width="46" style="6" customWidth="1"/>
    <col min="9" max="16384" width="8.875" style="6"/>
  </cols>
  <sheetData>
    <row r="1" spans="1:9" ht="37.5">
      <c r="A1" s="76" t="s">
        <v>0</v>
      </c>
      <c r="B1" s="76" t="s">
        <v>181</v>
      </c>
      <c r="C1" s="77" t="s">
        <v>182</v>
      </c>
      <c r="D1" s="77" t="s">
        <v>3</v>
      </c>
      <c r="E1" s="76" t="s">
        <v>5</v>
      </c>
      <c r="F1" s="42" t="s">
        <v>6</v>
      </c>
      <c r="G1" s="42" t="s">
        <v>7</v>
      </c>
      <c r="H1" s="77" t="s">
        <v>183</v>
      </c>
      <c r="I1" s="94"/>
    </row>
    <row r="2" spans="1:9" ht="21">
      <c r="A2" s="261" t="s">
        <v>514</v>
      </c>
      <c r="B2" s="261"/>
      <c r="C2" s="261"/>
      <c r="D2" s="261"/>
      <c r="E2" s="261"/>
      <c r="F2" s="261"/>
      <c r="G2" s="261"/>
      <c r="H2" s="261"/>
      <c r="I2" s="94"/>
    </row>
    <row r="3" spans="1:9" ht="18.75">
      <c r="A3" s="135" t="s">
        <v>11</v>
      </c>
      <c r="B3" s="136"/>
      <c r="C3" s="137" t="s">
        <v>11</v>
      </c>
      <c r="D3" s="137" t="s">
        <v>91</v>
      </c>
      <c r="E3" s="135" t="s">
        <v>515</v>
      </c>
      <c r="F3" s="9" t="s">
        <v>516</v>
      </c>
      <c r="G3" s="138">
        <f>G16+(IF(AND(G18="Option 1"),G20,IF(AND(G18="Option 2"),G22)))+G27+G43+G49</f>
        <v>95.130333333333326</v>
      </c>
      <c r="H3" s="139"/>
      <c r="I3" s="94"/>
    </row>
    <row r="4" spans="1:9" ht="21">
      <c r="A4" s="261" t="s">
        <v>517</v>
      </c>
      <c r="B4" s="261"/>
      <c r="C4" s="261"/>
      <c r="D4" s="261"/>
      <c r="E4" s="261"/>
      <c r="F4" s="261"/>
      <c r="G4" s="261"/>
      <c r="H4" s="261"/>
      <c r="I4" s="43"/>
    </row>
    <row r="5" spans="1:9" ht="60">
      <c r="A5" s="6" t="s">
        <v>10</v>
      </c>
      <c r="C5" s="6" t="s">
        <v>10</v>
      </c>
      <c r="D5" s="6" t="s">
        <v>518</v>
      </c>
      <c r="E5" s="6" t="s">
        <v>6</v>
      </c>
      <c r="F5" s="7" t="s">
        <v>519</v>
      </c>
      <c r="G5" s="6" t="s">
        <v>85</v>
      </c>
    </row>
    <row r="6" spans="1:9" ht="21">
      <c r="A6" s="261" t="s">
        <v>520</v>
      </c>
      <c r="B6" s="261"/>
      <c r="C6" s="261"/>
      <c r="D6" s="261"/>
      <c r="E6" s="261"/>
      <c r="F6" s="261"/>
      <c r="G6" s="261"/>
      <c r="H6" s="261"/>
      <c r="I6" s="43"/>
    </row>
    <row r="7" spans="1:9">
      <c r="A7" s="6" t="s">
        <v>10</v>
      </c>
      <c r="C7" s="6" t="s">
        <v>10</v>
      </c>
      <c r="D7" s="6" t="s">
        <v>194</v>
      </c>
      <c r="E7" s="6" t="s">
        <v>521</v>
      </c>
      <c r="F7" s="6" t="s">
        <v>522</v>
      </c>
      <c r="G7" s="6">
        <v>1</v>
      </c>
    </row>
    <row r="8" spans="1:9" ht="21">
      <c r="A8" s="261" t="s">
        <v>523</v>
      </c>
      <c r="B8" s="261"/>
      <c r="C8" s="261"/>
      <c r="D8" s="261"/>
      <c r="E8" s="261"/>
      <c r="F8" s="261"/>
      <c r="G8" s="261"/>
      <c r="H8" s="261"/>
      <c r="I8" s="43"/>
    </row>
    <row r="9" spans="1:9">
      <c r="A9" s="135" t="s">
        <v>11</v>
      </c>
      <c r="B9" s="9"/>
      <c r="C9" s="9" t="s">
        <v>11</v>
      </c>
      <c r="D9" s="137" t="s">
        <v>91</v>
      </c>
      <c r="E9" s="9" t="s">
        <v>521</v>
      </c>
      <c r="F9" s="9" t="s">
        <v>522</v>
      </c>
      <c r="G9" s="9">
        <f>SUM(G11,G13)</f>
        <v>2</v>
      </c>
      <c r="H9" s="9"/>
    </row>
    <row r="10" spans="1:9" ht="29.25" customHeight="1">
      <c r="A10" s="271" t="s">
        <v>524</v>
      </c>
      <c r="B10" s="271"/>
      <c r="C10" s="271"/>
      <c r="D10" s="271"/>
      <c r="E10" s="271"/>
      <c r="F10" s="271"/>
      <c r="G10" s="271"/>
      <c r="H10" s="271"/>
      <c r="I10" s="43"/>
    </row>
    <row r="11" spans="1:9" ht="29.25" customHeight="1">
      <c r="A11" s="6" t="s">
        <v>10</v>
      </c>
      <c r="C11" s="6" t="s">
        <v>10</v>
      </c>
      <c r="D11" s="6" t="s">
        <v>194</v>
      </c>
      <c r="E11" s="6" t="s">
        <v>525</v>
      </c>
      <c r="F11" s="7" t="s">
        <v>526</v>
      </c>
      <c r="G11" s="6">
        <v>1</v>
      </c>
    </row>
    <row r="12" spans="1:9" ht="29.25" customHeight="1">
      <c r="A12" s="271" t="s">
        <v>524</v>
      </c>
      <c r="B12" s="271"/>
      <c r="C12" s="271"/>
      <c r="D12" s="271"/>
      <c r="E12" s="271"/>
      <c r="F12" s="271"/>
      <c r="G12" s="271"/>
      <c r="H12" s="271"/>
      <c r="I12" s="43"/>
    </row>
    <row r="13" spans="1:9" ht="29.25" customHeight="1">
      <c r="A13" s="6" t="s">
        <v>10</v>
      </c>
      <c r="C13" s="6" t="s">
        <v>10</v>
      </c>
      <c r="D13" s="6" t="s">
        <v>194</v>
      </c>
      <c r="E13" s="6" t="s">
        <v>525</v>
      </c>
      <c r="F13" s="7" t="s">
        <v>526</v>
      </c>
      <c r="G13" s="6">
        <v>1</v>
      </c>
    </row>
    <row r="14" spans="1:9" ht="21">
      <c r="A14" s="261" t="s">
        <v>527</v>
      </c>
      <c r="B14" s="261"/>
      <c r="C14" s="261"/>
      <c r="D14" s="261"/>
      <c r="E14" s="261"/>
      <c r="F14" s="261"/>
      <c r="G14" s="261"/>
      <c r="H14" s="261"/>
    </row>
    <row r="15" spans="1:9" ht="75">
      <c r="A15" s="6" t="s">
        <v>10</v>
      </c>
      <c r="C15" s="6" t="s">
        <v>10</v>
      </c>
      <c r="D15" s="6" t="s">
        <v>518</v>
      </c>
      <c r="E15" s="6" t="s">
        <v>6</v>
      </c>
      <c r="F15" s="7" t="s">
        <v>528</v>
      </c>
      <c r="G15" s="6" t="s">
        <v>10</v>
      </c>
    </row>
    <row r="16" spans="1:9" ht="30">
      <c r="A16" s="135" t="s">
        <v>11</v>
      </c>
      <c r="B16" s="9"/>
      <c r="C16" s="9" t="s">
        <v>11</v>
      </c>
      <c r="D16" s="137" t="s">
        <v>91</v>
      </c>
      <c r="E16" s="9" t="s">
        <v>529</v>
      </c>
      <c r="F16" s="11" t="s">
        <v>530</v>
      </c>
      <c r="G16" s="9">
        <f>'Tool 05.1'!G6</f>
        <v>0.73499999999999999</v>
      </c>
      <c r="H16" s="9"/>
    </row>
    <row r="17" spans="1:8" ht="21">
      <c r="A17" s="261" t="s">
        <v>531</v>
      </c>
      <c r="B17" s="261"/>
      <c r="C17" s="261"/>
      <c r="D17" s="261"/>
      <c r="E17" s="261"/>
      <c r="F17" s="261"/>
      <c r="G17" s="261"/>
      <c r="H17" s="261"/>
    </row>
    <row r="18" spans="1:8" ht="60">
      <c r="A18" s="6" t="s">
        <v>10</v>
      </c>
      <c r="C18" s="6" t="s">
        <v>10</v>
      </c>
      <c r="D18" s="6" t="s">
        <v>518</v>
      </c>
      <c r="E18" s="6" t="s">
        <v>6</v>
      </c>
      <c r="F18" s="7" t="s">
        <v>532</v>
      </c>
      <c r="G18" s="6" t="s">
        <v>85</v>
      </c>
    </row>
    <row r="19" spans="1:8" ht="21">
      <c r="A19" s="261" t="s">
        <v>533</v>
      </c>
      <c r="B19" s="261"/>
      <c r="C19" s="261"/>
      <c r="D19" s="261"/>
      <c r="E19" s="261"/>
      <c r="F19" s="261"/>
      <c r="G19" s="261"/>
      <c r="H19" s="261"/>
    </row>
    <row r="20" spans="1:8" ht="30">
      <c r="A20" s="135" t="s">
        <v>11</v>
      </c>
      <c r="B20" s="9"/>
      <c r="C20" s="9" t="s">
        <v>11</v>
      </c>
      <c r="D20" s="137" t="s">
        <v>91</v>
      </c>
      <c r="E20" s="9" t="s">
        <v>534</v>
      </c>
      <c r="F20" s="11" t="s">
        <v>535</v>
      </c>
      <c r="G20" s="9">
        <f>'Tool 03'!G3</f>
        <v>73.333333333333329</v>
      </c>
      <c r="H20" s="9"/>
    </row>
    <row r="21" spans="1:8" ht="21">
      <c r="A21" s="261" t="s">
        <v>536</v>
      </c>
      <c r="B21" s="261"/>
      <c r="C21" s="261"/>
      <c r="D21" s="261"/>
      <c r="E21" s="261"/>
      <c r="F21" s="261"/>
      <c r="G21" s="261"/>
      <c r="H21" s="261"/>
    </row>
    <row r="22" spans="1:8" ht="30">
      <c r="A22" s="135" t="s">
        <v>11</v>
      </c>
      <c r="B22" s="9"/>
      <c r="C22" s="9" t="s">
        <v>11</v>
      </c>
      <c r="D22" s="137" t="s">
        <v>91</v>
      </c>
      <c r="E22" s="9" t="s">
        <v>534</v>
      </c>
      <c r="F22" s="11" t="s">
        <v>535</v>
      </c>
      <c r="G22" s="9">
        <f>G23*G24</f>
        <v>2.07E-2</v>
      </c>
      <c r="H22" s="9"/>
    </row>
    <row r="23" spans="1:8">
      <c r="A23" s="6" t="s">
        <v>10</v>
      </c>
      <c r="C23" s="6" t="s">
        <v>10</v>
      </c>
      <c r="D23" s="6" t="s">
        <v>194</v>
      </c>
      <c r="E23" s="6" t="s">
        <v>521</v>
      </c>
      <c r="F23" s="6" t="s">
        <v>537</v>
      </c>
      <c r="G23" s="6">
        <v>1</v>
      </c>
    </row>
    <row r="24" spans="1:8" ht="30">
      <c r="A24" s="135" t="s">
        <v>11</v>
      </c>
      <c r="B24" s="9"/>
      <c r="C24" s="9" t="s">
        <v>11</v>
      </c>
      <c r="D24" s="137" t="s">
        <v>91</v>
      </c>
      <c r="E24" s="9" t="s">
        <v>538</v>
      </c>
      <c r="F24" s="11" t="s">
        <v>539</v>
      </c>
      <c r="G24" s="9">
        <f>0.0207</f>
        <v>2.07E-2</v>
      </c>
      <c r="H24" s="9"/>
    </row>
    <row r="25" spans="1:8" ht="21">
      <c r="A25" s="261" t="s">
        <v>540</v>
      </c>
      <c r="B25" s="261"/>
      <c r="C25" s="261"/>
      <c r="D25" s="261"/>
      <c r="E25" s="261"/>
      <c r="F25" s="261"/>
      <c r="G25" s="261"/>
      <c r="H25" s="261"/>
    </row>
    <row r="26" spans="1:8" ht="45">
      <c r="A26" s="6" t="s">
        <v>10</v>
      </c>
      <c r="C26" s="6" t="s">
        <v>10</v>
      </c>
      <c r="D26" s="6" t="s">
        <v>518</v>
      </c>
      <c r="E26" s="6" t="s">
        <v>6</v>
      </c>
      <c r="F26" s="7" t="s">
        <v>541</v>
      </c>
      <c r="G26" s="41" t="s">
        <v>85</v>
      </c>
    </row>
    <row r="27" spans="1:8">
      <c r="A27" s="135" t="s">
        <v>11</v>
      </c>
      <c r="B27" s="9"/>
      <c r="C27" s="9" t="s">
        <v>11</v>
      </c>
      <c r="D27" s="137" t="s">
        <v>91</v>
      </c>
      <c r="E27" s="9" t="s">
        <v>542</v>
      </c>
      <c r="F27" s="11" t="s">
        <v>543</v>
      </c>
      <c r="G27" s="140">
        <f>(IF(AND(G5="Option 1"),G7,IF(AND(G5="Option 2"),G9)))*G28*G55</f>
        <v>21</v>
      </c>
      <c r="H27" s="9"/>
    </row>
    <row r="28" spans="1:8">
      <c r="A28" s="135" t="s">
        <v>11</v>
      </c>
      <c r="B28" s="9"/>
      <c r="C28" s="9" t="s">
        <v>11</v>
      </c>
      <c r="D28" s="137" t="s">
        <v>91</v>
      </c>
      <c r="E28" s="9" t="s">
        <v>544</v>
      </c>
      <c r="F28" s="11" t="s">
        <v>545</v>
      </c>
      <c r="G28" s="140">
        <f>IF(AND(G26="Option 1"),(SUM((G33/G35),(G38/G40))/G30),IF(AND(G26="Option 2"),0.002))</f>
        <v>1</v>
      </c>
      <c r="H28" s="9"/>
    </row>
    <row r="29" spans="1:8" ht="21">
      <c r="A29" s="261" t="s">
        <v>546</v>
      </c>
      <c r="B29" s="261"/>
      <c r="C29" s="261"/>
      <c r="D29" s="261"/>
      <c r="E29" s="261"/>
      <c r="F29" s="261"/>
      <c r="G29" s="261"/>
      <c r="H29" s="261"/>
    </row>
    <row r="30" spans="1:8" ht="30">
      <c r="A30" s="6" t="s">
        <v>10</v>
      </c>
      <c r="C30" s="6" t="s">
        <v>10</v>
      </c>
      <c r="D30" s="6" t="s">
        <v>194</v>
      </c>
      <c r="E30" s="6" t="s">
        <v>547</v>
      </c>
      <c r="F30" s="7" t="s">
        <v>548</v>
      </c>
      <c r="G30" s="6">
        <v>2</v>
      </c>
    </row>
    <row r="31" spans="1:8" ht="21">
      <c r="A31" s="271" t="s">
        <v>549</v>
      </c>
      <c r="B31" s="271"/>
      <c r="C31" s="271"/>
      <c r="D31" s="271"/>
      <c r="E31" s="271"/>
      <c r="F31" s="271"/>
      <c r="G31" s="271"/>
      <c r="H31" s="271"/>
    </row>
    <row r="32" spans="1:8">
      <c r="A32" s="6" t="s">
        <v>10</v>
      </c>
      <c r="C32" s="6" t="s">
        <v>10</v>
      </c>
      <c r="E32" s="6" t="s">
        <v>550</v>
      </c>
      <c r="F32" s="6" t="s">
        <v>551</v>
      </c>
      <c r="G32" s="41" t="s">
        <v>552</v>
      </c>
    </row>
    <row r="33" spans="1:8">
      <c r="A33" s="6" t="s">
        <v>10</v>
      </c>
      <c r="C33" s="6" t="s">
        <v>10</v>
      </c>
      <c r="D33" s="6" t="s">
        <v>194</v>
      </c>
      <c r="E33" s="6" t="s">
        <v>553</v>
      </c>
      <c r="F33" s="6" t="s">
        <v>554</v>
      </c>
      <c r="G33" s="6">
        <v>1</v>
      </c>
    </row>
    <row r="34" spans="1:8">
      <c r="A34" s="6" t="s">
        <v>10</v>
      </c>
      <c r="C34" s="6" t="s">
        <v>10</v>
      </c>
      <c r="D34" s="6" t="s">
        <v>194</v>
      </c>
      <c r="E34" s="6" t="s">
        <v>555</v>
      </c>
      <c r="F34" s="7" t="s">
        <v>556</v>
      </c>
      <c r="G34" s="6">
        <v>1</v>
      </c>
    </row>
    <row r="35" spans="1:8">
      <c r="A35" s="6" t="s">
        <v>10</v>
      </c>
      <c r="C35" s="6" t="s">
        <v>10</v>
      </c>
      <c r="D35" s="6" t="s">
        <v>194</v>
      </c>
      <c r="E35" s="6" t="s">
        <v>557</v>
      </c>
      <c r="F35" s="6" t="s">
        <v>558</v>
      </c>
      <c r="G35" s="6">
        <v>1</v>
      </c>
    </row>
    <row r="36" spans="1:8" ht="21">
      <c r="A36" s="271" t="s">
        <v>549</v>
      </c>
      <c r="B36" s="271"/>
      <c r="C36" s="271"/>
      <c r="D36" s="271"/>
      <c r="E36" s="271"/>
      <c r="F36" s="271"/>
      <c r="G36" s="271"/>
      <c r="H36" s="271"/>
    </row>
    <row r="37" spans="1:8">
      <c r="A37" s="6" t="s">
        <v>10</v>
      </c>
      <c r="C37" s="6" t="s">
        <v>10</v>
      </c>
      <c r="E37" s="6" t="s">
        <v>115</v>
      </c>
      <c r="F37" s="6" t="s">
        <v>551</v>
      </c>
      <c r="G37" s="41" t="s">
        <v>559</v>
      </c>
    </row>
    <row r="38" spans="1:8">
      <c r="A38" s="6" t="s">
        <v>10</v>
      </c>
      <c r="C38" s="6" t="s">
        <v>10</v>
      </c>
      <c r="D38" s="6" t="s">
        <v>194</v>
      </c>
      <c r="E38" s="6" t="s">
        <v>553</v>
      </c>
      <c r="F38" s="6" t="s">
        <v>554</v>
      </c>
      <c r="G38" s="6">
        <v>1</v>
      </c>
    </row>
    <row r="39" spans="1:8">
      <c r="A39" s="6" t="s">
        <v>10</v>
      </c>
      <c r="C39" s="6" t="s">
        <v>10</v>
      </c>
      <c r="D39" s="6" t="s">
        <v>194</v>
      </c>
      <c r="E39" s="6" t="s">
        <v>555</v>
      </c>
      <c r="F39" s="7" t="s">
        <v>556</v>
      </c>
      <c r="G39" s="6">
        <v>1</v>
      </c>
    </row>
    <row r="40" spans="1:8">
      <c r="A40" s="6" t="s">
        <v>10</v>
      </c>
      <c r="C40" s="6" t="s">
        <v>10</v>
      </c>
      <c r="D40" s="6" t="s">
        <v>194</v>
      </c>
      <c r="E40" s="6" t="s">
        <v>557</v>
      </c>
      <c r="F40" s="6" t="s">
        <v>558</v>
      </c>
      <c r="G40" s="6">
        <v>1</v>
      </c>
    </row>
    <row r="41" spans="1:8" ht="21">
      <c r="A41" s="261" t="s">
        <v>560</v>
      </c>
      <c r="B41" s="261"/>
      <c r="C41" s="261"/>
      <c r="D41" s="261"/>
      <c r="E41" s="261"/>
      <c r="F41" s="261"/>
      <c r="G41" s="261"/>
      <c r="H41" s="261"/>
    </row>
    <row r="42" spans="1:8" ht="45">
      <c r="A42" s="6" t="s">
        <v>10</v>
      </c>
      <c r="C42" s="6" t="s">
        <v>10</v>
      </c>
      <c r="D42" s="6" t="s">
        <v>518</v>
      </c>
      <c r="E42" s="6" t="s">
        <v>6</v>
      </c>
      <c r="F42" s="7" t="s">
        <v>561</v>
      </c>
      <c r="G42" s="41" t="s">
        <v>562</v>
      </c>
    </row>
    <row r="43" spans="1:8">
      <c r="A43" s="135" t="s">
        <v>11</v>
      </c>
      <c r="B43" s="9"/>
      <c r="C43" s="9" t="s">
        <v>11</v>
      </c>
      <c r="D43" s="137" t="s">
        <v>91</v>
      </c>
      <c r="E43" s="9" t="s">
        <v>563</v>
      </c>
      <c r="F43" s="9" t="s">
        <v>564</v>
      </c>
      <c r="G43" s="140">
        <f>(IF(AND(G5="Option 1"),G7,IF(AND(G5="Option 2"),G9)))*G44*G45</f>
        <v>6.2E-2</v>
      </c>
      <c r="H43" s="9"/>
    </row>
    <row r="44" spans="1:8" ht="30">
      <c r="A44" s="135" t="s">
        <v>11</v>
      </c>
      <c r="B44" s="9"/>
      <c r="C44" s="9" t="s">
        <v>11</v>
      </c>
      <c r="D44" s="137" t="s">
        <v>91</v>
      </c>
      <c r="E44" s="9" t="s">
        <v>565</v>
      </c>
      <c r="F44" s="11" t="s">
        <v>566</v>
      </c>
      <c r="G44" s="140">
        <f>IF(AND(G42="Option 1"),(SUM((G34/G35),(G39/G40))/G30),IF(AND(G42="Option 2"),0.0002))</f>
        <v>2.0000000000000001E-4</v>
      </c>
      <c r="H44" s="9"/>
    </row>
    <row r="45" spans="1:8">
      <c r="A45" s="135" t="s">
        <v>11</v>
      </c>
      <c r="B45" s="9"/>
      <c r="C45" s="9" t="s">
        <v>11</v>
      </c>
      <c r="D45" s="137" t="s">
        <v>91</v>
      </c>
      <c r="E45" s="9" t="s">
        <v>567</v>
      </c>
      <c r="F45" s="9" t="s">
        <v>568</v>
      </c>
      <c r="G45" s="140">
        <v>310</v>
      </c>
      <c r="H45" s="9"/>
    </row>
    <row r="46" spans="1:8" ht="21" customHeight="1">
      <c r="A46" s="261" t="s">
        <v>569</v>
      </c>
      <c r="B46" s="261"/>
      <c r="C46" s="261"/>
      <c r="D46" s="261"/>
      <c r="E46" s="261"/>
      <c r="F46" s="261"/>
      <c r="G46" s="261"/>
      <c r="H46" s="261"/>
    </row>
    <row r="47" spans="1:8">
      <c r="A47" s="6" t="s">
        <v>10</v>
      </c>
      <c r="C47" s="6" t="s">
        <v>10</v>
      </c>
      <c r="D47" s="6" t="s">
        <v>518</v>
      </c>
      <c r="E47" s="6" t="s">
        <v>6</v>
      </c>
      <c r="F47" s="6" t="s">
        <v>570</v>
      </c>
      <c r="G47" s="41" t="s">
        <v>10</v>
      </c>
    </row>
    <row r="48" spans="1:8" ht="150">
      <c r="A48" s="6" t="s">
        <v>10</v>
      </c>
      <c r="C48" s="6" t="s">
        <v>10</v>
      </c>
      <c r="D48" s="6" t="s">
        <v>518</v>
      </c>
      <c r="E48" s="6" t="s">
        <v>6</v>
      </c>
      <c r="F48" s="7" t="s">
        <v>571</v>
      </c>
      <c r="G48" s="41" t="s">
        <v>85</v>
      </c>
    </row>
    <row r="49" spans="1:8" ht="30">
      <c r="A49" s="135" t="s">
        <v>11</v>
      </c>
      <c r="B49" s="9"/>
      <c r="C49" s="9" t="s">
        <v>11</v>
      </c>
      <c r="D49" s="137" t="s">
        <v>91</v>
      </c>
      <c r="E49" s="9" t="s">
        <v>572</v>
      </c>
      <c r="F49" s="11" t="s">
        <v>573</v>
      </c>
      <c r="G49" s="140">
        <f>IF(AND(G47="Yes"),0,IF(AND(G47="No"),G50*G51*G53*G54*G55))</f>
        <v>0</v>
      </c>
      <c r="H49" s="9"/>
    </row>
    <row r="50" spans="1:8" ht="30">
      <c r="A50" s="135" t="s">
        <v>11</v>
      </c>
      <c r="B50" s="9"/>
      <c r="C50" s="9" t="s">
        <v>11</v>
      </c>
      <c r="D50" s="137" t="s">
        <v>91</v>
      </c>
      <c r="E50" s="9" t="s">
        <v>574</v>
      </c>
      <c r="F50" s="11" t="s">
        <v>575</v>
      </c>
      <c r="G50" s="9">
        <f>IF(AND(G48="Option 1"),G57*G58,IF(AND(G48="Option 2"),G60*G61*G62))</f>
        <v>1</v>
      </c>
      <c r="H50" s="9"/>
    </row>
    <row r="51" spans="1:8">
      <c r="A51" s="135" t="s">
        <v>11</v>
      </c>
      <c r="B51" s="9"/>
      <c r="C51" s="9" t="s">
        <v>11</v>
      </c>
      <c r="D51" s="137" t="s">
        <v>91</v>
      </c>
      <c r="E51" s="9" t="s">
        <v>576</v>
      </c>
      <c r="F51" s="9" t="s">
        <v>577</v>
      </c>
      <c r="G51" s="9">
        <f>0.25</f>
        <v>0.25</v>
      </c>
      <c r="H51" s="9"/>
    </row>
    <row r="52" spans="1:8">
      <c r="A52" s="6" t="s">
        <v>10</v>
      </c>
      <c r="C52" s="6" t="s">
        <v>10</v>
      </c>
      <c r="D52" s="6" t="s">
        <v>518</v>
      </c>
      <c r="E52" s="6" t="s">
        <v>458</v>
      </c>
      <c r="F52" s="7" t="s">
        <v>578</v>
      </c>
      <c r="G52" s="7" t="s">
        <v>579</v>
      </c>
    </row>
    <row r="53" spans="1:8" ht="30">
      <c r="A53" s="135" t="s">
        <v>11</v>
      </c>
      <c r="B53" s="9"/>
      <c r="C53" s="9" t="s">
        <v>11</v>
      </c>
      <c r="D53" s="137" t="s">
        <v>91</v>
      </c>
      <c r="E53" s="9" t="s">
        <v>580</v>
      </c>
      <c r="F53" s="11" t="s">
        <v>581</v>
      </c>
      <c r="G53" s="9">
        <f>IF(G52="","",VLOOKUP(G52,'[4]MCF Defaults'!B3:C10,2,FALSE))</f>
        <v>0.2</v>
      </c>
      <c r="H53" s="9"/>
    </row>
    <row r="54" spans="1:8" ht="30">
      <c r="A54" s="135" t="s">
        <v>11</v>
      </c>
      <c r="B54" s="9"/>
      <c r="C54" s="9" t="s">
        <v>11</v>
      </c>
      <c r="D54" s="137" t="s">
        <v>91</v>
      </c>
      <c r="E54" s="9"/>
      <c r="F54" s="11" t="s">
        <v>582</v>
      </c>
      <c r="G54" s="9">
        <f>1.12</f>
        <v>1.1200000000000001</v>
      </c>
      <c r="H54" s="9"/>
    </row>
    <row r="55" spans="1:8">
      <c r="A55" s="135" t="s">
        <v>11</v>
      </c>
      <c r="B55" s="9"/>
      <c r="C55" s="9" t="s">
        <v>11</v>
      </c>
      <c r="D55" s="137" t="s">
        <v>91</v>
      </c>
      <c r="E55" s="9" t="s">
        <v>583</v>
      </c>
      <c r="F55" s="9" t="s">
        <v>584</v>
      </c>
      <c r="G55" s="9">
        <f>21</f>
        <v>21</v>
      </c>
      <c r="H55" s="9"/>
    </row>
    <row r="56" spans="1:8" ht="21">
      <c r="A56" s="261" t="s">
        <v>585</v>
      </c>
      <c r="B56" s="261"/>
      <c r="C56" s="261"/>
      <c r="D56" s="261"/>
      <c r="E56" s="261"/>
      <c r="F56" s="261"/>
      <c r="G56" s="261"/>
      <c r="H56" s="261"/>
    </row>
    <row r="57" spans="1:8">
      <c r="A57" s="6" t="s">
        <v>10</v>
      </c>
      <c r="C57" s="6" t="s">
        <v>10</v>
      </c>
      <c r="D57" s="99" t="s">
        <v>194</v>
      </c>
      <c r="E57" s="6" t="s">
        <v>586</v>
      </c>
      <c r="F57" s="7" t="s">
        <v>587</v>
      </c>
      <c r="G57" s="6">
        <v>1</v>
      </c>
    </row>
    <row r="58" spans="1:8" ht="30">
      <c r="A58" s="6" t="s">
        <v>10</v>
      </c>
      <c r="C58" s="6" t="s">
        <v>10</v>
      </c>
      <c r="D58" s="99" t="s">
        <v>194</v>
      </c>
      <c r="E58" s="6" t="s">
        <v>588</v>
      </c>
      <c r="F58" s="7" t="s">
        <v>589</v>
      </c>
      <c r="G58" s="6">
        <v>1</v>
      </c>
    </row>
    <row r="59" spans="1:8" ht="21">
      <c r="A59" s="261" t="s">
        <v>590</v>
      </c>
      <c r="B59" s="261"/>
      <c r="C59" s="261"/>
      <c r="D59" s="261"/>
      <c r="E59" s="261"/>
      <c r="F59" s="261"/>
      <c r="G59" s="261"/>
      <c r="H59" s="261"/>
    </row>
    <row r="60" spans="1:8">
      <c r="A60" s="6" t="s">
        <v>10</v>
      </c>
      <c r="C60" s="6" t="s">
        <v>10</v>
      </c>
      <c r="D60" s="99" t="s">
        <v>194</v>
      </c>
      <c r="E60" s="6" t="s">
        <v>591</v>
      </c>
      <c r="F60" s="6" t="s">
        <v>592</v>
      </c>
      <c r="G60" s="6">
        <v>1</v>
      </c>
    </row>
    <row r="61" spans="1:8">
      <c r="A61" s="6" t="s">
        <v>10</v>
      </c>
      <c r="C61" s="6" t="s">
        <v>10</v>
      </c>
      <c r="D61" s="99" t="s">
        <v>194</v>
      </c>
      <c r="E61" s="6" t="s">
        <v>593</v>
      </c>
      <c r="F61" s="6" t="s">
        <v>594</v>
      </c>
      <c r="G61" s="6">
        <v>1</v>
      </c>
    </row>
    <row r="62" spans="1:8" ht="30">
      <c r="A62" s="135" t="s">
        <v>11</v>
      </c>
      <c r="B62" s="9"/>
      <c r="C62" s="9" t="s">
        <v>11</v>
      </c>
      <c r="D62" s="137" t="s">
        <v>91</v>
      </c>
      <c r="E62" s="9" t="s">
        <v>595</v>
      </c>
      <c r="F62" s="11" t="s">
        <v>596</v>
      </c>
      <c r="G62" s="9">
        <f>0.02</f>
        <v>0.02</v>
      </c>
      <c r="H62" s="9"/>
    </row>
    <row r="63" spans="1:8" ht="21">
      <c r="A63" s="261" t="s">
        <v>597</v>
      </c>
      <c r="B63" s="261"/>
      <c r="C63" s="261"/>
      <c r="D63" s="261"/>
      <c r="E63" s="261"/>
      <c r="F63" s="261"/>
      <c r="G63" s="261"/>
      <c r="H63" s="261"/>
    </row>
    <row r="64" spans="1:8" ht="45">
      <c r="A64" s="6" t="s">
        <v>10</v>
      </c>
      <c r="C64" s="6" t="s">
        <v>10</v>
      </c>
      <c r="D64" s="6" t="s">
        <v>518</v>
      </c>
      <c r="E64" s="6" t="s">
        <v>6</v>
      </c>
      <c r="F64" s="7" t="s">
        <v>598</v>
      </c>
      <c r="G64" s="41" t="s">
        <v>10</v>
      </c>
    </row>
    <row r="65" spans="1:8">
      <c r="A65" s="135" t="s">
        <v>11</v>
      </c>
      <c r="B65" s="9"/>
      <c r="C65" s="9" t="s">
        <v>11</v>
      </c>
      <c r="D65" s="137" t="s">
        <v>91</v>
      </c>
      <c r="E65" s="9" t="s">
        <v>599</v>
      </c>
      <c r="F65" s="9" t="s">
        <v>600</v>
      </c>
      <c r="G65" s="9" t="e">
        <f>IF(AND(G64="No"),0,IF(AND(G64="Yes"),'Tool 04 - SWDS-Yearly'!C86))</f>
        <v>#DIV/0!</v>
      </c>
      <c r="H65" s="9"/>
    </row>
  </sheetData>
  <mergeCells count="19">
    <mergeCell ref="A63:H63"/>
    <mergeCell ref="A31:H31"/>
    <mergeCell ref="A36:H36"/>
    <mergeCell ref="A41:H41"/>
    <mergeCell ref="A46:H46"/>
    <mergeCell ref="A56:H56"/>
    <mergeCell ref="A59:H59"/>
    <mergeCell ref="A29:H29"/>
    <mergeCell ref="A2:H2"/>
    <mergeCell ref="A4:H4"/>
    <mergeCell ref="A6:H6"/>
    <mergeCell ref="A8:H8"/>
    <mergeCell ref="A10:H10"/>
    <mergeCell ref="A12:H12"/>
    <mergeCell ref="A14:H14"/>
    <mergeCell ref="A17:H17"/>
    <mergeCell ref="A19:H19"/>
    <mergeCell ref="A21:H21"/>
    <mergeCell ref="A25:H25"/>
  </mergeCells>
  <dataValidations count="3">
    <dataValidation type="list" allowBlank="1" showInputMessage="1" showErrorMessage="1" sqref="G15 G47 G64" xr:uid="{B0FEC1CA-EC6D-184E-B2C7-8F8EABB680A6}">
      <formula1>"Yes,No"</formula1>
    </dataValidation>
    <dataValidation type="list" allowBlank="1" showInputMessage="1" showErrorMessage="1" sqref="G5" xr:uid="{DE685F33-5589-B547-A2FF-1FEF0E853BDD}">
      <formula1>"Option 1, Option 2"</formula1>
    </dataValidation>
    <dataValidation type="list" allowBlank="1" showInputMessage="1" showErrorMessage="1" sqref="G18 G48 G26 G42" xr:uid="{F0E4FD54-3E1B-DE41-BA14-6D449A5A3C06}">
      <formula1>"Option 1,Option 2"</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E637B-5335-0C43-8A9B-36ED60E48315}">
  <dimension ref="A1:G10"/>
  <sheetViews>
    <sheetView workbookViewId="0">
      <selection activeCell="G3" sqref="G3"/>
    </sheetView>
  </sheetViews>
  <sheetFormatPr defaultColWidth="8.875" defaultRowHeight="15"/>
  <cols>
    <col min="1" max="1" width="9.375" style="6" customWidth="1"/>
    <col min="2" max="2" width="50.125" style="6" customWidth="1"/>
    <col min="3" max="3" width="15.5" style="6" customWidth="1"/>
    <col min="4" max="16384" width="8.875" style="6"/>
  </cols>
  <sheetData>
    <row r="1" spans="1:7" ht="21.75" customHeight="1" thickBot="1">
      <c r="A1" s="141"/>
      <c r="B1" s="272" t="s">
        <v>601</v>
      </c>
      <c r="C1" s="272"/>
      <c r="D1" s="141"/>
      <c r="E1" s="141"/>
      <c r="F1" s="141"/>
      <c r="G1" s="141"/>
    </row>
    <row r="2" spans="1:7" ht="38.25" thickBot="1">
      <c r="B2" s="142" t="s">
        <v>602</v>
      </c>
      <c r="C2" s="101" t="s">
        <v>603</v>
      </c>
    </row>
    <row r="3" spans="1:7">
      <c r="B3" s="143" t="s">
        <v>604</v>
      </c>
      <c r="C3" s="144">
        <v>0.1</v>
      </c>
    </row>
    <row r="4" spans="1:7">
      <c r="B4" s="145" t="s">
        <v>605</v>
      </c>
      <c r="C4" s="146">
        <v>0</v>
      </c>
    </row>
    <row r="5" spans="1:7">
      <c r="B5" s="147" t="s">
        <v>606</v>
      </c>
      <c r="C5" s="146">
        <v>0.3</v>
      </c>
    </row>
    <row r="6" spans="1:7">
      <c r="B6" s="147" t="s">
        <v>607</v>
      </c>
      <c r="C6" s="146">
        <v>0.8</v>
      </c>
    </row>
    <row r="7" spans="1:7">
      <c r="B7" s="147" t="s">
        <v>608</v>
      </c>
      <c r="C7" s="146">
        <v>0.8</v>
      </c>
    </row>
    <row r="8" spans="1:7">
      <c r="B8" s="147" t="s">
        <v>579</v>
      </c>
      <c r="C8" s="146">
        <v>0.2</v>
      </c>
    </row>
    <row r="9" spans="1:7">
      <c r="B9" s="147" t="s">
        <v>609</v>
      </c>
      <c r="C9" s="146">
        <v>0.8</v>
      </c>
    </row>
    <row r="10" spans="1:7" ht="15.75" thickBot="1">
      <c r="B10" s="148" t="s">
        <v>610</v>
      </c>
      <c r="C10" s="149">
        <v>0.5</v>
      </c>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2045-E70A-46A9-9FD7-EE95CB3D4FE2}">
  <dimension ref="A1:H137"/>
  <sheetViews>
    <sheetView workbookViewId="0">
      <selection activeCell="C27" sqref="C27"/>
    </sheetView>
  </sheetViews>
  <sheetFormatPr defaultRowHeight="15"/>
  <cols>
    <col min="1" max="1" width="24.625" style="203" customWidth="1"/>
    <col min="2" max="2" width="80.125" style="206" customWidth="1"/>
    <col min="3" max="3" width="24.625" style="203" customWidth="1"/>
    <col min="4" max="4" width="9" style="203"/>
    <col min="5" max="5" width="10.25" style="203" customWidth="1"/>
    <col min="6" max="6" width="7.75" style="203" customWidth="1"/>
    <col min="7" max="7" width="12.875" style="203" customWidth="1"/>
    <col min="8" max="16384" width="9" style="203"/>
  </cols>
  <sheetData>
    <row r="1" spans="2:8">
      <c r="C1" s="203" t="s">
        <v>7</v>
      </c>
      <c r="D1" s="203" t="s">
        <v>304</v>
      </c>
      <c r="E1" s="203" t="s">
        <v>3</v>
      </c>
      <c r="F1" s="203" t="s">
        <v>183</v>
      </c>
      <c r="G1" s="203" t="s">
        <v>182</v>
      </c>
      <c r="H1" s="203" t="s">
        <v>181</v>
      </c>
    </row>
    <row r="2" spans="2:8" s="215" customFormat="1" ht="18.75">
      <c r="B2" s="214" t="s">
        <v>305</v>
      </c>
    </row>
    <row r="3" spans="2:8">
      <c r="B3" s="206" t="s">
        <v>611</v>
      </c>
      <c r="C3" s="203" t="s">
        <v>612</v>
      </c>
      <c r="D3" s="203" t="s">
        <v>10</v>
      </c>
      <c r="E3" s="203" t="s">
        <v>83</v>
      </c>
      <c r="G3" s="203" t="s">
        <v>98</v>
      </c>
    </row>
    <row r="4" spans="2:8" ht="30">
      <c r="B4" s="206" t="s">
        <v>613</v>
      </c>
      <c r="C4" s="203" t="s">
        <v>11</v>
      </c>
      <c r="D4" s="203" t="s">
        <v>10</v>
      </c>
      <c r="E4" s="203" t="s">
        <v>83</v>
      </c>
      <c r="G4" s="203" t="s">
        <v>98</v>
      </c>
    </row>
    <row r="5" spans="2:8">
      <c r="B5" s="206" t="s">
        <v>614</v>
      </c>
      <c r="C5" s="203" t="s">
        <v>10</v>
      </c>
      <c r="D5" s="203" t="s">
        <v>10</v>
      </c>
      <c r="E5" s="203" t="s">
        <v>83</v>
      </c>
      <c r="G5" s="203" t="s">
        <v>98</v>
      </c>
    </row>
    <row r="6" spans="2:8">
      <c r="B6" s="206" t="s">
        <v>615</v>
      </c>
      <c r="C6" s="203" t="s">
        <v>11</v>
      </c>
      <c r="D6" s="203" t="str">
        <f>IF(C5="Yes","Yes","NA")</f>
        <v>Yes</v>
      </c>
      <c r="E6" s="203" t="s">
        <v>83</v>
      </c>
      <c r="G6" s="203" t="s">
        <v>98</v>
      </c>
    </row>
    <row r="7" spans="2:8">
      <c r="B7" s="206" t="s">
        <v>616</v>
      </c>
      <c r="C7" s="203" t="s">
        <v>11</v>
      </c>
      <c r="D7" s="203" t="str">
        <f>IF(C5="Yes","Yes","NA")</f>
        <v>Yes</v>
      </c>
      <c r="E7" s="203" t="s">
        <v>83</v>
      </c>
      <c r="G7" s="203" t="s">
        <v>98</v>
      </c>
    </row>
    <row r="8" spans="2:8">
      <c r="B8" s="206" t="s">
        <v>617</v>
      </c>
      <c r="C8" s="203" t="s">
        <v>11</v>
      </c>
      <c r="D8" s="203" t="str">
        <f>IF(C5="Yes","Yes","NA")</f>
        <v>Yes</v>
      </c>
      <c r="E8" s="203" t="s">
        <v>83</v>
      </c>
      <c r="G8" s="203" t="s">
        <v>98</v>
      </c>
    </row>
    <row r="9" spans="2:8" ht="30">
      <c r="B9" s="206" t="s">
        <v>618</v>
      </c>
      <c r="C9" s="203" t="s">
        <v>11</v>
      </c>
      <c r="D9" s="203" t="str">
        <f>IF(C5="Yes","Yes","NA")</f>
        <v>Yes</v>
      </c>
      <c r="E9" s="203" t="s">
        <v>83</v>
      </c>
      <c r="G9" s="203" t="s">
        <v>98</v>
      </c>
    </row>
    <row r="10" spans="2:8">
      <c r="B10" s="206" t="s">
        <v>619</v>
      </c>
      <c r="C10" s="203" t="s">
        <v>11</v>
      </c>
      <c r="D10" s="203" t="str">
        <f>IF(C5="Yes","Yes","NA")</f>
        <v>Yes</v>
      </c>
      <c r="E10" s="203" t="s">
        <v>83</v>
      </c>
      <c r="G10" s="203" t="s">
        <v>98</v>
      </c>
    </row>
    <row r="11" spans="2:8">
      <c r="B11" s="206" t="s">
        <v>620</v>
      </c>
      <c r="C11" s="203" t="s">
        <v>11</v>
      </c>
      <c r="D11" s="203" t="str">
        <f>IF(C5="Yes","Yes","NA")</f>
        <v>Yes</v>
      </c>
      <c r="E11" s="203" t="s">
        <v>83</v>
      </c>
      <c r="G11" s="203" t="s">
        <v>98</v>
      </c>
    </row>
    <row r="12" spans="2:8" ht="30">
      <c r="B12" s="206" t="s">
        <v>621</v>
      </c>
      <c r="C12" s="203" t="s">
        <v>11</v>
      </c>
      <c r="D12" s="203" t="str">
        <f>IF(AND(C5="Yes",C11="Yes"),"Yes","NA")</f>
        <v>NA</v>
      </c>
      <c r="E12" s="203" t="s">
        <v>83</v>
      </c>
      <c r="G12" s="203" t="s">
        <v>98</v>
      </c>
    </row>
    <row r="13" spans="2:8" ht="30">
      <c r="B13" s="206" t="s">
        <v>622</v>
      </c>
      <c r="D13" s="203" t="str">
        <f>IF(AND(C5="Yes",C11="Yes"),"Yes","NA")</f>
        <v>NA</v>
      </c>
      <c r="E13" s="203" t="s">
        <v>623</v>
      </c>
      <c r="G13" s="203" t="s">
        <v>98</v>
      </c>
    </row>
    <row r="14" spans="2:8" ht="60">
      <c r="B14" s="206" t="s">
        <v>624</v>
      </c>
      <c r="C14" s="208" t="s">
        <v>625</v>
      </c>
      <c r="D14" s="203" t="str">
        <f>IF(AND(C5="Yes",C11="Yes"),"Yes","NA")</f>
        <v>NA</v>
      </c>
      <c r="E14" s="203" t="s">
        <v>486</v>
      </c>
      <c r="G14" s="203" t="s">
        <v>98</v>
      </c>
    </row>
    <row r="15" spans="2:8" ht="45">
      <c r="B15" s="206" t="s">
        <v>626</v>
      </c>
      <c r="C15" s="203" t="s">
        <v>11</v>
      </c>
      <c r="D15" s="203" t="str">
        <f>IF(AND(C5="Yes",C11="Yes"),"Yes","NA")</f>
        <v>NA</v>
      </c>
      <c r="E15" s="203" t="s">
        <v>83</v>
      </c>
      <c r="G15" s="203" t="s">
        <v>98</v>
      </c>
    </row>
    <row r="16" spans="2:8" ht="30.75" thickBot="1">
      <c r="B16" s="206" t="s">
        <v>627</v>
      </c>
      <c r="D16" s="203" t="str">
        <f>IF(AND(C5="Yes",C11="Yes"),"Yes","NA")</f>
        <v>NA</v>
      </c>
      <c r="E16" s="203" t="s">
        <v>628</v>
      </c>
      <c r="G16" s="203" t="s">
        <v>10</v>
      </c>
    </row>
    <row r="17" spans="2:7" s="218" customFormat="1" ht="16.5" thickTop="1" thickBot="1">
      <c r="B17" s="216" t="s">
        <v>629</v>
      </c>
      <c r="C17" s="217" t="str">
        <f>IF(AND(C4="No",C5="No"),"NA",IF(OR(C6="Yes",C7="Yes",C8="Yes",C9="Yes",C10="Yes",C12="No",C15="No"),"NA","Applicable"))</f>
        <v>NA</v>
      </c>
      <c r="E17" s="218" t="s">
        <v>630</v>
      </c>
    </row>
    <row r="18" spans="2:7" s="220" customFormat="1" ht="15.75" thickTop="1">
      <c r="B18" s="219" t="s">
        <v>631</v>
      </c>
      <c r="C18" s="220" t="s">
        <v>422</v>
      </c>
      <c r="D18" s="220" t="s">
        <v>10</v>
      </c>
      <c r="E18" s="220" t="s">
        <v>83</v>
      </c>
      <c r="G18" s="220" t="s">
        <v>11</v>
      </c>
    </row>
    <row r="19" spans="2:7">
      <c r="B19" s="206" t="s">
        <v>632</v>
      </c>
      <c r="C19" s="203" t="s">
        <v>633</v>
      </c>
      <c r="D19" s="203" t="str">
        <f>IF(C18="Project Emissions (PE)","Yes","NA")</f>
        <v>Yes</v>
      </c>
      <c r="E19" s="203" t="s">
        <v>83</v>
      </c>
      <c r="G19" s="203" t="s">
        <v>11</v>
      </c>
    </row>
    <row r="20" spans="2:7" ht="15" customHeight="1">
      <c r="B20" s="206" t="s">
        <v>634</v>
      </c>
      <c r="C20" s="203" t="s">
        <v>635</v>
      </c>
      <c r="D20" s="203" t="str">
        <f>IF(AND(C18="Project Emissions (PE)",C19="Included"),"Yes","NA")</f>
        <v>NA</v>
      </c>
      <c r="E20" s="203" t="s">
        <v>83</v>
      </c>
      <c r="G20" s="203" t="s">
        <v>11</v>
      </c>
    </row>
    <row r="21" spans="2:7" ht="30.75">
      <c r="B21" s="206" t="s">
        <v>636</v>
      </c>
      <c r="C21" s="203" t="s">
        <v>633</v>
      </c>
      <c r="D21" s="203" t="str">
        <f>IF(C18="Project Emissions (PE)","Yes","NA")</f>
        <v>Yes</v>
      </c>
      <c r="E21" s="203" t="s">
        <v>83</v>
      </c>
      <c r="F21" s="203" t="s">
        <v>637</v>
      </c>
      <c r="G21" s="203" t="s">
        <v>11</v>
      </c>
    </row>
    <row r="22" spans="2:7">
      <c r="B22" s="206" t="s">
        <v>638</v>
      </c>
      <c r="C22" s="203" t="s">
        <v>633</v>
      </c>
      <c r="D22" s="203" t="str">
        <f>IF(C18="Project Emissions (PE)","Yes","NA")</f>
        <v>Yes</v>
      </c>
      <c r="E22" s="203" t="s">
        <v>83</v>
      </c>
      <c r="G22" s="203" t="s">
        <v>11</v>
      </c>
    </row>
    <row r="23" spans="2:7" ht="30">
      <c r="B23" s="206" t="s">
        <v>639</v>
      </c>
      <c r="C23" s="203" t="s">
        <v>633</v>
      </c>
      <c r="D23" s="203" t="str">
        <f>IF(C18="Project Emissions (PE)","Yes","NA")</f>
        <v>Yes</v>
      </c>
      <c r="E23" s="203" t="s">
        <v>83</v>
      </c>
      <c r="G23" s="203" t="s">
        <v>11</v>
      </c>
    </row>
    <row r="24" spans="2:7">
      <c r="B24" s="206" t="s">
        <v>640</v>
      </c>
      <c r="C24" s="203" t="s">
        <v>633</v>
      </c>
      <c r="D24" s="203" t="str">
        <f>IF(C18="Project Emissions (PE)","Yes","NA")</f>
        <v>Yes</v>
      </c>
      <c r="E24" s="203" t="s">
        <v>83</v>
      </c>
      <c r="G24" s="203" t="s">
        <v>11</v>
      </c>
    </row>
    <row r="25" spans="2:7" ht="30">
      <c r="B25" s="206" t="s">
        <v>641</v>
      </c>
      <c r="C25" s="203" t="s">
        <v>633</v>
      </c>
      <c r="D25" s="203" t="str">
        <f>IF(C18="Project Emissions (PE)","Yes","NA")</f>
        <v>Yes</v>
      </c>
      <c r="E25" s="203" t="s">
        <v>83</v>
      </c>
      <c r="G25" s="203" t="s">
        <v>11</v>
      </c>
    </row>
    <row r="26" spans="2:7" ht="45" customHeight="1">
      <c r="B26" s="206" t="s">
        <v>642</v>
      </c>
      <c r="C26" s="203" t="s">
        <v>643</v>
      </c>
      <c r="D26" s="203" t="str">
        <f>IF(OR(C24="Included",C25="Included"),"Yes","NA")</f>
        <v>NA</v>
      </c>
      <c r="E26" s="203" t="s">
        <v>83</v>
      </c>
      <c r="G26" s="203" t="s">
        <v>11</v>
      </c>
    </row>
    <row r="27" spans="2:7" ht="30">
      <c r="B27" s="206" t="s">
        <v>644</v>
      </c>
      <c r="C27" s="203" t="s">
        <v>633</v>
      </c>
      <c r="D27" s="203" t="str">
        <f>IF(C18="Leakage Emissions (LE)","Yes","NA")</f>
        <v>NA</v>
      </c>
      <c r="E27" s="203" t="s">
        <v>83</v>
      </c>
      <c r="G27" s="203" t="s">
        <v>11</v>
      </c>
    </row>
    <row r="28" spans="2:7" ht="30.6" customHeight="1">
      <c r="B28" s="206" t="s">
        <v>645</v>
      </c>
      <c r="C28" s="203" t="s">
        <v>11</v>
      </c>
      <c r="D28" s="203" t="str">
        <f>IF(C27="Included","Yes","NA")</f>
        <v>NA</v>
      </c>
      <c r="E28" s="203" t="s">
        <v>83</v>
      </c>
      <c r="G28" s="203" t="s">
        <v>11</v>
      </c>
    </row>
    <row r="29" spans="2:7" ht="43.9" customHeight="1">
      <c r="B29" s="206" t="s">
        <v>646</v>
      </c>
      <c r="C29" s="203" t="s">
        <v>11</v>
      </c>
      <c r="D29" s="203" t="str">
        <f>IF(C27="Included","Yes","NA")</f>
        <v>NA</v>
      </c>
      <c r="E29" s="203" t="s">
        <v>83</v>
      </c>
      <c r="F29" s="203" t="s">
        <v>647</v>
      </c>
      <c r="G29" s="203" t="s">
        <v>11</v>
      </c>
    </row>
    <row r="30" spans="2:7" ht="30">
      <c r="B30" s="206" t="s">
        <v>648</v>
      </c>
      <c r="C30" s="203" t="s">
        <v>633</v>
      </c>
      <c r="D30" s="203" t="str">
        <f>IF(C18="Leakage Emissions (LE)","Yes","NA")</f>
        <v>NA</v>
      </c>
      <c r="E30" s="203" t="s">
        <v>83</v>
      </c>
      <c r="G30" s="203" t="s">
        <v>11</v>
      </c>
    </row>
    <row r="31" spans="2:7">
      <c r="B31" s="206" t="s">
        <v>649</v>
      </c>
      <c r="C31" s="203" t="s">
        <v>650</v>
      </c>
      <c r="D31" s="203" t="str">
        <f>IF(C30="Included","Yes","NA")</f>
        <v>NA</v>
      </c>
      <c r="E31" s="203" t="s">
        <v>83</v>
      </c>
      <c r="G31" s="203" t="s">
        <v>11</v>
      </c>
    </row>
    <row r="32" spans="2:7" ht="30">
      <c r="B32" s="206" t="s">
        <v>651</v>
      </c>
      <c r="C32" s="203" t="s">
        <v>633</v>
      </c>
      <c r="D32" s="203" t="str">
        <f>IF(C18="Leakage Emissions (LE)","Yes","NA")</f>
        <v>NA</v>
      </c>
      <c r="E32" s="203" t="s">
        <v>83</v>
      </c>
      <c r="G32" s="203" t="s">
        <v>11</v>
      </c>
    </row>
    <row r="33" spans="1:7" ht="30">
      <c r="B33" s="206" t="s">
        <v>652</v>
      </c>
      <c r="C33" s="203" t="s">
        <v>633</v>
      </c>
      <c r="D33" s="203" t="str">
        <f>IF(C18="Leakage Emissions (LE)","Yes","NA")</f>
        <v>NA</v>
      </c>
      <c r="E33" s="203" t="s">
        <v>83</v>
      </c>
      <c r="G33" s="203" t="s">
        <v>11</v>
      </c>
    </row>
    <row r="34" spans="1:7" s="221" customFormat="1" ht="37.5">
      <c r="A34" s="221" t="s">
        <v>653</v>
      </c>
      <c r="B34" s="214" t="s">
        <v>654</v>
      </c>
      <c r="D34" s="221" t="str">
        <f>IF(AND(C18="Project Emissions (PE)",C19="Included"),"Yes","NA")</f>
        <v>NA</v>
      </c>
    </row>
    <row r="35" spans="1:7" ht="15" customHeight="1">
      <c r="A35" s="203" t="s">
        <v>655</v>
      </c>
      <c r="B35" s="206" t="s">
        <v>656</v>
      </c>
      <c r="D35" s="203" t="str">
        <f>IF(AND(C18="Project Emissions (PE)",C19="Included"),"Yes","NA")</f>
        <v>NA</v>
      </c>
      <c r="E35" s="203" t="s">
        <v>194</v>
      </c>
      <c r="G35" s="203" t="s">
        <v>98</v>
      </c>
    </row>
    <row r="36" spans="1:7" ht="15" customHeight="1">
      <c r="A36" s="203" t="s">
        <v>657</v>
      </c>
      <c r="B36" s="206" t="s">
        <v>658</v>
      </c>
      <c r="D36" s="203" t="str">
        <f>IF(AND(C18="Project Emissions (PE)",C19="Included"),"Yes","NA")</f>
        <v>NA</v>
      </c>
      <c r="E36" s="203" t="s">
        <v>194</v>
      </c>
      <c r="G36" s="203" t="s">
        <v>98</v>
      </c>
    </row>
    <row r="37" spans="1:7" ht="26.45" customHeight="1">
      <c r="A37" s="203" t="s">
        <v>659</v>
      </c>
      <c r="B37" s="206" t="s">
        <v>660</v>
      </c>
      <c r="D37" s="203" t="str">
        <f>IF(AND(C18="Project Emissions (PE)",C19="Included"),"Yes","NA")</f>
        <v>NA</v>
      </c>
      <c r="E37" s="203" t="s">
        <v>194</v>
      </c>
      <c r="G37" s="203" t="s">
        <v>98</v>
      </c>
    </row>
    <row r="38" spans="1:7">
      <c r="A38" s="203" t="s">
        <v>661</v>
      </c>
      <c r="B38" s="206" t="s">
        <v>662</v>
      </c>
      <c r="C38" s="208">
        <f>((44/12)*0.47*C35*C36*(1.06+C37))+SUM(C39)</f>
        <v>0</v>
      </c>
      <c r="D38" s="203" t="str">
        <f>IF(AND(C18="Project Emissions (PE)",C19="Included"),"Yes","NA")</f>
        <v>NA</v>
      </c>
      <c r="E38" s="203" t="s">
        <v>630</v>
      </c>
      <c r="G38" s="203" t="s">
        <v>98</v>
      </c>
    </row>
    <row r="39" spans="1:7">
      <c r="B39" s="222" t="s">
        <v>663</v>
      </c>
      <c r="F39" s="203" t="s">
        <v>664</v>
      </c>
      <c r="G39" s="203" t="s">
        <v>10</v>
      </c>
    </row>
    <row r="40" spans="1:7" s="223" customFormat="1" ht="28.9" customHeight="1">
      <c r="A40" s="223" t="s">
        <v>665</v>
      </c>
      <c r="B40" s="224" t="s">
        <v>666</v>
      </c>
      <c r="D40" s="223" t="str">
        <f>IF(AND(C18="Project Emissions (PE)",C19="Included",C21="Included"),"Yes","NA")</f>
        <v>NA</v>
      </c>
    </row>
    <row r="41" spans="1:7" ht="30.6" customHeight="1">
      <c r="A41" s="203" t="s">
        <v>667</v>
      </c>
      <c r="B41" s="206" t="s">
        <v>668</v>
      </c>
      <c r="C41" s="208" t="s">
        <v>669</v>
      </c>
      <c r="D41" s="203" t="str">
        <f>IF(AND(C18="Project Emissions (PE)",C19="Included",C21="Included"),"Yes","NA")</f>
        <v>NA</v>
      </c>
      <c r="E41" s="203" t="s">
        <v>670</v>
      </c>
      <c r="G41" s="203" t="s">
        <v>98</v>
      </c>
    </row>
    <row r="42" spans="1:7" ht="29.45" customHeight="1">
      <c r="A42" s="203" t="s">
        <v>671</v>
      </c>
      <c r="B42" s="206" t="s">
        <v>672</v>
      </c>
      <c r="C42" s="208" t="s">
        <v>673</v>
      </c>
      <c r="D42" s="203" t="str">
        <f>IF(AND(C18="Project Emissions (PE)",C19="Included",C21="Included"),"Yes","NA")</f>
        <v>NA</v>
      </c>
      <c r="E42" s="203" t="s">
        <v>670</v>
      </c>
      <c r="G42" s="203" t="s">
        <v>98</v>
      </c>
    </row>
    <row r="43" spans="1:7" ht="30">
      <c r="A43" s="203" t="s">
        <v>665</v>
      </c>
      <c r="B43" s="206" t="s">
        <v>666</v>
      </c>
      <c r="C43" s="208" t="e">
        <f>C41+C42</f>
        <v>#VALUE!</v>
      </c>
      <c r="D43" s="203" t="str">
        <f>IF(AND(C18="Project Emissions (PE)",C19="Included",C21="Included"),"Yes","NA")</f>
        <v>NA</v>
      </c>
      <c r="E43" s="203" t="s">
        <v>630</v>
      </c>
      <c r="G43" s="203" t="s">
        <v>98</v>
      </c>
    </row>
    <row r="44" spans="1:7" s="223" customFormat="1" ht="15" customHeight="1">
      <c r="A44" s="223" t="s">
        <v>674</v>
      </c>
      <c r="B44" s="224" t="s">
        <v>675</v>
      </c>
      <c r="D44" s="223" t="str">
        <f>IF(AND(C18="Project Emissions (PE)",C19="Included"),"Yes","NA")</f>
        <v>NA</v>
      </c>
    </row>
    <row r="45" spans="1:7" ht="15" customHeight="1">
      <c r="A45" s="203" t="s">
        <v>676</v>
      </c>
      <c r="B45" s="206" t="s">
        <v>677</v>
      </c>
      <c r="D45" s="203" t="str">
        <f>IF(AND(C18="Project Emissions (PE)",C19="Included"),"Yes","NA")</f>
        <v>NA</v>
      </c>
      <c r="E45" s="203" t="s">
        <v>194</v>
      </c>
      <c r="G45" s="203" t="s">
        <v>98</v>
      </c>
    </row>
    <row r="46" spans="1:7" ht="15" customHeight="1">
      <c r="A46" s="203" t="s">
        <v>678</v>
      </c>
      <c r="B46" s="206" t="s">
        <v>679</v>
      </c>
      <c r="D46" s="203" t="str">
        <f>IF(AND(C18="Project Emissions (PE)",C19="Included"),"Yes","NA")</f>
        <v>NA</v>
      </c>
      <c r="E46" s="203" t="s">
        <v>194</v>
      </c>
      <c r="G46" s="203" t="s">
        <v>98</v>
      </c>
    </row>
    <row r="47" spans="1:7" ht="30.6" customHeight="1">
      <c r="A47" s="203" t="s">
        <v>680</v>
      </c>
      <c r="B47" s="206" t="s">
        <v>681</v>
      </c>
      <c r="C47" s="208">
        <f>IF(C20="Limestone",0.12,IF(C20="Dolomite",0.13,IF(C20="Urea",0.2)))</f>
        <v>0.2</v>
      </c>
      <c r="D47" s="203" t="str">
        <f>IF(AND(C18="Project Emissions (PE)",C19="Included"),"Yes","NA")</f>
        <v>NA</v>
      </c>
      <c r="E47" s="203" t="s">
        <v>630</v>
      </c>
      <c r="F47" s="203" t="s">
        <v>682</v>
      </c>
      <c r="G47" s="203" t="s">
        <v>98</v>
      </c>
    </row>
    <row r="48" spans="1:7">
      <c r="A48" s="203" t="s">
        <v>674</v>
      </c>
      <c r="B48" s="206" t="s">
        <v>675</v>
      </c>
      <c r="C48" s="208">
        <f>(C45*C46*C47)+SUM(C49)</f>
        <v>0</v>
      </c>
      <c r="D48" s="203" t="str">
        <f>IF(AND(C18="Project Emissions (PE)",C19="Included"),"Yes","NA")</f>
        <v>NA</v>
      </c>
      <c r="E48" s="203" t="s">
        <v>630</v>
      </c>
      <c r="G48" s="203" t="s">
        <v>98</v>
      </c>
    </row>
    <row r="49" spans="1:7">
      <c r="B49" s="222" t="s">
        <v>663</v>
      </c>
      <c r="F49" s="203" t="s">
        <v>683</v>
      </c>
      <c r="G49" s="203" t="s">
        <v>10</v>
      </c>
    </row>
    <row r="50" spans="1:7" s="215" customFormat="1" ht="15" customHeight="1">
      <c r="A50" s="223" t="s">
        <v>684</v>
      </c>
      <c r="B50" s="224" t="s">
        <v>685</v>
      </c>
      <c r="D50" s="215" t="str">
        <f>IF(C20="NA","No",IF(AND(C18="Project Emissions (PE)",C19="Included"),"Yes","NA"))</f>
        <v>NA</v>
      </c>
    </row>
    <row r="51" spans="1:7" ht="15" customHeight="1">
      <c r="A51" s="203" t="s">
        <v>686</v>
      </c>
      <c r="B51" s="206" t="s">
        <v>687</v>
      </c>
      <c r="D51" s="203" t="str">
        <f>IF(C20="NA","No",IF(AND(C18="Project Emissions (PE)",C19="Included"),"Yes","NA"))</f>
        <v>NA</v>
      </c>
      <c r="E51" s="203" t="s">
        <v>194</v>
      </c>
      <c r="G51" s="203" t="s">
        <v>98</v>
      </c>
    </row>
    <row r="52" spans="1:7" ht="15" customHeight="1" thickBot="1">
      <c r="A52" s="203" t="s">
        <v>688</v>
      </c>
      <c r="B52" s="206" t="s">
        <v>689</v>
      </c>
      <c r="D52" s="203" t="str">
        <f>IF(C20="NA","No",IF(AND(C18="Project Emissions (PE)",C19="Included"),"Yes","NA"))</f>
        <v>NA</v>
      </c>
      <c r="E52" s="203" t="s">
        <v>194</v>
      </c>
      <c r="G52" s="203" t="s">
        <v>98</v>
      </c>
    </row>
    <row r="53" spans="1:7" ht="28.9" customHeight="1" thickBot="1">
      <c r="A53" s="203" t="s">
        <v>690</v>
      </c>
      <c r="B53" s="206" t="s">
        <v>691</v>
      </c>
      <c r="C53" s="225">
        <v>11.29</v>
      </c>
      <c r="D53" s="203" t="str">
        <f>IF(C20="NA","No",IF(AND(C18="Project Emissions (PE)",C19="Included"),"Yes","NA"))</f>
        <v>NA</v>
      </c>
      <c r="E53" s="203" t="s">
        <v>692</v>
      </c>
      <c r="F53" s="203" t="s">
        <v>693</v>
      </c>
      <c r="G53" s="203" t="s">
        <v>98</v>
      </c>
    </row>
    <row r="54" spans="1:7">
      <c r="A54" s="203" t="s">
        <v>684</v>
      </c>
      <c r="B54" s="206" t="s">
        <v>685</v>
      </c>
      <c r="C54" s="208">
        <f>C51*C52*C53</f>
        <v>0</v>
      </c>
      <c r="D54" s="203" t="str">
        <f>IF(C20="NA","No",IF(AND(C18="Project Emissions (PE)",C19="Included"),"Yes","NA"))</f>
        <v>NA</v>
      </c>
      <c r="E54" s="203" t="s">
        <v>630</v>
      </c>
      <c r="G54" s="203" t="s">
        <v>98</v>
      </c>
    </row>
    <row r="55" spans="1:7" s="223" customFormat="1">
      <c r="A55" s="223" t="s">
        <v>694</v>
      </c>
      <c r="B55" s="224" t="s">
        <v>695</v>
      </c>
      <c r="D55" s="223" t="str">
        <f>IF(AND(C18="Project Emissions (PE)",C19="Included"),"Yes","NA")</f>
        <v>NA</v>
      </c>
    </row>
    <row r="56" spans="1:7">
      <c r="A56" s="203" t="s">
        <v>694</v>
      </c>
      <c r="B56" s="206" t="s">
        <v>696</v>
      </c>
      <c r="C56" s="208">
        <f>C54+C48</f>
        <v>0</v>
      </c>
      <c r="D56" s="203" t="str">
        <f>IF(AND(C18="Project Emissions (PE)",C19="Included"),"Yes","NA")</f>
        <v>NA</v>
      </c>
      <c r="E56" s="203" t="s">
        <v>630</v>
      </c>
      <c r="G56" s="203" t="s">
        <v>11</v>
      </c>
    </row>
    <row r="57" spans="1:7" s="223" customFormat="1">
      <c r="A57" s="223" t="s">
        <v>697</v>
      </c>
      <c r="B57" s="224" t="s">
        <v>698</v>
      </c>
      <c r="D57" s="223" t="str">
        <f>IF(AND(C18="Project Emissions (PE)",C19="Included"),"Yes","NA")</f>
        <v>NA</v>
      </c>
    </row>
    <row r="58" spans="1:7">
      <c r="A58" s="203" t="s">
        <v>699</v>
      </c>
      <c r="B58" s="206" t="s">
        <v>700</v>
      </c>
      <c r="D58" s="203" t="str">
        <f>IF(AND(C18="Project Emissions (PE)",C19="Included"),"Yes","NA")</f>
        <v>NA</v>
      </c>
      <c r="E58" s="203" t="s">
        <v>194</v>
      </c>
      <c r="G58" s="203" t="s">
        <v>98</v>
      </c>
    </row>
    <row r="59" spans="1:7">
      <c r="A59" s="203" t="s">
        <v>701</v>
      </c>
      <c r="B59" s="206" t="s">
        <v>702</v>
      </c>
      <c r="D59" s="203" t="str">
        <f>IF(AND(C18="Project Emissions (PE)",C19="Included"),"Yes","NA")</f>
        <v>NA</v>
      </c>
      <c r="E59" s="203" t="s">
        <v>194</v>
      </c>
      <c r="F59" s="203" t="s">
        <v>703</v>
      </c>
      <c r="G59" s="203" t="s">
        <v>98</v>
      </c>
    </row>
    <row r="60" spans="1:7">
      <c r="A60" s="203" t="s">
        <v>704</v>
      </c>
      <c r="B60" s="206" t="s">
        <v>705</v>
      </c>
      <c r="D60" s="203" t="str">
        <f>IF(AND(C18="Project Emissions (PE)",C19="Included"),"Yes","NA")</f>
        <v>NA</v>
      </c>
      <c r="E60" s="203" t="s">
        <v>194</v>
      </c>
      <c r="F60" s="203" t="s">
        <v>706</v>
      </c>
      <c r="G60" s="203" t="s">
        <v>98</v>
      </c>
    </row>
    <row r="61" spans="1:7">
      <c r="A61" s="203" t="s">
        <v>707</v>
      </c>
      <c r="B61" s="206" t="s">
        <v>708</v>
      </c>
      <c r="D61" s="203" t="str">
        <f>IF(AND(C18="Project Emissions (PE)",C19="Included"),"Yes","NA")</f>
        <v>NA</v>
      </c>
      <c r="E61" s="203" t="s">
        <v>194</v>
      </c>
      <c r="F61" s="203" t="s">
        <v>709</v>
      </c>
      <c r="G61" s="203" t="s">
        <v>98</v>
      </c>
    </row>
    <row r="62" spans="1:7">
      <c r="A62" s="203" t="s">
        <v>710</v>
      </c>
      <c r="B62" s="206" t="s">
        <v>711</v>
      </c>
      <c r="D62" s="203" t="str">
        <f>IF(AND(C18="Project Emissions (PE)",C19="Included"),"Yes","NA")</f>
        <v>NA</v>
      </c>
      <c r="E62" s="203" t="s">
        <v>194</v>
      </c>
      <c r="F62" s="203" t="s">
        <v>706</v>
      </c>
      <c r="G62" s="203" t="s">
        <v>98</v>
      </c>
    </row>
    <row r="63" spans="1:7">
      <c r="A63" s="203" t="s">
        <v>712</v>
      </c>
      <c r="B63" s="206" t="s">
        <v>713</v>
      </c>
      <c r="D63" s="203" t="str">
        <f>IF(AND(C18="Project Emissions (PE)",C19="Included"),"Yes","NA")</f>
        <v>NA</v>
      </c>
      <c r="E63" s="203" t="s">
        <v>194</v>
      </c>
      <c r="F63" s="203" t="s">
        <v>709</v>
      </c>
      <c r="G63" s="203" t="s">
        <v>98</v>
      </c>
    </row>
    <row r="64" spans="1:7">
      <c r="A64" s="203" t="s">
        <v>714</v>
      </c>
      <c r="B64" s="206" t="s">
        <v>715</v>
      </c>
      <c r="D64" s="203" t="str">
        <f>IF(AND(C18="Project Emissions (PE)",C19="Included"),"Yes","NA")</f>
        <v>NA</v>
      </c>
      <c r="E64" s="203" t="s">
        <v>194</v>
      </c>
      <c r="F64" s="203" t="s">
        <v>706</v>
      </c>
      <c r="G64" s="203" t="s">
        <v>98</v>
      </c>
    </row>
    <row r="65" spans="1:7">
      <c r="A65" s="203" t="s">
        <v>716</v>
      </c>
      <c r="B65" s="206" t="s">
        <v>717</v>
      </c>
      <c r="D65" s="203" t="str">
        <f>IF(AND(C18="Project Emissions (PE)",C19="Included"),"Yes","NA")</f>
        <v>NA</v>
      </c>
      <c r="E65" s="203" t="s">
        <v>194</v>
      </c>
      <c r="F65" s="203" t="s">
        <v>709</v>
      </c>
      <c r="G65" s="203" t="s">
        <v>98</v>
      </c>
    </row>
    <row r="66" spans="1:7">
      <c r="A66" s="203" t="s">
        <v>697</v>
      </c>
      <c r="B66" s="206" t="s">
        <v>698</v>
      </c>
      <c r="C66" s="208">
        <f>1.21*C58*C59*(C60*C61*C62-C63*C64*C65)</f>
        <v>0</v>
      </c>
      <c r="D66" s="203" t="str">
        <f>IF(AND(C18="Project Emissions (PE)",C19="Included"),"Yes","NA")</f>
        <v>NA</v>
      </c>
      <c r="E66" s="203" t="s">
        <v>630</v>
      </c>
      <c r="F66" s="203" t="s">
        <v>718</v>
      </c>
      <c r="G66" s="203" t="s">
        <v>98</v>
      </c>
    </row>
    <row r="67" spans="1:7">
      <c r="B67" s="222" t="s">
        <v>663</v>
      </c>
      <c r="F67" s="203" t="s">
        <v>719</v>
      </c>
      <c r="G67" s="203" t="s">
        <v>10</v>
      </c>
    </row>
    <row r="68" spans="1:7" s="223" customFormat="1">
      <c r="A68" s="223" t="s">
        <v>720</v>
      </c>
      <c r="B68" s="224" t="s">
        <v>721</v>
      </c>
      <c r="D68" s="223" t="str">
        <f>IF(AND(C18="Project Emissions (PE)",C19="Included",C21="Included"),"Yes","NA")</f>
        <v>NA</v>
      </c>
    </row>
    <row r="69" spans="1:7">
      <c r="A69" s="203" t="s">
        <v>722</v>
      </c>
      <c r="B69" s="206" t="s">
        <v>723</v>
      </c>
      <c r="D69" s="203" t="str">
        <f>IF(AND(C18="Project Emissions (PE)",C19="Included",C21="Included"),"Yes","NA")</f>
        <v>NA</v>
      </c>
      <c r="E69" s="203" t="s">
        <v>83</v>
      </c>
      <c r="G69" s="203" t="s">
        <v>11</v>
      </c>
    </row>
    <row r="70" spans="1:7" ht="15.75" thickBot="1">
      <c r="A70" s="203" t="s">
        <v>720</v>
      </c>
      <c r="B70" s="206" t="s">
        <v>721</v>
      </c>
      <c r="C70" s="208" t="e">
        <f>MAX((44/12)*(1.179/C69)*SUM(C66:C67),0)</f>
        <v>#DIV/0!</v>
      </c>
      <c r="D70" s="203" t="str">
        <f>IF(AND(C18="Project Emissions (PE)",C19="Included"),"Yes","NA")</f>
        <v>NA</v>
      </c>
      <c r="E70" s="203" t="s">
        <v>630</v>
      </c>
      <c r="F70" s="203" t="s">
        <v>724</v>
      </c>
      <c r="G70" s="203" t="s">
        <v>11</v>
      </c>
    </row>
    <row r="71" spans="1:7" s="226" customFormat="1" ht="13.9" customHeight="1" thickTop="1" thickBot="1">
      <c r="A71" s="226" t="s">
        <v>653</v>
      </c>
      <c r="B71" s="216" t="s">
        <v>654</v>
      </c>
      <c r="C71" s="227" t="e">
        <f>C70+C56+C43+C38</f>
        <v>#DIV/0!</v>
      </c>
      <c r="D71" s="226" t="str">
        <f>IF(AND(C18="Project Emissions (PE)",C19="Included"),"Yes","NA")</f>
        <v>NA</v>
      </c>
      <c r="E71" s="226" t="s">
        <v>630</v>
      </c>
      <c r="F71" s="226" t="s">
        <v>725</v>
      </c>
      <c r="G71" s="226" t="s">
        <v>11</v>
      </c>
    </row>
    <row r="72" spans="1:7" s="221" customFormat="1" ht="39" thickTop="1" thickBot="1">
      <c r="A72" s="221" t="s">
        <v>726</v>
      </c>
      <c r="B72" s="214" t="s">
        <v>727</v>
      </c>
      <c r="D72" s="221" t="str">
        <f>IF(OR(C22="Included",C23="Included"),"Yes","NA")</f>
        <v>NA</v>
      </c>
      <c r="F72" s="221" t="s">
        <v>728</v>
      </c>
    </row>
    <row r="73" spans="1:7" s="226" customFormat="1" ht="16.5" thickTop="1" thickBot="1">
      <c r="A73" s="226" t="s">
        <v>729</v>
      </c>
      <c r="B73" s="216" t="s">
        <v>730</v>
      </c>
      <c r="C73" s="227" t="s">
        <v>731</v>
      </c>
      <c r="D73" s="226" t="str">
        <f>IF(C22="Included","Yes","NA")</f>
        <v>NA</v>
      </c>
      <c r="E73" s="226" t="s">
        <v>670</v>
      </c>
      <c r="F73" s="226" t="s">
        <v>732</v>
      </c>
      <c r="G73" s="226" t="s">
        <v>11</v>
      </c>
    </row>
    <row r="74" spans="1:7" s="226" customFormat="1" ht="16.5" thickTop="1" thickBot="1">
      <c r="A74" s="226" t="s">
        <v>733</v>
      </c>
      <c r="B74" s="216" t="s">
        <v>734</v>
      </c>
      <c r="C74" s="227" t="s">
        <v>731</v>
      </c>
      <c r="D74" s="226" t="str">
        <f>IF(C23="Included","Yes","NA")</f>
        <v>NA</v>
      </c>
      <c r="E74" s="226" t="s">
        <v>670</v>
      </c>
      <c r="F74" s="226" t="s">
        <v>735</v>
      </c>
      <c r="G74" s="226" t="s">
        <v>11</v>
      </c>
    </row>
    <row r="75" spans="1:7" s="221" customFormat="1" ht="38.25" thickTop="1">
      <c r="A75" s="221" t="s">
        <v>736</v>
      </c>
      <c r="B75" s="214" t="s">
        <v>737</v>
      </c>
      <c r="D75" s="221" t="str">
        <f>IF(OR(C24="Included",C25="Included"),"Yes","NA")</f>
        <v>NA</v>
      </c>
    </row>
    <row r="76" spans="1:7" ht="30">
      <c r="A76" s="203" t="s">
        <v>738</v>
      </c>
      <c r="B76" s="206" t="s">
        <v>739</v>
      </c>
      <c r="C76" s="208" t="s">
        <v>740</v>
      </c>
      <c r="D76" s="203" t="str">
        <f>IF(C24="Included","Yes","NA")</f>
        <v>NA</v>
      </c>
      <c r="E76" s="203" t="s">
        <v>670</v>
      </c>
      <c r="F76" s="203" t="s">
        <v>741</v>
      </c>
      <c r="G76" s="203" t="s">
        <v>11</v>
      </c>
    </row>
    <row r="77" spans="1:7" ht="30">
      <c r="A77" s="203" t="s">
        <v>742</v>
      </c>
      <c r="B77" s="206" t="s">
        <v>743</v>
      </c>
      <c r="C77" s="208" t="s">
        <v>669</v>
      </c>
      <c r="D77" s="203" t="str">
        <f>IF(C24="Included","Yes","NA")</f>
        <v>NA</v>
      </c>
      <c r="E77" s="203" t="s">
        <v>670</v>
      </c>
      <c r="G77" s="203" t="s">
        <v>11</v>
      </c>
    </row>
    <row r="78" spans="1:7" ht="30">
      <c r="A78" s="203" t="s">
        <v>744</v>
      </c>
      <c r="B78" s="206" t="s">
        <v>745</v>
      </c>
      <c r="C78" s="208" t="s">
        <v>746</v>
      </c>
      <c r="D78" s="203" t="str">
        <f>IF(C24="Included","Yes","NA")</f>
        <v>NA</v>
      </c>
      <c r="E78" s="203" t="s">
        <v>670</v>
      </c>
      <c r="G78" s="203" t="s">
        <v>11</v>
      </c>
    </row>
    <row r="79" spans="1:7" ht="15.75" thickBot="1">
      <c r="A79" s="203" t="s">
        <v>747</v>
      </c>
      <c r="B79" s="206" t="s">
        <v>748</v>
      </c>
      <c r="C79" s="208" t="e">
        <f>C76+C77+C78</f>
        <v>#VALUE!</v>
      </c>
      <c r="D79" s="203" t="str">
        <f>IF(C24="Included","Yes","NA")</f>
        <v>NA</v>
      </c>
      <c r="F79" s="203" t="s">
        <v>749</v>
      </c>
      <c r="G79" s="203" t="s">
        <v>11</v>
      </c>
    </row>
    <row r="80" spans="1:7" ht="15.75" thickBot="1">
      <c r="A80" s="203" t="s">
        <v>750</v>
      </c>
      <c r="B80" s="206" t="s">
        <v>751</v>
      </c>
      <c r="C80" s="225">
        <v>28</v>
      </c>
      <c r="D80" s="203" t="str">
        <f>IF(C24="Included","Yes","NA")</f>
        <v>NA</v>
      </c>
      <c r="E80" s="203" t="s">
        <v>410</v>
      </c>
      <c r="G80" s="203" t="s">
        <v>11</v>
      </c>
    </row>
    <row r="81" spans="1:7">
      <c r="A81" s="203" t="s">
        <v>752</v>
      </c>
      <c r="B81" s="206" t="s">
        <v>753</v>
      </c>
      <c r="D81" s="203" t="str">
        <f>IF(C24="Included","Yes","NA")</f>
        <v>NA</v>
      </c>
      <c r="E81" s="203" t="s">
        <v>194</v>
      </c>
      <c r="G81" s="203" t="s">
        <v>11</v>
      </c>
    </row>
    <row r="82" spans="1:7" ht="30">
      <c r="A82" s="203" t="s">
        <v>754</v>
      </c>
      <c r="B82" s="206" t="s">
        <v>755</v>
      </c>
      <c r="D82" s="203" t="str">
        <f>IF(C24="Included","Yes","NA")</f>
        <v>NA</v>
      </c>
      <c r="E82" s="203" t="s">
        <v>194</v>
      </c>
      <c r="G82" s="203" t="s">
        <v>11</v>
      </c>
    </row>
    <row r="83" spans="1:7">
      <c r="A83" s="203" t="s">
        <v>756</v>
      </c>
      <c r="B83" s="206" t="s">
        <v>757</v>
      </c>
      <c r="D83" s="203" t="str">
        <f>IF(C24="Included","Yes","NA")</f>
        <v>NA</v>
      </c>
      <c r="E83" s="203" t="s">
        <v>194</v>
      </c>
      <c r="G83" s="203" t="s">
        <v>11</v>
      </c>
    </row>
    <row r="84" spans="1:7" ht="30">
      <c r="A84" s="203" t="s">
        <v>758</v>
      </c>
      <c r="B84" s="206" t="s">
        <v>759</v>
      </c>
      <c r="D84" s="203" t="str">
        <f>IF(C24="Included","Yes","NA")</f>
        <v>NA</v>
      </c>
      <c r="E84" s="203" t="s">
        <v>194</v>
      </c>
      <c r="G84" s="203" t="s">
        <v>11</v>
      </c>
    </row>
    <row r="85" spans="1:7" ht="30">
      <c r="A85" s="203" t="s">
        <v>760</v>
      </c>
      <c r="B85" s="206" t="s">
        <v>761</v>
      </c>
      <c r="C85" s="208">
        <f>C80*C81*C82*C83*C84</f>
        <v>0</v>
      </c>
      <c r="D85" s="203" t="str">
        <f>IF(C24="Included","Yes","NA")</f>
        <v>NA</v>
      </c>
      <c r="E85" s="203" t="s">
        <v>630</v>
      </c>
      <c r="G85" s="203" t="s">
        <v>11</v>
      </c>
    </row>
    <row r="86" spans="1:7" ht="30">
      <c r="A86" s="203" t="s">
        <v>762</v>
      </c>
      <c r="B86" s="206" t="s">
        <v>763</v>
      </c>
      <c r="C86" s="208" t="s">
        <v>669</v>
      </c>
      <c r="D86" s="203" t="str">
        <f>IF(C24="Included","Yes","NA")</f>
        <v>NA</v>
      </c>
      <c r="E86" s="203" t="s">
        <v>670</v>
      </c>
      <c r="G86" s="203" t="s">
        <v>11</v>
      </c>
    </row>
    <row r="87" spans="1:7" ht="30">
      <c r="A87" s="203" t="s">
        <v>764</v>
      </c>
      <c r="B87" s="206" t="s">
        <v>765</v>
      </c>
      <c r="C87" s="208" t="s">
        <v>746</v>
      </c>
      <c r="D87" s="203" t="str">
        <f>IF(C24="Included","Yes","NA")</f>
        <v>NA</v>
      </c>
      <c r="E87" s="203" t="s">
        <v>670</v>
      </c>
      <c r="G87" s="203" t="s">
        <v>11</v>
      </c>
    </row>
    <row r="88" spans="1:7" ht="30">
      <c r="A88" s="203" t="s">
        <v>766</v>
      </c>
      <c r="B88" s="206" t="s">
        <v>767</v>
      </c>
      <c r="C88" s="208" t="s">
        <v>768</v>
      </c>
      <c r="D88" s="203" t="str">
        <f>IF(C24="Included","Yes","NA")</f>
        <v>NA</v>
      </c>
      <c r="E88" s="203" t="s">
        <v>670</v>
      </c>
      <c r="G88" s="203" t="s">
        <v>11</v>
      </c>
    </row>
    <row r="89" spans="1:7" ht="30">
      <c r="A89" s="203" t="s">
        <v>769</v>
      </c>
      <c r="B89" s="206" t="s">
        <v>770</v>
      </c>
      <c r="C89" s="208" t="s">
        <v>771</v>
      </c>
      <c r="D89" s="203" t="str">
        <f>IF(C24="Included","Yes","NA")</f>
        <v>NA</v>
      </c>
      <c r="E89" s="203" t="s">
        <v>670</v>
      </c>
      <c r="G89" s="203" t="s">
        <v>11</v>
      </c>
    </row>
    <row r="90" spans="1:7" ht="30.75" thickBot="1">
      <c r="A90" s="203" t="s">
        <v>772</v>
      </c>
      <c r="B90" s="206" t="s">
        <v>773</v>
      </c>
      <c r="C90" s="208" t="s">
        <v>774</v>
      </c>
      <c r="D90" s="203" t="str">
        <f>IF(C24="Included","Yes","NA")</f>
        <v>NA</v>
      </c>
      <c r="E90" s="203" t="s">
        <v>670</v>
      </c>
      <c r="G90" s="203" t="s">
        <v>11</v>
      </c>
    </row>
    <row r="91" spans="1:7" s="226" customFormat="1" ht="15" customHeight="1" thickTop="1" thickBot="1">
      <c r="A91" s="226" t="s">
        <v>775</v>
      </c>
      <c r="B91" s="216" t="s">
        <v>776</v>
      </c>
      <c r="C91" s="227" t="e">
        <f>C86+C87+C88+C89+C90+C85+C79</f>
        <v>#VALUE!</v>
      </c>
      <c r="D91" s="226" t="str">
        <f>IF(C24="Included","Yes","NA")</f>
        <v>NA</v>
      </c>
      <c r="E91" s="226" t="s">
        <v>630</v>
      </c>
      <c r="G91" s="226" t="s">
        <v>11</v>
      </c>
    </row>
    <row r="92" spans="1:7" ht="30.75" thickTop="1">
      <c r="A92" s="203" t="s">
        <v>777</v>
      </c>
      <c r="B92" s="206" t="s">
        <v>778</v>
      </c>
      <c r="C92" s="208" t="s">
        <v>740</v>
      </c>
      <c r="D92" s="203" t="str">
        <f>IF(C25="Included","Yes","NA")</f>
        <v>NA</v>
      </c>
      <c r="E92" s="203" t="s">
        <v>670</v>
      </c>
      <c r="F92" s="203" t="s">
        <v>741</v>
      </c>
      <c r="G92" s="203" t="s">
        <v>11</v>
      </c>
    </row>
    <row r="93" spans="1:7" ht="30">
      <c r="A93" s="203" t="s">
        <v>779</v>
      </c>
      <c r="B93" s="206" t="s">
        <v>780</v>
      </c>
      <c r="C93" s="208" t="s">
        <v>669</v>
      </c>
      <c r="D93" s="203" t="str">
        <f>IF(C25="Included","Yes","NA")</f>
        <v>NA</v>
      </c>
      <c r="E93" s="203" t="s">
        <v>670</v>
      </c>
      <c r="G93" s="203" t="s">
        <v>11</v>
      </c>
    </row>
    <row r="94" spans="1:7" ht="30">
      <c r="A94" s="203" t="s">
        <v>781</v>
      </c>
      <c r="B94" s="206" t="s">
        <v>782</v>
      </c>
      <c r="C94" s="208" t="s">
        <v>746</v>
      </c>
      <c r="D94" s="203" t="str">
        <f>IF(C25="Included","Yes","NA")</f>
        <v>NA</v>
      </c>
      <c r="E94" s="203" t="s">
        <v>670</v>
      </c>
      <c r="G94" s="203" t="s">
        <v>11</v>
      </c>
    </row>
    <row r="95" spans="1:7" ht="30.75" thickBot="1">
      <c r="A95" s="203" t="s">
        <v>783</v>
      </c>
      <c r="B95" s="206" t="s">
        <v>784</v>
      </c>
      <c r="C95" s="228" t="e">
        <f>C92+C93+C94</f>
        <v>#VALUE!</v>
      </c>
      <c r="D95" s="203" t="str">
        <f>IF(C25="Included","Yes","NA")</f>
        <v>NA</v>
      </c>
      <c r="F95" s="203" t="s">
        <v>749</v>
      </c>
      <c r="G95" s="203" t="s">
        <v>11</v>
      </c>
    </row>
    <row r="96" spans="1:7" ht="15.75" thickBot="1">
      <c r="A96" s="203" t="s">
        <v>750</v>
      </c>
      <c r="B96" s="206" t="s">
        <v>751</v>
      </c>
      <c r="C96" s="225">
        <v>28</v>
      </c>
      <c r="D96" s="203" t="str">
        <f>IF(C25="Included","Yes","NA")</f>
        <v>NA</v>
      </c>
      <c r="E96" s="203" t="s">
        <v>410</v>
      </c>
      <c r="G96" s="203" t="s">
        <v>11</v>
      </c>
    </row>
    <row r="97" spans="1:7">
      <c r="A97" s="203" t="s">
        <v>785</v>
      </c>
      <c r="B97" s="206" t="s">
        <v>786</v>
      </c>
      <c r="D97" s="203" t="str">
        <f>IF(C25="Included","Yes","NA")</f>
        <v>NA</v>
      </c>
      <c r="E97" s="203" t="s">
        <v>194</v>
      </c>
      <c r="G97" s="203" t="s">
        <v>11</v>
      </c>
    </row>
    <row r="98" spans="1:7" ht="30">
      <c r="A98" s="203" t="s">
        <v>787</v>
      </c>
      <c r="B98" s="206" t="s">
        <v>788</v>
      </c>
      <c r="D98" s="203" t="str">
        <f>IF(C25="Included","Yes","NA")</f>
        <v>NA</v>
      </c>
      <c r="E98" s="203" t="s">
        <v>194</v>
      </c>
      <c r="G98" s="203" t="s">
        <v>11</v>
      </c>
    </row>
    <row r="99" spans="1:7">
      <c r="A99" s="203" t="s">
        <v>756</v>
      </c>
      <c r="B99" s="206" t="s">
        <v>757</v>
      </c>
      <c r="D99" s="203" t="str">
        <f>IF(C25="Included","Yes","NA")</f>
        <v>NA</v>
      </c>
      <c r="E99" s="203" t="s">
        <v>194</v>
      </c>
      <c r="G99" s="203" t="s">
        <v>11</v>
      </c>
    </row>
    <row r="100" spans="1:7" ht="30">
      <c r="A100" s="203" t="s">
        <v>789</v>
      </c>
      <c r="B100" s="206" t="s">
        <v>790</v>
      </c>
      <c r="D100" s="203" t="str">
        <f>IF(C25="Included","Yes","NA")</f>
        <v>NA</v>
      </c>
      <c r="E100" s="203" t="s">
        <v>194</v>
      </c>
      <c r="G100" s="203" t="s">
        <v>11</v>
      </c>
    </row>
    <row r="101" spans="1:7" ht="30">
      <c r="A101" s="203" t="s">
        <v>791</v>
      </c>
      <c r="B101" s="206" t="s">
        <v>792</v>
      </c>
      <c r="C101" s="208">
        <f>C96*C97*C98*C99*C100</f>
        <v>0</v>
      </c>
      <c r="D101" s="203" t="str">
        <f>IF(C25="Included","Yes","NA")</f>
        <v>NA</v>
      </c>
      <c r="E101" s="203" t="s">
        <v>630</v>
      </c>
      <c r="G101" s="203" t="s">
        <v>11</v>
      </c>
    </row>
    <row r="102" spans="1:7" ht="30">
      <c r="A102" s="203" t="s">
        <v>793</v>
      </c>
      <c r="B102" s="206" t="s">
        <v>794</v>
      </c>
      <c r="C102" s="208" t="s">
        <v>669</v>
      </c>
      <c r="D102" s="203" t="str">
        <f>IF(C25="Included","Yes","NA")</f>
        <v>NA</v>
      </c>
      <c r="E102" s="203" t="s">
        <v>670</v>
      </c>
      <c r="G102" s="203" t="s">
        <v>11</v>
      </c>
    </row>
    <row r="103" spans="1:7" ht="30">
      <c r="A103" s="203" t="s">
        <v>795</v>
      </c>
      <c r="B103" s="206" t="s">
        <v>796</v>
      </c>
      <c r="C103" s="208" t="s">
        <v>746</v>
      </c>
      <c r="D103" s="203" t="str">
        <f>IF(C25="Included","Yes","NA")</f>
        <v>NA</v>
      </c>
      <c r="E103" s="203" t="s">
        <v>670</v>
      </c>
      <c r="G103" s="203" t="s">
        <v>11</v>
      </c>
    </row>
    <row r="104" spans="1:7" ht="30">
      <c r="A104" s="203" t="s">
        <v>797</v>
      </c>
      <c r="B104" s="206" t="s">
        <v>798</v>
      </c>
      <c r="C104" s="208" t="s">
        <v>768</v>
      </c>
      <c r="D104" s="203" t="str">
        <f>IF(C25="Included","Yes","NA")</f>
        <v>NA</v>
      </c>
      <c r="E104" s="203" t="s">
        <v>670</v>
      </c>
      <c r="G104" s="203" t="s">
        <v>11</v>
      </c>
    </row>
    <row r="105" spans="1:7" ht="30">
      <c r="A105" s="203" t="s">
        <v>799</v>
      </c>
      <c r="B105" s="206" t="s">
        <v>800</v>
      </c>
      <c r="C105" s="208" t="s">
        <v>771</v>
      </c>
      <c r="D105" s="203" t="str">
        <f>IF(C25="Included","Yes","NA")</f>
        <v>NA</v>
      </c>
      <c r="E105" s="203" t="s">
        <v>670</v>
      </c>
      <c r="G105" s="203" t="s">
        <v>11</v>
      </c>
    </row>
    <row r="106" spans="1:7" ht="30.75" thickBot="1">
      <c r="A106" s="203" t="s">
        <v>801</v>
      </c>
      <c r="B106" s="206" t="s">
        <v>802</v>
      </c>
      <c r="C106" s="208" t="s">
        <v>774</v>
      </c>
      <c r="D106" s="203" t="str">
        <f>IF(C25="Included","Yes","NA")</f>
        <v>NA</v>
      </c>
      <c r="E106" s="203" t="s">
        <v>670</v>
      </c>
      <c r="G106" s="203" t="s">
        <v>11</v>
      </c>
    </row>
    <row r="107" spans="1:7" s="226" customFormat="1" ht="16.5" thickTop="1" thickBot="1">
      <c r="A107" s="226" t="s">
        <v>803</v>
      </c>
      <c r="B107" s="216" t="s">
        <v>804</v>
      </c>
      <c r="C107" s="227" t="e">
        <f>C102+C103+C104+C105+C106+C101+C95</f>
        <v>#VALUE!</v>
      </c>
      <c r="D107" s="226" t="str">
        <f>IF(C25="Included","Yes","NA")</f>
        <v>NA</v>
      </c>
      <c r="E107" s="226" t="s">
        <v>630</v>
      </c>
      <c r="G107" s="226" t="s">
        <v>11</v>
      </c>
    </row>
    <row r="108" spans="1:7" s="221" customFormat="1" ht="38.25" thickTop="1">
      <c r="A108" s="221" t="s">
        <v>805</v>
      </c>
      <c r="B108" s="214" t="s">
        <v>806</v>
      </c>
      <c r="D108" s="221" t="str">
        <f>IF(C27="Included","Yes","NA")</f>
        <v>NA</v>
      </c>
    </row>
    <row r="109" spans="1:7" ht="30">
      <c r="B109" s="206" t="s">
        <v>807</v>
      </c>
      <c r="C109" s="229"/>
      <c r="D109" s="203" t="str">
        <f>IF(C27="Included","Yes","NA")</f>
        <v>NA</v>
      </c>
      <c r="E109" s="203" t="s">
        <v>194</v>
      </c>
      <c r="G109" s="203" t="s">
        <v>98</v>
      </c>
    </row>
    <row r="110" spans="1:7" ht="30.75" thickBot="1">
      <c r="B110" s="206" t="s">
        <v>808</v>
      </c>
      <c r="C110" s="229"/>
      <c r="D110" s="203" t="str">
        <f>IF(C27="Included","Yes","NA")</f>
        <v>NA</v>
      </c>
      <c r="E110" s="203" t="s">
        <v>194</v>
      </c>
      <c r="G110" s="203" t="s">
        <v>98</v>
      </c>
    </row>
    <row r="111" spans="1:7" s="218" customFormat="1" ht="31.5" thickTop="1" thickBot="1">
      <c r="A111" s="218" t="s">
        <v>805</v>
      </c>
      <c r="B111" s="230" t="s">
        <v>806</v>
      </c>
      <c r="C111" s="217">
        <f>IF(OR(C28="Yes",C29="Yes"),0,IF(AND(C3="Small or Micro",C109&lt;0.1,C110&lt;0.1),0,IF(C3="Large","No shift of pre-project activities is allowed",IF(OR(C109&gt;0.5,C110&gt;0.5),"Tool NA",IF(OR(C109&gt;0.1,C110&gt;0.1),"=(BE-PE)*.15")))))</f>
        <v>0</v>
      </c>
      <c r="D111" s="218" t="str">
        <f>IF(C27="Included","Yes","NA")</f>
        <v>NA</v>
      </c>
      <c r="E111" s="218" t="s">
        <v>630</v>
      </c>
      <c r="F111" s="218" t="s">
        <v>809</v>
      </c>
      <c r="G111" s="218" t="s">
        <v>98</v>
      </c>
    </row>
    <row r="112" spans="1:7" s="221" customFormat="1" ht="38.25" thickTop="1">
      <c r="A112" s="221" t="s">
        <v>810</v>
      </c>
      <c r="B112" s="214" t="s">
        <v>811</v>
      </c>
      <c r="D112" s="221" t="str">
        <f>IF(C30="Included","Yes","NA")</f>
        <v>NA</v>
      </c>
    </row>
    <row r="113" spans="1:7">
      <c r="A113" s="203" t="s">
        <v>812</v>
      </c>
      <c r="B113" s="206" t="s">
        <v>813</v>
      </c>
      <c r="D113" s="203" t="str">
        <f>IF(C30="Included","Yes","NA")</f>
        <v>NA</v>
      </c>
      <c r="E113" s="203" t="s">
        <v>194</v>
      </c>
      <c r="G113" s="203" t="s">
        <v>98</v>
      </c>
    </row>
    <row r="114" spans="1:7" ht="30">
      <c r="A114" s="203" t="s">
        <v>814</v>
      </c>
      <c r="B114" s="206" t="s">
        <v>815</v>
      </c>
      <c r="D114" s="203" t="str">
        <f>IF(C30="Included","Yes","NA")</f>
        <v>NA</v>
      </c>
      <c r="E114" s="203" t="s">
        <v>194</v>
      </c>
      <c r="F114" s="203" t="s">
        <v>816</v>
      </c>
      <c r="G114" s="203" t="s">
        <v>98</v>
      </c>
    </row>
    <row r="115" spans="1:7" ht="15.75" thickBot="1">
      <c r="A115" s="203" t="s">
        <v>817</v>
      </c>
      <c r="B115" s="206" t="s">
        <v>818</v>
      </c>
      <c r="D115" s="203" t="str">
        <f>IF(C30="Included","Yes","NA")</f>
        <v>NA</v>
      </c>
      <c r="E115" s="203" t="s">
        <v>194</v>
      </c>
      <c r="G115" s="203" t="s">
        <v>11</v>
      </c>
    </row>
    <row r="116" spans="1:7" s="220" customFormat="1" ht="15.75" thickTop="1">
      <c r="A116" s="220" t="s">
        <v>810</v>
      </c>
      <c r="B116" s="219" t="s">
        <v>811</v>
      </c>
      <c r="C116" s="231">
        <f>IF(C31="B4: The biomass residues are used for energy or non-energy applications, or the primary source of the biomass residues and/or their fate cannot be clearly identified.",(C113*C114*C115)+SUM(C117),"See Notes")</f>
        <v>0</v>
      </c>
      <c r="D116" s="220" t="str">
        <f>IF(C30="Included","Yes","NA")</f>
        <v>NA</v>
      </c>
      <c r="E116" s="220" t="s">
        <v>630</v>
      </c>
      <c r="F116" s="220" t="s">
        <v>819</v>
      </c>
      <c r="G116" s="220" t="s">
        <v>98</v>
      </c>
    </row>
    <row r="117" spans="1:7" s="232" customFormat="1" ht="15.75" thickBot="1">
      <c r="B117" s="233" t="s">
        <v>820</v>
      </c>
      <c r="D117" s="232" t="str">
        <f>IF(C30="Included","Yes","NA")</f>
        <v>NA</v>
      </c>
      <c r="F117" s="232" t="s">
        <v>821</v>
      </c>
      <c r="G117" s="232" t="s">
        <v>10</v>
      </c>
    </row>
    <row r="118" spans="1:7" s="221" customFormat="1" ht="39" thickTop="1" thickBot="1">
      <c r="A118" s="221" t="s">
        <v>822</v>
      </c>
      <c r="B118" s="214" t="s">
        <v>823</v>
      </c>
      <c r="D118" s="221" t="str">
        <f>IF(C32="Included","Yes","NA")</f>
        <v>NA</v>
      </c>
    </row>
    <row r="119" spans="1:7" s="226" customFormat="1" ht="16.5" thickTop="1" thickBot="1">
      <c r="A119" s="226" t="s">
        <v>822</v>
      </c>
      <c r="B119" s="216" t="s">
        <v>823</v>
      </c>
      <c r="C119" s="227" t="s">
        <v>824</v>
      </c>
      <c r="D119" s="226" t="str">
        <f>IF(C32="Included","Yes","NA")</f>
        <v>NA</v>
      </c>
      <c r="E119" s="226" t="s">
        <v>670</v>
      </c>
      <c r="F119" s="226" t="s">
        <v>735</v>
      </c>
      <c r="G119" s="226" t="s">
        <v>11</v>
      </c>
    </row>
    <row r="120" spans="1:7" s="221" customFormat="1" ht="38.25" thickTop="1">
      <c r="A120" s="221" t="s">
        <v>825</v>
      </c>
      <c r="B120" s="214" t="s">
        <v>826</v>
      </c>
      <c r="D120" s="221" t="str">
        <f>IF(C33="Included","Yes","NA")</f>
        <v>NA</v>
      </c>
    </row>
    <row r="121" spans="1:7">
      <c r="A121" s="203" t="s">
        <v>827</v>
      </c>
      <c r="B121" s="203" t="s">
        <v>828</v>
      </c>
      <c r="C121" s="208" t="s">
        <v>740</v>
      </c>
      <c r="D121" s="203" t="str">
        <f>IF(C33="Included","Yes","NA")</f>
        <v>NA</v>
      </c>
      <c r="E121" s="203" t="s">
        <v>670</v>
      </c>
      <c r="F121" s="203" t="s">
        <v>741</v>
      </c>
      <c r="G121" s="203" t="s">
        <v>11</v>
      </c>
    </row>
    <row r="122" spans="1:7">
      <c r="A122" s="203" t="s">
        <v>829</v>
      </c>
      <c r="B122" s="203" t="s">
        <v>830</v>
      </c>
      <c r="C122" s="208" t="s">
        <v>831</v>
      </c>
      <c r="D122" s="203" t="str">
        <f>IF(C33="Included","Yes","NA")</f>
        <v>NA</v>
      </c>
      <c r="E122" s="203" t="s">
        <v>670</v>
      </c>
      <c r="G122" s="203" t="s">
        <v>11</v>
      </c>
    </row>
    <row r="123" spans="1:7">
      <c r="A123" s="203" t="s">
        <v>832</v>
      </c>
      <c r="B123" s="203" t="s">
        <v>833</v>
      </c>
      <c r="C123" s="208" t="s">
        <v>834</v>
      </c>
      <c r="D123" s="203" t="str">
        <f>IF(C33="Included","Yes","NA")</f>
        <v>NA</v>
      </c>
      <c r="E123" s="203" t="s">
        <v>670</v>
      </c>
      <c r="G123" s="203" t="s">
        <v>11</v>
      </c>
    </row>
    <row r="124" spans="1:7" ht="15.75" thickBot="1">
      <c r="A124" s="203" t="s">
        <v>835</v>
      </c>
      <c r="B124" s="203" t="s">
        <v>836</v>
      </c>
      <c r="C124" s="228" t="e">
        <f>C121+C122+C123</f>
        <v>#VALUE!</v>
      </c>
      <c r="D124" s="203" t="str">
        <f>IF(C33="Included","Yes","NA")</f>
        <v>NA</v>
      </c>
      <c r="F124" s="203" t="s">
        <v>837</v>
      </c>
      <c r="G124" s="203" t="s">
        <v>11</v>
      </c>
    </row>
    <row r="125" spans="1:7" ht="15.75" thickBot="1">
      <c r="A125" s="203" t="s">
        <v>750</v>
      </c>
      <c r="B125" s="203" t="s">
        <v>751</v>
      </c>
      <c r="C125" s="225">
        <v>28</v>
      </c>
      <c r="D125" s="203" t="str">
        <f>IF(C33="Included","Yes","NA")</f>
        <v>NA</v>
      </c>
      <c r="E125" s="203" t="s">
        <v>410</v>
      </c>
      <c r="G125" s="203" t="s">
        <v>11</v>
      </c>
    </row>
    <row r="126" spans="1:7">
      <c r="A126" s="203" t="s">
        <v>785</v>
      </c>
      <c r="B126" s="203" t="s">
        <v>786</v>
      </c>
      <c r="D126" s="203" t="str">
        <f>IF(C33="Included","Yes","NA")</f>
        <v>NA</v>
      </c>
      <c r="E126" s="203" t="s">
        <v>194</v>
      </c>
      <c r="G126" s="203" t="s">
        <v>11</v>
      </c>
    </row>
    <row r="127" spans="1:7">
      <c r="A127" s="203" t="s">
        <v>787</v>
      </c>
      <c r="B127" s="203" t="s">
        <v>788</v>
      </c>
      <c r="D127" s="203" t="str">
        <f>IF(C33="Included","Yes","NA")</f>
        <v>NA</v>
      </c>
      <c r="E127" s="203" t="s">
        <v>194</v>
      </c>
      <c r="G127" s="203" t="s">
        <v>11</v>
      </c>
    </row>
    <row r="128" spans="1:7">
      <c r="A128" s="203" t="s">
        <v>756</v>
      </c>
      <c r="B128" s="203" t="s">
        <v>757</v>
      </c>
      <c r="D128" s="203" t="str">
        <f>IF(C33="Included","Yes","NA")</f>
        <v>NA</v>
      </c>
      <c r="E128" s="203" t="s">
        <v>194</v>
      </c>
      <c r="G128" s="203" t="s">
        <v>11</v>
      </c>
    </row>
    <row r="129" spans="1:7">
      <c r="A129" s="203" t="s">
        <v>789</v>
      </c>
      <c r="B129" s="203" t="s">
        <v>790</v>
      </c>
      <c r="D129" s="203" t="str">
        <f>IF(C33="Included","Yes","NA")</f>
        <v>NA</v>
      </c>
      <c r="E129" s="203" t="s">
        <v>194</v>
      </c>
      <c r="G129" s="203" t="s">
        <v>11</v>
      </c>
    </row>
    <row r="130" spans="1:7">
      <c r="A130" s="203" t="s">
        <v>838</v>
      </c>
      <c r="B130" s="203" t="s">
        <v>839</v>
      </c>
      <c r="C130" s="208">
        <f>C125*C126*C127*C128*C129</f>
        <v>0</v>
      </c>
      <c r="D130" s="203" t="str">
        <f>IF(C33="Included","Yes","NA")</f>
        <v>NA</v>
      </c>
      <c r="E130" s="203" t="s">
        <v>630</v>
      </c>
      <c r="G130" s="203" t="s">
        <v>11</v>
      </c>
    </row>
    <row r="131" spans="1:7">
      <c r="A131" s="203" t="s">
        <v>840</v>
      </c>
      <c r="B131" s="203" t="s">
        <v>841</v>
      </c>
      <c r="C131" s="208" t="s">
        <v>831</v>
      </c>
      <c r="D131" s="203" t="str">
        <f>IF(C33="Included","Yes","NA")</f>
        <v>NA</v>
      </c>
      <c r="E131" s="203" t="s">
        <v>670</v>
      </c>
      <c r="G131" s="203" t="s">
        <v>11</v>
      </c>
    </row>
    <row r="132" spans="1:7">
      <c r="A132" s="203" t="s">
        <v>842</v>
      </c>
      <c r="B132" s="203" t="s">
        <v>843</v>
      </c>
      <c r="C132" s="208" t="s">
        <v>834</v>
      </c>
      <c r="D132" s="203" t="str">
        <f>IF(C33="Included","Yes","NA")</f>
        <v>NA</v>
      </c>
      <c r="E132" s="203" t="s">
        <v>670</v>
      </c>
      <c r="G132" s="203" t="s">
        <v>11</v>
      </c>
    </row>
    <row r="133" spans="1:7">
      <c r="A133" s="203" t="s">
        <v>844</v>
      </c>
      <c r="B133" s="203" t="s">
        <v>845</v>
      </c>
      <c r="C133" s="208" t="s">
        <v>846</v>
      </c>
      <c r="D133" s="203" t="str">
        <f>IF(C33="Included","Yes","NA")</f>
        <v>NA</v>
      </c>
      <c r="E133" s="203" t="s">
        <v>670</v>
      </c>
      <c r="G133" s="203" t="s">
        <v>11</v>
      </c>
    </row>
    <row r="134" spans="1:7">
      <c r="A134" s="203" t="s">
        <v>847</v>
      </c>
      <c r="B134" s="203" t="s">
        <v>848</v>
      </c>
      <c r="C134" s="208" t="s">
        <v>849</v>
      </c>
      <c r="D134" s="203" t="str">
        <f>IF(C33="Included","Yes","NA")</f>
        <v>NA</v>
      </c>
      <c r="E134" s="203" t="s">
        <v>670</v>
      </c>
      <c r="G134" s="203" t="s">
        <v>11</v>
      </c>
    </row>
    <row r="135" spans="1:7" ht="15.75" thickBot="1">
      <c r="A135" s="203" t="s">
        <v>850</v>
      </c>
      <c r="B135" s="203" t="s">
        <v>851</v>
      </c>
      <c r="C135" s="208" t="s">
        <v>852</v>
      </c>
      <c r="D135" s="203" t="str">
        <f>IF(C33="Included","Yes","NA")</f>
        <v>NA</v>
      </c>
      <c r="E135" s="203" t="s">
        <v>670</v>
      </c>
      <c r="G135" s="203" t="s">
        <v>11</v>
      </c>
    </row>
    <row r="136" spans="1:7" s="226" customFormat="1" ht="16.5" thickTop="1" thickBot="1">
      <c r="A136" s="226" t="s">
        <v>825</v>
      </c>
      <c r="B136" s="226" t="s">
        <v>853</v>
      </c>
      <c r="C136" s="227" t="e">
        <f>C131+C132+C133+C134+C135+C130+C124</f>
        <v>#VALUE!</v>
      </c>
      <c r="D136" s="226" t="str">
        <f>IF(C33="Included","Yes","NA")</f>
        <v>NA</v>
      </c>
      <c r="E136" s="226" t="s">
        <v>630</v>
      </c>
      <c r="G136" s="226" t="s">
        <v>98</v>
      </c>
    </row>
    <row r="137" spans="1:7" s="234" customFormat="1" ht="37.9" customHeight="1" thickTop="1">
      <c r="B137" s="235" t="s">
        <v>854</v>
      </c>
      <c r="F137" s="234" t="s">
        <v>855</v>
      </c>
    </row>
  </sheetData>
  <dataConsolidate/>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3FA58174-1683-4665-8846-34F90A7C17C0}">
          <x14:formula1>
            <xm:f>'Dropdown Items'!$K$2:$K$5</xm:f>
          </x14:formula1>
          <xm:sqref>C31</xm:sqref>
        </x14:dataValidation>
        <x14:dataValidation type="list" allowBlank="1" showInputMessage="1" showErrorMessage="1" xr:uid="{D89947F0-D206-4299-B073-7340D74A4A2E}">
          <x14:formula1>
            <xm:f>'Dropdown Items'!$I$2:$I$5</xm:f>
          </x14:formula1>
          <xm:sqref>C26 C20</xm:sqref>
        </x14:dataValidation>
        <x14:dataValidation type="list" allowBlank="1" showInputMessage="1" showErrorMessage="1" xr:uid="{DCD78C94-2542-40D1-A877-41DC101B24F5}">
          <x14:formula1>
            <xm:f>'Dropdown Items'!$B$2:$B$3</xm:f>
          </x14:formula1>
          <xm:sqref>C32:C33 C19 C21:C30</xm:sqref>
        </x14:dataValidation>
        <x14:dataValidation type="list" allowBlank="1" showInputMessage="1" showErrorMessage="1" xr:uid="{DEE988BB-E45D-47E8-BA7D-858D6E015B62}">
          <x14:formula1>
            <xm:f>'Dropdown Items'!$J$2:$J$4</xm:f>
          </x14:formula1>
          <xm:sqref>C3</xm:sqref>
        </x14:dataValidation>
        <x14:dataValidation type="list" allowBlank="1" showInputMessage="1" showErrorMessage="1" xr:uid="{EE97413D-F297-497C-81CB-2A9EFECF53C9}">
          <x14:formula1>
            <xm:f>'Dropdown Items'!$E$2:$E$3</xm:f>
          </x14:formula1>
          <xm:sqref>C69</xm:sqref>
        </x14:dataValidation>
        <x14:dataValidation type="list" allowBlank="1" showInputMessage="1" showErrorMessage="1" xr:uid="{61D39B41-570C-4D44-BEBD-F10DC87E5E03}">
          <x14:formula1>
            <xm:f>'Dropdown Items'!$C$2:$C$3</xm:f>
          </x14:formula1>
          <xm:sqref>C4:C12 C15 C26 C28:C29</xm:sqref>
        </x14:dataValidation>
        <x14:dataValidation type="list" allowBlank="1" showInputMessage="1" showErrorMessage="1" xr:uid="{18157409-21B7-4C05-8206-3B20CD0E06AA}">
          <x14:formula1>
            <xm:f>'Dropdown Items'!$A$2:$A$3</xm:f>
          </x14:formula1>
          <xm:sqref>C18</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22B24-C130-4AF5-ADCC-C83A4D98376A}">
  <dimension ref="A1:B13"/>
  <sheetViews>
    <sheetView workbookViewId="0">
      <selection activeCell="B10" sqref="B10"/>
    </sheetView>
  </sheetViews>
  <sheetFormatPr defaultRowHeight="15"/>
  <cols>
    <col min="1" max="1" width="28.875" style="203" customWidth="1"/>
    <col min="2" max="2" width="27.625" style="203" customWidth="1"/>
    <col min="3" max="3" width="23" style="203" customWidth="1"/>
    <col min="4" max="16384" width="9" style="203"/>
  </cols>
  <sheetData>
    <row r="1" spans="1:2" s="236" customFormat="1">
      <c r="A1" s="273" t="s">
        <v>856</v>
      </c>
      <c r="B1" s="274"/>
    </row>
    <row r="2" spans="1:2">
      <c r="A2" s="203" t="s">
        <v>653</v>
      </c>
      <c r="B2" s="208" t="e">
        <f>'Tool 16'!C71</f>
        <v>#DIV/0!</v>
      </c>
    </row>
    <row r="3" spans="1:2">
      <c r="A3" s="237" t="s">
        <v>729</v>
      </c>
      <c r="B3" s="238" t="str">
        <f>'Tool 16'!C73</f>
        <v>Parameter PEtr,m from Tool 12</v>
      </c>
    </row>
    <row r="4" spans="1:2">
      <c r="A4" s="237" t="s">
        <v>733</v>
      </c>
      <c r="B4" s="238" t="str">
        <f>'Tool 16'!C74</f>
        <v>Parameter PEtr,m from Tool 12</v>
      </c>
    </row>
    <row r="5" spans="1:2">
      <c r="A5" s="237" t="s">
        <v>775</v>
      </c>
      <c r="B5" s="238" t="e">
        <f>'Tool 16'!C91</f>
        <v>#VALUE!</v>
      </c>
    </row>
    <row r="6" spans="1:2">
      <c r="A6" s="237" t="s">
        <v>803</v>
      </c>
      <c r="B6" s="238" t="e">
        <f>'Tool 16'!C107</f>
        <v>#VALUE!</v>
      </c>
    </row>
    <row r="7" spans="1:2" s="236" customFormat="1">
      <c r="A7" s="236" t="s">
        <v>857</v>
      </c>
      <c r="B7" s="228" t="e">
        <f>SUM(B2:B6)</f>
        <v>#DIV/0!</v>
      </c>
    </row>
    <row r="8" spans="1:2">
      <c r="A8" s="273" t="s">
        <v>858</v>
      </c>
      <c r="B8" s="273"/>
    </row>
    <row r="9" spans="1:2">
      <c r="A9" s="237" t="s">
        <v>805</v>
      </c>
      <c r="B9" s="208">
        <f>'Tool 16'!C111</f>
        <v>0</v>
      </c>
    </row>
    <row r="10" spans="1:2">
      <c r="A10" s="237" t="s">
        <v>810</v>
      </c>
      <c r="B10" s="208">
        <f>'Tool 16'!C116</f>
        <v>0</v>
      </c>
    </row>
    <row r="11" spans="1:2">
      <c r="A11" s="237" t="s">
        <v>822</v>
      </c>
      <c r="B11" s="208" t="str">
        <f>'Tool 16'!C119</f>
        <v>Parameter LEtr,m from Tool 12</v>
      </c>
    </row>
    <row r="12" spans="1:2">
      <c r="A12" s="237" t="s">
        <v>825</v>
      </c>
      <c r="B12" s="208" t="e">
        <f>'Tool 16'!C136</f>
        <v>#VALUE!</v>
      </c>
    </row>
    <row r="13" spans="1:2" s="236" customFormat="1" ht="15" customHeight="1">
      <c r="A13" s="236" t="s">
        <v>857</v>
      </c>
      <c r="B13" s="228" t="e">
        <f>SUM(B9:B12)</f>
        <v>#VALUE!</v>
      </c>
    </row>
  </sheetData>
  <mergeCells count="2">
    <mergeCell ref="A1:B1"/>
    <mergeCell ref="A8:B8"/>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8649-2ECF-4859-BA62-B8D0E0EEA63F}">
  <dimension ref="A1:K7"/>
  <sheetViews>
    <sheetView topLeftCell="I1" workbookViewId="0">
      <selection activeCell="B10" sqref="B10"/>
    </sheetView>
  </sheetViews>
  <sheetFormatPr defaultRowHeight="15"/>
  <cols>
    <col min="1" max="1" width="22.625" style="203" customWidth="1"/>
    <col min="2" max="2" width="18.125" style="203" customWidth="1"/>
    <col min="3" max="3" width="11.625" style="203" customWidth="1"/>
    <col min="4" max="4" width="38" style="203" customWidth="1"/>
    <col min="5" max="5" width="12" style="203" customWidth="1"/>
    <col min="6" max="6" width="36.5" style="203" customWidth="1"/>
    <col min="7" max="7" width="28.625" style="203" customWidth="1"/>
    <col min="8" max="8" width="9" style="203"/>
    <col min="9" max="9" width="30.375" style="203" customWidth="1"/>
    <col min="10" max="16384" width="9" style="203"/>
  </cols>
  <sheetData>
    <row r="1" spans="1:11" s="236" customFormat="1">
      <c r="A1" s="236" t="s">
        <v>510</v>
      </c>
      <c r="B1" s="236" t="s">
        <v>859</v>
      </c>
      <c r="C1" s="236" t="s">
        <v>508</v>
      </c>
      <c r="D1" s="236" t="s">
        <v>860</v>
      </c>
      <c r="E1" s="236" t="s">
        <v>861</v>
      </c>
      <c r="F1" s="236" t="s">
        <v>862</v>
      </c>
      <c r="G1" s="236" t="s">
        <v>863</v>
      </c>
      <c r="H1" s="236" t="s">
        <v>864</v>
      </c>
      <c r="I1" s="236" t="s">
        <v>865</v>
      </c>
      <c r="J1" s="236" t="s">
        <v>866</v>
      </c>
      <c r="K1" s="236" t="s">
        <v>867</v>
      </c>
    </row>
    <row r="2" spans="1:11">
      <c r="A2" s="203" t="s">
        <v>422</v>
      </c>
      <c r="B2" s="203" t="s">
        <v>868</v>
      </c>
      <c r="C2" s="203" t="s">
        <v>10</v>
      </c>
      <c r="D2" s="203" t="s">
        <v>869</v>
      </c>
      <c r="E2" s="203">
        <v>7</v>
      </c>
      <c r="F2" s="203" t="s">
        <v>870</v>
      </c>
      <c r="G2" s="203" t="s">
        <v>871</v>
      </c>
      <c r="H2" s="203" t="s">
        <v>872</v>
      </c>
      <c r="I2" s="203" t="s">
        <v>873</v>
      </c>
      <c r="J2" s="203" t="s">
        <v>874</v>
      </c>
      <c r="K2" s="203" t="s">
        <v>875</v>
      </c>
    </row>
    <row r="3" spans="1:11">
      <c r="A3" s="203" t="s">
        <v>423</v>
      </c>
      <c r="B3" s="203" t="s">
        <v>633</v>
      </c>
      <c r="C3" s="203" t="s">
        <v>11</v>
      </c>
      <c r="D3" s="203" t="s">
        <v>876</v>
      </c>
      <c r="E3" s="203">
        <v>10</v>
      </c>
      <c r="F3" s="203" t="s">
        <v>877</v>
      </c>
      <c r="G3" s="203" t="s">
        <v>878</v>
      </c>
      <c r="H3" s="203" t="s">
        <v>879</v>
      </c>
      <c r="I3" s="203" t="s">
        <v>880</v>
      </c>
      <c r="J3" s="203" t="s">
        <v>612</v>
      </c>
      <c r="K3" s="203" t="s">
        <v>881</v>
      </c>
    </row>
    <row r="4" spans="1:11">
      <c r="F4" s="203" t="s">
        <v>882</v>
      </c>
      <c r="G4" s="203" t="s">
        <v>883</v>
      </c>
      <c r="H4" s="203" t="s">
        <v>884</v>
      </c>
      <c r="I4" s="203" t="s">
        <v>635</v>
      </c>
      <c r="K4" s="203" t="s">
        <v>885</v>
      </c>
    </row>
    <row r="5" spans="1:11">
      <c r="F5" s="203" t="s">
        <v>886</v>
      </c>
      <c r="G5" s="203" t="s">
        <v>887</v>
      </c>
      <c r="H5" s="203" t="s">
        <v>888</v>
      </c>
      <c r="I5" s="203" t="s">
        <v>643</v>
      </c>
      <c r="K5" s="203" t="s">
        <v>650</v>
      </c>
    </row>
    <row r="6" spans="1:11">
      <c r="F6" s="203" t="s">
        <v>889</v>
      </c>
      <c r="G6" s="203" t="s">
        <v>320</v>
      </c>
    </row>
    <row r="7" spans="1:11">
      <c r="G7" s="203" t="s">
        <v>890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AAD6E-A835-4894-9833-BA280309706E}">
  <dimension ref="A1"/>
  <sheetViews>
    <sheetView topLeftCell="A16" workbookViewId="0">
      <selection activeCell="B10" sqref="B10"/>
    </sheetView>
  </sheetViews>
  <sheetFormatPr defaultRowHeight="15"/>
  <cols>
    <col min="1" max="16384" width="9" style="203"/>
  </cols>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96E3E-871E-5F49-BC75-0511987515F9}">
  <dimension ref="A1:H47"/>
  <sheetViews>
    <sheetView zoomScaleNormal="100" workbookViewId="0">
      <pane ySplit="1" topLeftCell="A2" activePane="bottomLeft" state="frozen"/>
      <selection pane="bottomLeft" activeCell="G15" sqref="G15"/>
      <selection activeCell="F11" sqref="F11"/>
    </sheetView>
  </sheetViews>
  <sheetFormatPr defaultColWidth="8.875" defaultRowHeight="15"/>
  <cols>
    <col min="1" max="1" width="12.5" style="6" bestFit="1" customWidth="1"/>
    <col min="2" max="2" width="13.125" style="6" bestFit="1" customWidth="1"/>
    <col min="3" max="3" width="11.625" style="6" bestFit="1" customWidth="1"/>
    <col min="4" max="4" width="17.125" style="6" bestFit="1" customWidth="1"/>
    <col min="5" max="5" width="17.375" style="6" bestFit="1" customWidth="1"/>
    <col min="6" max="6" width="84" style="6" customWidth="1"/>
    <col min="7" max="7" width="22.875" style="6" customWidth="1"/>
    <col min="8" max="8" width="94.5" style="6" customWidth="1"/>
    <col min="9" max="16384" width="8.875" style="6"/>
  </cols>
  <sheetData>
    <row r="1" spans="1:8" ht="39.75" customHeight="1">
      <c r="A1" s="76" t="s">
        <v>0</v>
      </c>
      <c r="B1" s="76" t="s">
        <v>181</v>
      </c>
      <c r="C1" s="77" t="s">
        <v>182</v>
      </c>
      <c r="D1" s="76" t="s">
        <v>3</v>
      </c>
      <c r="E1" s="76" t="s">
        <v>5</v>
      </c>
      <c r="F1" s="42" t="s">
        <v>6</v>
      </c>
      <c r="G1" s="42" t="s">
        <v>7</v>
      </c>
      <c r="H1" s="77" t="s">
        <v>183</v>
      </c>
    </row>
    <row r="2" spans="1:8" ht="30" customHeight="1">
      <c r="A2" s="261" t="s">
        <v>891</v>
      </c>
      <c r="B2" s="261"/>
      <c r="C2" s="261"/>
      <c r="D2" s="261"/>
      <c r="E2" s="261"/>
      <c r="F2" s="261"/>
      <c r="G2" s="261"/>
      <c r="H2" s="261"/>
    </row>
    <row r="3" spans="1:8" ht="33" customHeight="1">
      <c r="A3" s="275" t="s">
        <v>892</v>
      </c>
      <c r="B3" s="275"/>
      <c r="C3" s="275"/>
      <c r="D3" s="275"/>
      <c r="E3" s="275"/>
      <c r="F3" s="275"/>
      <c r="G3" s="275"/>
      <c r="H3" s="275"/>
    </row>
    <row r="4" spans="1:8" s="84" customFormat="1" ht="173.25">
      <c r="A4" s="150" t="s">
        <v>10</v>
      </c>
      <c r="B4" s="150"/>
      <c r="C4" s="150" t="s">
        <v>11</v>
      </c>
      <c r="D4" s="150" t="s">
        <v>300</v>
      </c>
      <c r="E4" s="150"/>
      <c r="F4" s="151" t="s">
        <v>893</v>
      </c>
      <c r="G4" s="151" t="s">
        <v>894</v>
      </c>
      <c r="H4" s="152" t="s">
        <v>895</v>
      </c>
    </row>
    <row r="5" spans="1:8" ht="30.75" customHeight="1">
      <c r="A5" s="276" t="s">
        <v>896</v>
      </c>
      <c r="B5" s="276"/>
      <c r="C5" s="276"/>
      <c r="D5" s="276"/>
      <c r="E5" s="276"/>
      <c r="F5" s="276"/>
      <c r="G5" s="276"/>
      <c r="H5" s="276"/>
    </row>
    <row r="6" spans="1:8" ht="26.25">
      <c r="A6" s="153" t="s">
        <v>11</v>
      </c>
      <c r="B6" s="153"/>
      <c r="C6" s="153" t="s">
        <v>11</v>
      </c>
      <c r="D6" s="153" t="s">
        <v>261</v>
      </c>
      <c r="E6" s="91" t="s">
        <v>897</v>
      </c>
      <c r="F6" s="11" t="s">
        <v>898</v>
      </c>
      <c r="G6" s="16">
        <f>SUM(G8*G7*(1+G9))</f>
        <v>0.73499999999999999</v>
      </c>
      <c r="H6" s="16"/>
    </row>
    <row r="7" spans="1:8" ht="26.25">
      <c r="A7" s="153" t="s">
        <v>11</v>
      </c>
      <c r="B7" s="153"/>
      <c r="C7" s="153" t="s">
        <v>11</v>
      </c>
      <c r="D7" s="153" t="s">
        <v>261</v>
      </c>
      <c r="E7" s="91" t="s">
        <v>899</v>
      </c>
      <c r="F7" s="11" t="s">
        <v>900</v>
      </c>
      <c r="G7" s="16">
        <f>G32</f>
        <v>0.25</v>
      </c>
      <c r="H7" s="11" t="s">
        <v>901</v>
      </c>
    </row>
    <row r="8" spans="1:8" ht="26.25">
      <c r="A8" s="84" t="s">
        <v>10</v>
      </c>
      <c r="B8" s="84"/>
      <c r="C8" s="84" t="s">
        <v>10</v>
      </c>
      <c r="D8" s="84" t="s">
        <v>194</v>
      </c>
      <c r="E8" s="93" t="s">
        <v>902</v>
      </c>
      <c r="F8" s="7" t="s">
        <v>903</v>
      </c>
      <c r="G8" s="8">
        <v>2.8</v>
      </c>
    </row>
    <row r="9" spans="1:8" ht="30">
      <c r="A9" s="84" t="s">
        <v>10</v>
      </c>
      <c r="B9" s="84"/>
      <c r="C9" s="84" t="s">
        <v>10</v>
      </c>
      <c r="D9" s="84" t="s">
        <v>194</v>
      </c>
      <c r="E9" s="93" t="s">
        <v>904</v>
      </c>
      <c r="F9" s="7" t="s">
        <v>905</v>
      </c>
      <c r="G9" s="8">
        <v>0.05</v>
      </c>
    </row>
    <row r="10" spans="1:8" ht="21" customHeight="1">
      <c r="A10" s="84" t="s">
        <v>10</v>
      </c>
      <c r="B10" s="84"/>
      <c r="C10" s="84" t="s">
        <v>10</v>
      </c>
      <c r="D10" s="84" t="s">
        <v>12</v>
      </c>
      <c r="E10" s="154" t="s">
        <v>136</v>
      </c>
      <c r="F10" s="6" t="s">
        <v>906</v>
      </c>
      <c r="G10" s="8">
        <v>0</v>
      </c>
    </row>
    <row r="11" spans="1:8" ht="26.25">
      <c r="A11" s="153" t="s">
        <v>11</v>
      </c>
      <c r="B11" s="153"/>
      <c r="C11" s="153" t="s">
        <v>11</v>
      </c>
      <c r="D11" s="153" t="s">
        <v>261</v>
      </c>
      <c r="E11" s="91" t="s">
        <v>907</v>
      </c>
      <c r="F11" s="11" t="s">
        <v>908</v>
      </c>
      <c r="G11" s="16">
        <f>SUM(G13*G12*(1+G14))</f>
        <v>1.1287499999999999</v>
      </c>
      <c r="H11" s="16"/>
    </row>
    <row r="12" spans="1:8" ht="26.25">
      <c r="A12" s="153" t="s">
        <v>11</v>
      </c>
      <c r="B12" s="153"/>
      <c r="C12" s="153" t="s">
        <v>11</v>
      </c>
      <c r="D12" s="153" t="s">
        <v>261</v>
      </c>
      <c r="E12" s="91" t="s">
        <v>909</v>
      </c>
      <c r="F12" s="11" t="s">
        <v>910</v>
      </c>
      <c r="G12" s="16">
        <f>G32</f>
        <v>0.25</v>
      </c>
      <c r="H12" s="11" t="s">
        <v>901</v>
      </c>
    </row>
    <row r="13" spans="1:8" ht="26.25">
      <c r="A13" s="84" t="s">
        <v>10</v>
      </c>
      <c r="B13" s="84"/>
      <c r="C13" s="84" t="s">
        <v>10</v>
      </c>
      <c r="D13" s="84" t="s">
        <v>194</v>
      </c>
      <c r="E13" s="93" t="s">
        <v>911</v>
      </c>
      <c r="F13" s="7" t="s">
        <v>912</v>
      </c>
      <c r="G13" s="8">
        <v>4.3</v>
      </c>
    </row>
    <row r="14" spans="1:8" ht="30">
      <c r="A14" s="84" t="s">
        <v>10</v>
      </c>
      <c r="B14" s="84"/>
      <c r="C14" s="84" t="s">
        <v>10</v>
      </c>
      <c r="D14" s="84" t="s">
        <v>194</v>
      </c>
      <c r="E14" s="93" t="s">
        <v>913</v>
      </c>
      <c r="F14" s="7" t="s">
        <v>914</v>
      </c>
      <c r="G14" s="8">
        <v>0.05</v>
      </c>
    </row>
    <row r="15" spans="1:8" ht="30" customHeight="1">
      <c r="A15" s="84" t="s">
        <v>10</v>
      </c>
      <c r="B15" s="84"/>
      <c r="C15" s="84" t="s">
        <v>10</v>
      </c>
      <c r="D15" s="84" t="s">
        <v>12</v>
      </c>
      <c r="E15" s="154" t="s">
        <v>414</v>
      </c>
      <c r="F15" s="6" t="s">
        <v>915</v>
      </c>
      <c r="G15" s="8">
        <v>0</v>
      </c>
    </row>
    <row r="16" spans="1:8" ht="26.25">
      <c r="A16" s="153" t="s">
        <v>11</v>
      </c>
      <c r="B16" s="153"/>
      <c r="C16" s="153" t="s">
        <v>11</v>
      </c>
      <c r="D16" s="153" t="s">
        <v>261</v>
      </c>
      <c r="E16" s="91" t="s">
        <v>916</v>
      </c>
      <c r="F16" s="11" t="s">
        <v>917</v>
      </c>
      <c r="G16" s="16">
        <f>SUM(G18*G17*(1+G19))</f>
        <v>0.39375000000000004</v>
      </c>
      <c r="H16" s="16"/>
    </row>
    <row r="17" spans="1:8" ht="26.25">
      <c r="A17" s="153" t="s">
        <v>11</v>
      </c>
      <c r="B17" s="153"/>
      <c r="C17" s="153" t="s">
        <v>11</v>
      </c>
      <c r="D17" s="153" t="s">
        <v>261</v>
      </c>
      <c r="E17" s="91" t="s">
        <v>918</v>
      </c>
      <c r="F17" s="11" t="s">
        <v>919</v>
      </c>
      <c r="G17" s="16">
        <f>G32</f>
        <v>0.25</v>
      </c>
      <c r="H17" s="11" t="s">
        <v>901</v>
      </c>
    </row>
    <row r="18" spans="1:8" ht="26.25">
      <c r="A18" s="84" t="s">
        <v>10</v>
      </c>
      <c r="B18" s="84"/>
      <c r="C18" s="84" t="s">
        <v>10</v>
      </c>
      <c r="D18" s="84" t="s">
        <v>194</v>
      </c>
      <c r="E18" s="93" t="s">
        <v>920</v>
      </c>
      <c r="F18" s="7" t="s">
        <v>921</v>
      </c>
      <c r="G18" s="8">
        <v>1.5</v>
      </c>
    </row>
    <row r="19" spans="1:8" ht="30">
      <c r="A19" s="84" t="s">
        <v>10</v>
      </c>
      <c r="B19" s="84"/>
      <c r="C19" s="84" t="s">
        <v>10</v>
      </c>
      <c r="D19" s="84" t="s">
        <v>194</v>
      </c>
      <c r="E19" s="93" t="s">
        <v>922</v>
      </c>
      <c r="F19" s="7" t="s">
        <v>923</v>
      </c>
      <c r="G19" s="8">
        <v>0.05</v>
      </c>
    </row>
    <row r="20" spans="1:8" ht="24" customHeight="1">
      <c r="A20" s="84" t="s">
        <v>10</v>
      </c>
      <c r="B20" s="84"/>
      <c r="C20" s="84" t="s">
        <v>10</v>
      </c>
      <c r="D20" s="84" t="s">
        <v>12</v>
      </c>
      <c r="E20" s="154" t="s">
        <v>924</v>
      </c>
      <c r="F20" s="6" t="s">
        <v>925</v>
      </c>
      <c r="G20" s="8">
        <v>0</v>
      </c>
    </row>
    <row r="21" spans="1:8" ht="36" customHeight="1">
      <c r="A21" s="277" t="s">
        <v>926</v>
      </c>
      <c r="B21" s="277"/>
      <c r="C21" s="277"/>
      <c r="D21" s="277"/>
      <c r="E21" s="277"/>
      <c r="F21" s="277"/>
      <c r="G21" s="277"/>
      <c r="H21" s="277"/>
    </row>
    <row r="22" spans="1:8" ht="28.5" customHeight="1">
      <c r="A22" s="9" t="s">
        <v>11</v>
      </c>
      <c r="B22" s="9"/>
      <c r="C22" s="9" t="s">
        <v>11</v>
      </c>
      <c r="D22" s="9" t="s">
        <v>261</v>
      </c>
      <c r="E22" s="91" t="s">
        <v>927</v>
      </c>
      <c r="F22" s="11" t="s">
        <v>928</v>
      </c>
      <c r="G22" s="16">
        <f>11400*1.3*G24</f>
        <v>0</v>
      </c>
      <c r="H22" s="16"/>
    </row>
    <row r="23" spans="1:8" ht="28.5" customHeight="1">
      <c r="A23" s="9" t="s">
        <v>11</v>
      </c>
      <c r="B23" s="9"/>
      <c r="C23" s="9" t="s">
        <v>11</v>
      </c>
      <c r="D23" s="9" t="s">
        <v>261</v>
      </c>
      <c r="E23" s="91" t="s">
        <v>929</v>
      </c>
      <c r="F23" s="11" t="s">
        <v>930</v>
      </c>
      <c r="G23" s="16">
        <f>11400*1.3*G26</f>
        <v>0</v>
      </c>
      <c r="H23" s="16"/>
    </row>
    <row r="24" spans="1:8" ht="30">
      <c r="A24" s="6" t="s">
        <v>11</v>
      </c>
      <c r="C24" s="6" t="s">
        <v>10</v>
      </c>
      <c r="D24" s="6" t="s">
        <v>194</v>
      </c>
      <c r="E24" s="93" t="s">
        <v>931</v>
      </c>
      <c r="F24" s="7" t="s">
        <v>932</v>
      </c>
    </row>
    <row r="25" spans="1:8" ht="30">
      <c r="A25" s="6" t="s">
        <v>10</v>
      </c>
      <c r="C25" s="6" t="s">
        <v>10</v>
      </c>
      <c r="D25" s="6" t="s">
        <v>12</v>
      </c>
      <c r="E25" s="93" t="s">
        <v>136</v>
      </c>
      <c r="F25" s="7" t="s">
        <v>933</v>
      </c>
    </row>
    <row r="26" spans="1:8" ht="30">
      <c r="A26" s="6" t="s">
        <v>11</v>
      </c>
      <c r="C26" s="6" t="s">
        <v>10</v>
      </c>
      <c r="D26" s="6" t="s">
        <v>194</v>
      </c>
      <c r="E26" s="93" t="s">
        <v>934</v>
      </c>
      <c r="F26" s="7" t="s">
        <v>935</v>
      </c>
    </row>
    <row r="27" spans="1:8" ht="30">
      <c r="A27" s="6" t="s">
        <v>10</v>
      </c>
      <c r="C27" s="6" t="s">
        <v>10</v>
      </c>
      <c r="D27" s="6" t="s">
        <v>12</v>
      </c>
      <c r="E27" s="93" t="s">
        <v>924</v>
      </c>
      <c r="F27" s="7" t="s">
        <v>936</v>
      </c>
    </row>
    <row r="28" spans="1:8" ht="21">
      <c r="A28" s="275" t="s">
        <v>937</v>
      </c>
      <c r="B28" s="275"/>
      <c r="C28" s="275"/>
      <c r="D28" s="275"/>
      <c r="E28" s="275"/>
      <c r="F28" s="275"/>
      <c r="G28" s="275"/>
      <c r="H28" s="275"/>
    </row>
    <row r="29" spans="1:8" ht="92.25" customHeight="1">
      <c r="A29" s="45" t="s">
        <v>10</v>
      </c>
      <c r="B29" s="45"/>
      <c r="C29" s="45" t="s">
        <v>11</v>
      </c>
      <c r="D29" s="45" t="s">
        <v>300</v>
      </c>
      <c r="E29" s="46" t="s">
        <v>938</v>
      </c>
      <c r="F29" s="155" t="s">
        <v>939</v>
      </c>
      <c r="G29" s="45" t="s">
        <v>940</v>
      </c>
      <c r="H29" s="46" t="s">
        <v>941</v>
      </c>
    </row>
    <row r="30" spans="1:8" ht="102" customHeight="1">
      <c r="A30" s="45" t="s">
        <v>10</v>
      </c>
      <c r="B30" s="45"/>
      <c r="C30" s="45" t="s">
        <v>11</v>
      </c>
      <c r="D30" s="45" t="s">
        <v>300</v>
      </c>
      <c r="E30" s="156" t="s">
        <v>942</v>
      </c>
      <c r="F30" s="155" t="s">
        <v>943</v>
      </c>
      <c r="G30" s="156" t="s">
        <v>944</v>
      </c>
      <c r="H30" s="106"/>
    </row>
    <row r="31" spans="1:8" ht="68.25" customHeight="1">
      <c r="A31" s="45" t="s">
        <v>10</v>
      </c>
      <c r="B31" s="45"/>
      <c r="C31" s="45" t="s">
        <v>11</v>
      </c>
      <c r="D31" s="45" t="s">
        <v>300</v>
      </c>
      <c r="E31" s="156" t="s">
        <v>945</v>
      </c>
      <c r="F31" s="155" t="s">
        <v>946</v>
      </c>
      <c r="G31" s="156" t="s">
        <v>11</v>
      </c>
      <c r="H31" s="106" t="s">
        <v>947</v>
      </c>
    </row>
    <row r="32" spans="1:8" ht="70.5" customHeight="1">
      <c r="A32" s="9" t="s">
        <v>11</v>
      </c>
      <c r="B32" s="9"/>
      <c r="C32" s="9" t="s">
        <v>11</v>
      </c>
      <c r="D32" s="9" t="s">
        <v>261</v>
      </c>
      <c r="E32" s="157" t="s">
        <v>948</v>
      </c>
      <c r="F32" s="11" t="s">
        <v>949</v>
      </c>
      <c r="G32" s="16">
        <v>0.25</v>
      </c>
      <c r="H32" s="103" t="s">
        <v>950</v>
      </c>
    </row>
    <row r="33" spans="1:8" ht="31.5" customHeight="1">
      <c r="A33" s="266" t="s">
        <v>951</v>
      </c>
      <c r="B33" s="266"/>
      <c r="C33" s="266"/>
      <c r="D33" s="266"/>
      <c r="E33" s="266"/>
      <c r="F33" s="266"/>
      <c r="G33" s="266"/>
      <c r="H33" s="266"/>
    </row>
    <row r="34" spans="1:8" ht="90">
      <c r="A34" s="45" t="s">
        <v>10</v>
      </c>
      <c r="B34" s="45"/>
      <c r="C34" s="45" t="s">
        <v>11</v>
      </c>
      <c r="D34" s="45" t="s">
        <v>300</v>
      </c>
      <c r="E34" s="155" t="s">
        <v>952</v>
      </c>
      <c r="F34" s="155" t="s">
        <v>953</v>
      </c>
      <c r="G34" s="155" t="s">
        <v>954</v>
      </c>
      <c r="H34" s="155" t="s">
        <v>955</v>
      </c>
    </row>
    <row r="35" spans="1:8" ht="45">
      <c r="A35" s="45" t="s">
        <v>10</v>
      </c>
      <c r="B35" s="45"/>
      <c r="C35" s="45" t="s">
        <v>11</v>
      </c>
      <c r="D35" s="45" t="s">
        <v>300</v>
      </c>
      <c r="E35" s="155" t="s">
        <v>956</v>
      </c>
      <c r="F35" s="155" t="s">
        <v>957</v>
      </c>
      <c r="G35" s="156" t="s">
        <v>958</v>
      </c>
      <c r="H35" s="155" t="s">
        <v>959</v>
      </c>
    </row>
    <row r="36" spans="1:8" ht="90">
      <c r="A36" s="45" t="s">
        <v>10</v>
      </c>
      <c r="B36" s="45"/>
      <c r="C36" s="45" t="s">
        <v>11</v>
      </c>
      <c r="D36" s="45" t="s">
        <v>300</v>
      </c>
      <c r="E36" s="155" t="s">
        <v>960</v>
      </c>
      <c r="F36" s="155" t="s">
        <v>961</v>
      </c>
      <c r="G36" s="155" t="s">
        <v>962</v>
      </c>
      <c r="H36" s="106" t="s">
        <v>963</v>
      </c>
    </row>
    <row r="37" spans="1:8" ht="63" customHeight="1">
      <c r="A37" s="9" t="s">
        <v>11</v>
      </c>
      <c r="B37" s="9"/>
      <c r="C37" s="9" t="s">
        <v>11</v>
      </c>
      <c r="D37" s="9" t="s">
        <v>261</v>
      </c>
      <c r="E37" s="157" t="s">
        <v>948</v>
      </c>
      <c r="F37" s="11" t="s">
        <v>964</v>
      </c>
      <c r="G37" s="16">
        <f>'Tool 05.2 Power Plants'!G3</f>
        <v>1.7670440000000003</v>
      </c>
      <c r="H37" s="16" t="s">
        <v>965</v>
      </c>
    </row>
    <row r="38" spans="1:8" ht="49.5" customHeight="1">
      <c r="A38" s="9" t="s">
        <v>11</v>
      </c>
      <c r="B38" s="9"/>
      <c r="C38" s="9" t="s">
        <v>11</v>
      </c>
      <c r="D38" s="9" t="s">
        <v>261</v>
      </c>
      <c r="E38" s="157" t="s">
        <v>948</v>
      </c>
      <c r="F38" s="11" t="s">
        <v>966</v>
      </c>
      <c r="G38" s="16">
        <f>'Tool 05.2 Power Plants'!G4</f>
        <v>1.7253240000000001</v>
      </c>
      <c r="H38" s="12" t="s">
        <v>967</v>
      </c>
    </row>
    <row r="39" spans="1:8" ht="21">
      <c r="A39" s="266" t="s">
        <v>968</v>
      </c>
      <c r="B39" s="266"/>
      <c r="C39" s="266"/>
      <c r="D39" s="266"/>
      <c r="E39" s="266"/>
      <c r="F39" s="266"/>
      <c r="G39" s="266"/>
      <c r="H39" s="266"/>
    </row>
    <row r="40" spans="1:8" ht="90">
      <c r="A40" s="45" t="s">
        <v>10</v>
      </c>
      <c r="B40" s="45"/>
      <c r="C40" s="45" t="s">
        <v>11</v>
      </c>
      <c r="D40" s="45" t="s">
        <v>300</v>
      </c>
      <c r="E40" s="155" t="s">
        <v>969</v>
      </c>
      <c r="F40" s="155" t="s">
        <v>970</v>
      </c>
      <c r="G40" s="156" t="s">
        <v>273</v>
      </c>
      <c r="H40" s="106" t="s">
        <v>971</v>
      </c>
    </row>
    <row r="41" spans="1:8" ht="45" customHeight="1">
      <c r="A41" s="9" t="s">
        <v>11</v>
      </c>
      <c r="B41" s="9"/>
      <c r="C41" s="9" t="s">
        <v>11</v>
      </c>
      <c r="D41" s="9" t="s">
        <v>261</v>
      </c>
      <c r="E41" s="157" t="s">
        <v>948</v>
      </c>
      <c r="F41" s="11" t="s">
        <v>949</v>
      </c>
      <c r="G41" s="16">
        <v>1.3</v>
      </c>
      <c r="H41" s="16" t="s">
        <v>972</v>
      </c>
    </row>
    <row r="42" spans="1:8" ht="34.5" customHeight="1">
      <c r="A42" s="9" t="s">
        <v>11</v>
      </c>
      <c r="B42" s="9"/>
      <c r="C42" s="9" t="s">
        <v>11</v>
      </c>
      <c r="D42" s="9" t="s">
        <v>261</v>
      </c>
      <c r="E42" s="157" t="s">
        <v>948</v>
      </c>
      <c r="F42" s="11" t="s">
        <v>973</v>
      </c>
      <c r="G42" s="16">
        <v>0.4</v>
      </c>
      <c r="H42" s="16" t="s">
        <v>974</v>
      </c>
    </row>
    <row r="43" spans="1:8" ht="21">
      <c r="A43" s="266" t="s">
        <v>975</v>
      </c>
      <c r="B43" s="266"/>
      <c r="C43" s="266"/>
      <c r="D43" s="266"/>
      <c r="E43" s="266"/>
      <c r="F43" s="266"/>
      <c r="G43" s="266"/>
      <c r="H43" s="266"/>
    </row>
    <row r="44" spans="1:8" ht="171">
      <c r="A44" s="45" t="s">
        <v>10</v>
      </c>
      <c r="B44" s="45"/>
      <c r="C44" s="45" t="s">
        <v>11</v>
      </c>
      <c r="D44" s="45" t="s">
        <v>300</v>
      </c>
      <c r="E44" s="45"/>
      <c r="F44" s="155" t="s">
        <v>976</v>
      </c>
      <c r="G44" s="156" t="s">
        <v>977</v>
      </c>
      <c r="H44" s="46"/>
    </row>
    <row r="45" spans="1:8">
      <c r="A45" s="45" t="s">
        <v>10</v>
      </c>
      <c r="B45" s="45"/>
      <c r="C45" s="45" t="s">
        <v>11</v>
      </c>
      <c r="D45" s="45" t="s">
        <v>518</v>
      </c>
      <c r="E45" s="45"/>
      <c r="F45" s="46" t="s">
        <v>978</v>
      </c>
      <c r="G45" s="46" t="s">
        <v>979</v>
      </c>
      <c r="H45" s="46"/>
    </row>
    <row r="46" spans="1:8" ht="36.75" customHeight="1">
      <c r="A46" s="45" t="s">
        <v>10</v>
      </c>
      <c r="B46" s="45"/>
      <c r="C46" s="45" t="s">
        <v>11</v>
      </c>
      <c r="D46" s="45" t="s">
        <v>518</v>
      </c>
      <c r="E46" s="45"/>
      <c r="F46" s="46" t="s">
        <v>980</v>
      </c>
      <c r="G46" s="46" t="s">
        <v>981</v>
      </c>
      <c r="H46" s="46"/>
    </row>
    <row r="47" spans="1:8" ht="60">
      <c r="A47" s="45" t="s">
        <v>10</v>
      </c>
      <c r="B47" s="45"/>
      <c r="C47" s="45" t="s">
        <v>11</v>
      </c>
      <c r="D47" s="45" t="s">
        <v>518</v>
      </c>
      <c r="E47" s="45"/>
      <c r="F47" s="46" t="s">
        <v>982</v>
      </c>
      <c r="G47" s="46" t="s">
        <v>983</v>
      </c>
      <c r="H47" s="46" t="s">
        <v>984</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29" xr:uid="{AC9D8626-7A20-8649-955F-98A562EE799D}">
      <formula1>"Option A1,Option A2"</formula1>
    </dataValidation>
    <dataValidation type="list" allowBlank="1" showInputMessage="1" showErrorMessage="1" sqref="G30" xr:uid="{AB85EA11-8BE6-4844-97AC-6D043FFC844B}">
      <formula1>"Option 2.1,Option 2.2"</formula1>
    </dataValidation>
    <dataValidation type="list" allowBlank="1" showInputMessage="1" showErrorMessage="1" sqref="G31" xr:uid="{AE6604A9-CFB0-4849-99A6-2714AD53584E}">
      <formula1>"Yes,No"</formula1>
    </dataValidation>
    <dataValidation type="list" allowBlank="1" showInputMessage="1" showErrorMessage="1" sqref="G4" xr:uid="{C7869BF1-2EAE-B94B-8147-66D8C30B022C}">
      <formula1>"A: From the Grid,B: Off-Grid Captive Power Plants,C: From the Grid and Captive Power Plant"</formula1>
    </dataValidation>
    <dataValidation type="list" allowBlank="1" showInputMessage="1" showErrorMessage="1" sqref="G34" xr:uid="{ACA5B107-92E0-C24C-B02D-4E92F879574C}">
      <formula1>"Yes: Alternative Approach, No: Generic Approach"</formula1>
    </dataValidation>
    <dataValidation type="list" allowBlank="1" showInputMessage="1" showErrorMessage="1" sqref="G35" xr:uid="{5402F47B-01FE-3449-91E0-AF0BCCD033AF}">
      <formula1>"Monitored Data, Default Values"</formula1>
    </dataValidation>
    <dataValidation type="list" allowBlank="1" showInputMessage="1" showErrorMessage="1" sqref="G36" xr:uid="{391506F8-E9D8-7B48-876D-7A54E29C9216}">
      <formula1>"Heat Generation ignored,Fuel consumption between electricity and heat generation"</formula1>
    </dataValidation>
    <dataValidation type="list" allowBlank="1" showInputMessage="1" showErrorMessage="1" sqref="G40" xr:uid="{8D6E5758-D52F-C44B-909C-A16C7894F33C}">
      <formula1>"Option A,Option B"</formula1>
    </dataValidation>
    <dataValidation type="list" allowBlank="1" showInputMessage="1" showErrorMessage="1" sqref="G44" xr:uid="{311792A6-11C3-AC41-9CB5-89363C3DE38D}">
      <formula1>"Case 1,Case 2, Case 3"</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B4B2-FE8E-2843-B4F8-98996D4B380D}">
  <dimension ref="A1:H40"/>
  <sheetViews>
    <sheetView topLeftCell="B27" workbookViewId="0">
      <selection activeCell="G14" sqref="G14"/>
    </sheetView>
  </sheetViews>
  <sheetFormatPr defaultColWidth="8.875" defaultRowHeight="15"/>
  <cols>
    <col min="1" max="1" width="12.375" style="6" bestFit="1" customWidth="1"/>
    <col min="2" max="2" width="13.125" style="6" bestFit="1" customWidth="1"/>
    <col min="3" max="3" width="11.625" style="6" bestFit="1" customWidth="1"/>
    <col min="4" max="4" width="14.375" style="6" customWidth="1"/>
    <col min="5" max="5" width="16" style="6" customWidth="1"/>
    <col min="6" max="6" width="70.125" style="6" customWidth="1"/>
    <col min="7" max="7" width="31" style="6" customWidth="1"/>
    <col min="8" max="8" width="58.125" style="6" customWidth="1"/>
    <col min="9" max="16384" width="8.875" style="6"/>
  </cols>
  <sheetData>
    <row r="1" spans="1:8" ht="37.5">
      <c r="A1" s="76" t="s">
        <v>0</v>
      </c>
      <c r="B1" s="76" t="s">
        <v>181</v>
      </c>
      <c r="C1" s="77" t="s">
        <v>182</v>
      </c>
      <c r="D1" s="76" t="s">
        <v>3</v>
      </c>
      <c r="E1" s="76" t="s">
        <v>5</v>
      </c>
      <c r="F1" s="77" t="s">
        <v>6</v>
      </c>
      <c r="G1" s="76" t="s">
        <v>7</v>
      </c>
      <c r="H1" s="76" t="s">
        <v>183</v>
      </c>
    </row>
    <row r="2" spans="1:8" ht="18.75">
      <c r="A2" s="262" t="s">
        <v>985</v>
      </c>
      <c r="B2" s="262"/>
      <c r="C2" s="262"/>
      <c r="D2" s="262"/>
      <c r="E2" s="262"/>
      <c r="F2" s="262"/>
      <c r="G2" s="262"/>
      <c r="H2" s="262"/>
    </row>
    <row r="3" spans="1:8" ht="30.75">
      <c r="A3" s="9" t="s">
        <v>11</v>
      </c>
      <c r="B3" s="9"/>
      <c r="C3" s="9" t="s">
        <v>11</v>
      </c>
      <c r="D3" s="9" t="s">
        <v>344</v>
      </c>
      <c r="E3" s="157" t="s">
        <v>948</v>
      </c>
      <c r="F3" s="11" t="s">
        <v>986</v>
      </c>
      <c r="G3" s="16">
        <f>G7+G19+G31</f>
        <v>1.7670440000000003</v>
      </c>
      <c r="H3" s="158" t="s">
        <v>987</v>
      </c>
    </row>
    <row r="4" spans="1:8" ht="30.75">
      <c r="A4" s="9" t="s">
        <v>11</v>
      </c>
      <c r="B4" s="9"/>
      <c r="C4" s="9" t="s">
        <v>11</v>
      </c>
      <c r="D4" s="9" t="s">
        <v>344</v>
      </c>
      <c r="E4" s="157" t="s">
        <v>948</v>
      </c>
      <c r="F4" s="11" t="s">
        <v>966</v>
      </c>
      <c r="G4" s="16">
        <f>G8+G20+G32</f>
        <v>1.7253240000000001</v>
      </c>
      <c r="H4" s="109" t="s">
        <v>988</v>
      </c>
    </row>
    <row r="5" spans="1:8" ht="18.75">
      <c r="A5" s="262" t="s">
        <v>989</v>
      </c>
      <c r="B5" s="262"/>
      <c r="C5" s="262"/>
      <c r="D5" s="262"/>
      <c r="E5" s="262"/>
      <c r="F5" s="262"/>
      <c r="G5" s="262"/>
      <c r="H5" s="262"/>
    </row>
    <row r="6" spans="1:8">
      <c r="A6" s="43" t="s">
        <v>10</v>
      </c>
      <c r="B6" s="43"/>
      <c r="C6" s="43" t="s">
        <v>10</v>
      </c>
      <c r="D6" s="43" t="s">
        <v>12</v>
      </c>
      <c r="E6" s="44"/>
      <c r="F6" s="43" t="s">
        <v>990</v>
      </c>
      <c r="G6" s="43" t="s">
        <v>991</v>
      </c>
    </row>
    <row r="7" spans="1:8" ht="30.75">
      <c r="A7" s="9" t="s">
        <v>11</v>
      </c>
      <c r="B7" s="9"/>
      <c r="C7" s="9" t="s">
        <v>11</v>
      </c>
      <c r="D7" s="9" t="s">
        <v>344</v>
      </c>
      <c r="E7" s="157" t="s">
        <v>948</v>
      </c>
      <c r="F7" s="11" t="s">
        <v>986</v>
      </c>
      <c r="G7" s="16">
        <f>(G12*G10*G11)/G13</f>
        <v>0.60550999999999999</v>
      </c>
      <c r="H7" s="9"/>
    </row>
    <row r="8" spans="1:8" ht="30.75">
      <c r="A8" s="9" t="s">
        <v>11</v>
      </c>
      <c r="B8" s="9"/>
      <c r="C8" s="9" t="s">
        <v>11</v>
      </c>
      <c r="D8" s="9" t="s">
        <v>344</v>
      </c>
      <c r="E8" s="157" t="s">
        <v>948</v>
      </c>
      <c r="F8" s="11" t="s">
        <v>966</v>
      </c>
      <c r="G8" s="16">
        <f>ABS(((G12*G10)-(G14/G15))*G11)/G13</f>
        <v>0.59040999999999999</v>
      </c>
      <c r="H8" s="9"/>
    </row>
    <row r="9" spans="1:8">
      <c r="A9" s="45" t="s">
        <v>10</v>
      </c>
      <c r="B9" s="45"/>
      <c r="C9" s="45" t="s">
        <v>11</v>
      </c>
      <c r="D9" s="45" t="s">
        <v>308</v>
      </c>
      <c r="E9" s="45"/>
      <c r="F9" s="46" t="s">
        <v>992</v>
      </c>
      <c r="G9" s="100" t="s">
        <v>993</v>
      </c>
      <c r="H9" s="45"/>
    </row>
    <row r="10" spans="1:8" ht="30">
      <c r="A10" s="9" t="s">
        <v>11</v>
      </c>
      <c r="B10" s="9"/>
      <c r="C10" s="9" t="s">
        <v>11</v>
      </c>
      <c r="D10" s="9" t="s">
        <v>344</v>
      </c>
      <c r="E10" s="159" t="s">
        <v>994</v>
      </c>
      <c r="F10" s="11" t="s">
        <v>995</v>
      </c>
      <c r="G10" s="16">
        <f>IF(G9="","",VLOOKUP(G9,'Tool 05.3 Default Values'!B4:D56,2,FALSE))</f>
        <v>40.1</v>
      </c>
      <c r="H10" s="11" t="s">
        <v>996</v>
      </c>
    </row>
    <row r="11" spans="1:8" ht="30">
      <c r="A11" s="9" t="s">
        <v>11</v>
      </c>
      <c r="B11" s="9"/>
      <c r="C11" s="9" t="s">
        <v>11</v>
      </c>
      <c r="D11" s="9" t="s">
        <v>344</v>
      </c>
      <c r="E11" s="159" t="s">
        <v>997</v>
      </c>
      <c r="F11" s="11" t="s">
        <v>998</v>
      </c>
      <c r="G11" s="16">
        <f>IF(G9="","",VLOOKUP(G9,'Tool 05.3 Default Values'!B4:D56,3,FALSE))*0.001</f>
        <v>75.5</v>
      </c>
      <c r="H11" s="11" t="s">
        <v>999</v>
      </c>
    </row>
    <row r="12" spans="1:8" ht="30">
      <c r="A12" s="6" t="s">
        <v>10</v>
      </c>
      <c r="C12" s="6" t="s">
        <v>10</v>
      </c>
      <c r="D12" s="6" t="s">
        <v>194</v>
      </c>
      <c r="E12" s="160" t="s">
        <v>1000</v>
      </c>
      <c r="F12" s="7" t="s">
        <v>1001</v>
      </c>
      <c r="G12" s="8">
        <v>2</v>
      </c>
    </row>
    <row r="13" spans="1:8" ht="30">
      <c r="A13" s="6" t="s">
        <v>10</v>
      </c>
      <c r="C13" s="6" t="s">
        <v>10</v>
      </c>
      <c r="D13" s="6" t="s">
        <v>194</v>
      </c>
      <c r="E13" s="160" t="s">
        <v>1002</v>
      </c>
      <c r="F13" s="7" t="s">
        <v>1003</v>
      </c>
      <c r="G13" s="8">
        <v>10000</v>
      </c>
    </row>
    <row r="14" spans="1:8" ht="45">
      <c r="A14" s="6" t="s">
        <v>10</v>
      </c>
      <c r="C14" s="6" t="s">
        <v>10</v>
      </c>
      <c r="D14" s="6" t="s">
        <v>194</v>
      </c>
      <c r="E14" s="160" t="s">
        <v>1004</v>
      </c>
      <c r="F14" s="7" t="s">
        <v>1005</v>
      </c>
      <c r="G14" s="8">
        <v>2</v>
      </c>
    </row>
    <row r="15" spans="1:8" ht="33">
      <c r="A15" s="9" t="s">
        <v>11</v>
      </c>
      <c r="B15" s="9"/>
      <c r="C15" s="9" t="s">
        <v>11</v>
      </c>
      <c r="D15" s="9" t="s">
        <v>344</v>
      </c>
      <c r="E15" s="108" t="s">
        <v>1006</v>
      </c>
      <c r="F15" s="11" t="s">
        <v>1007</v>
      </c>
      <c r="G15" s="16">
        <v>1</v>
      </c>
      <c r="H15" s="9" t="s">
        <v>1008</v>
      </c>
    </row>
    <row r="16" spans="1:8" ht="33">
      <c r="A16" s="9" t="s">
        <v>11</v>
      </c>
      <c r="B16" s="9"/>
      <c r="C16" s="9" t="s">
        <v>11</v>
      </c>
      <c r="D16" s="9" t="s">
        <v>344</v>
      </c>
      <c r="E16" s="108" t="s">
        <v>1006</v>
      </c>
      <c r="F16" s="11" t="s">
        <v>1009</v>
      </c>
      <c r="G16" s="16">
        <v>0.6</v>
      </c>
      <c r="H16" s="9" t="s">
        <v>1008</v>
      </c>
    </row>
    <row r="17" spans="1:8" ht="18.75">
      <c r="A17" s="262" t="s">
        <v>989</v>
      </c>
      <c r="B17" s="262"/>
      <c r="C17" s="262"/>
      <c r="D17" s="262"/>
      <c r="E17" s="262"/>
      <c r="F17" s="262"/>
      <c r="G17" s="262"/>
      <c r="H17" s="262"/>
    </row>
    <row r="18" spans="1:8">
      <c r="A18" s="43" t="s">
        <v>10</v>
      </c>
      <c r="B18" s="43"/>
      <c r="C18" s="43" t="s">
        <v>10</v>
      </c>
      <c r="D18" s="43" t="s">
        <v>12</v>
      </c>
      <c r="E18" s="44"/>
      <c r="F18" s="43" t="s">
        <v>990</v>
      </c>
      <c r="G18" s="43" t="s">
        <v>1010</v>
      </c>
    </row>
    <row r="19" spans="1:8" ht="30.75">
      <c r="A19" s="9" t="s">
        <v>11</v>
      </c>
      <c r="B19" s="9"/>
      <c r="C19" s="9" t="s">
        <v>11</v>
      </c>
      <c r="D19" s="9" t="s">
        <v>344</v>
      </c>
      <c r="E19" s="157" t="s">
        <v>948</v>
      </c>
      <c r="F19" s="11" t="s">
        <v>986</v>
      </c>
      <c r="G19" s="16">
        <f>(G24*G22*G23)/G25</f>
        <v>0.61934400000000001</v>
      </c>
      <c r="H19" s="9"/>
    </row>
    <row r="20" spans="1:8" ht="30.75">
      <c r="A20" s="9" t="s">
        <v>11</v>
      </c>
      <c r="B20" s="9"/>
      <c r="C20" s="9" t="s">
        <v>11</v>
      </c>
      <c r="D20" s="9" t="s">
        <v>344</v>
      </c>
      <c r="E20" s="157" t="s">
        <v>948</v>
      </c>
      <c r="F20" s="11" t="s">
        <v>966</v>
      </c>
      <c r="G20" s="16">
        <f>ABS(((G24*G22)-(G26/G27))*G23)/G25</f>
        <v>0.60438399999999992</v>
      </c>
      <c r="H20" s="9"/>
    </row>
    <row r="21" spans="1:8">
      <c r="A21" s="45" t="s">
        <v>10</v>
      </c>
      <c r="B21" s="45"/>
      <c r="C21" s="45" t="s">
        <v>11</v>
      </c>
      <c r="D21" s="45" t="s">
        <v>308</v>
      </c>
      <c r="E21" s="45"/>
      <c r="F21" s="46" t="s">
        <v>992</v>
      </c>
      <c r="G21" s="100" t="s">
        <v>1011</v>
      </c>
      <c r="H21" s="45"/>
    </row>
    <row r="22" spans="1:8" ht="30">
      <c r="A22" s="9" t="s">
        <v>11</v>
      </c>
      <c r="B22" s="9"/>
      <c r="C22" s="9" t="s">
        <v>11</v>
      </c>
      <c r="D22" s="9" t="s">
        <v>344</v>
      </c>
      <c r="E22" s="159" t="s">
        <v>994</v>
      </c>
      <c r="F22" s="11" t="s">
        <v>995</v>
      </c>
      <c r="G22" s="16">
        <f>IF(G21="","",VLOOKUP(G21,'Tool 05.3 Default Values'!B4:D56,2,FALSE))</f>
        <v>41.4</v>
      </c>
      <c r="H22" s="11" t="s">
        <v>996</v>
      </c>
    </row>
    <row r="23" spans="1:8" ht="30">
      <c r="A23" s="9" t="s">
        <v>11</v>
      </c>
      <c r="B23" s="9"/>
      <c r="C23" s="9" t="s">
        <v>11</v>
      </c>
      <c r="D23" s="9" t="s">
        <v>344</v>
      </c>
      <c r="E23" s="159" t="s">
        <v>997</v>
      </c>
      <c r="F23" s="11" t="s">
        <v>998</v>
      </c>
      <c r="G23" s="16">
        <f>IF(G21="","",VLOOKUP(G21,'Tool 05.3 Default Values'!B4:D56,3,FALSE))*0.001</f>
        <v>74.8</v>
      </c>
      <c r="H23" s="11" t="s">
        <v>999</v>
      </c>
    </row>
    <row r="24" spans="1:8" ht="30">
      <c r="A24" s="6" t="s">
        <v>10</v>
      </c>
      <c r="C24" s="6" t="s">
        <v>10</v>
      </c>
      <c r="D24" s="6" t="s">
        <v>194</v>
      </c>
      <c r="E24" s="160" t="s">
        <v>1000</v>
      </c>
      <c r="F24" s="7" t="s">
        <v>1001</v>
      </c>
      <c r="G24" s="8">
        <v>2</v>
      </c>
    </row>
    <row r="25" spans="1:8" ht="30">
      <c r="A25" s="6" t="s">
        <v>10</v>
      </c>
      <c r="C25" s="6" t="s">
        <v>10</v>
      </c>
      <c r="D25" s="6" t="s">
        <v>194</v>
      </c>
      <c r="E25" s="160" t="s">
        <v>1002</v>
      </c>
      <c r="F25" s="7" t="s">
        <v>1003</v>
      </c>
      <c r="G25" s="8">
        <v>10000</v>
      </c>
    </row>
    <row r="26" spans="1:8" ht="45">
      <c r="A26" s="6" t="s">
        <v>10</v>
      </c>
      <c r="C26" s="6" t="s">
        <v>10</v>
      </c>
      <c r="D26" s="6" t="s">
        <v>194</v>
      </c>
      <c r="E26" s="160" t="s">
        <v>1004</v>
      </c>
      <c r="F26" s="7" t="s">
        <v>1005</v>
      </c>
      <c r="G26" s="8">
        <v>2</v>
      </c>
    </row>
    <row r="27" spans="1:8" ht="33">
      <c r="A27" s="9" t="s">
        <v>11</v>
      </c>
      <c r="B27" s="9"/>
      <c r="C27" s="9" t="s">
        <v>11</v>
      </c>
      <c r="D27" s="9" t="s">
        <v>344</v>
      </c>
      <c r="E27" s="108" t="s">
        <v>1006</v>
      </c>
      <c r="F27" s="11" t="s">
        <v>1007</v>
      </c>
      <c r="G27" s="16">
        <v>1</v>
      </c>
      <c r="H27" s="9" t="s">
        <v>1008</v>
      </c>
    </row>
    <row r="28" spans="1:8" ht="33">
      <c r="A28" s="9" t="s">
        <v>11</v>
      </c>
      <c r="B28" s="9"/>
      <c r="C28" s="9" t="s">
        <v>11</v>
      </c>
      <c r="D28" s="9" t="s">
        <v>344</v>
      </c>
      <c r="E28" s="108" t="s">
        <v>1006</v>
      </c>
      <c r="F28" s="11" t="s">
        <v>1009</v>
      </c>
      <c r="G28" s="16">
        <v>0.6</v>
      </c>
      <c r="H28" s="9" t="s">
        <v>1008</v>
      </c>
    </row>
    <row r="29" spans="1:8" ht="18.75">
      <c r="A29" s="262" t="s">
        <v>989</v>
      </c>
      <c r="B29" s="262"/>
      <c r="C29" s="262"/>
      <c r="D29" s="262"/>
      <c r="E29" s="262"/>
      <c r="F29" s="262"/>
      <c r="G29" s="262"/>
      <c r="H29" s="262"/>
    </row>
    <row r="30" spans="1:8">
      <c r="A30" s="43" t="s">
        <v>10</v>
      </c>
      <c r="B30" s="43"/>
      <c r="C30" s="43" t="s">
        <v>10</v>
      </c>
      <c r="D30" s="43" t="s">
        <v>12</v>
      </c>
      <c r="E30" s="44"/>
      <c r="F30" s="43" t="s">
        <v>990</v>
      </c>
      <c r="G30" s="43" t="s">
        <v>1012</v>
      </c>
    </row>
    <row r="31" spans="1:8" ht="30.75">
      <c r="A31" s="9" t="s">
        <v>11</v>
      </c>
      <c r="B31" s="9"/>
      <c r="C31" s="9" t="s">
        <v>11</v>
      </c>
      <c r="D31" s="9" t="s">
        <v>344</v>
      </c>
      <c r="E31" s="157" t="s">
        <v>948</v>
      </c>
      <c r="F31" s="11" t="s">
        <v>986</v>
      </c>
      <c r="G31" s="16">
        <f>(G36*G34*G35)/G37</f>
        <v>0.54219000000000006</v>
      </c>
      <c r="H31" s="9"/>
    </row>
    <row r="32" spans="1:8" ht="30.75">
      <c r="A32" s="9" t="s">
        <v>11</v>
      </c>
      <c r="B32" s="9"/>
      <c r="C32" s="9" t="s">
        <v>11</v>
      </c>
      <c r="D32" s="9" t="s">
        <v>344</v>
      </c>
      <c r="E32" s="157" t="s">
        <v>948</v>
      </c>
      <c r="F32" s="11" t="s">
        <v>966</v>
      </c>
      <c r="G32" s="16">
        <f>ABS(((G36*G34)-(G38/G39))*G35)/G37</f>
        <v>0.53053000000000006</v>
      </c>
      <c r="H32" s="9"/>
    </row>
    <row r="33" spans="1:8">
      <c r="A33" s="45" t="s">
        <v>10</v>
      </c>
      <c r="B33" s="45"/>
      <c r="C33" s="45" t="s">
        <v>11</v>
      </c>
      <c r="D33" s="45" t="s">
        <v>308</v>
      </c>
      <c r="E33" s="45"/>
      <c r="F33" s="46" t="s">
        <v>992</v>
      </c>
      <c r="G33" s="100" t="s">
        <v>1013</v>
      </c>
      <c r="H33" s="45"/>
    </row>
    <row r="34" spans="1:8" ht="30">
      <c r="A34" s="9" t="s">
        <v>11</v>
      </c>
      <c r="B34" s="9"/>
      <c r="C34" s="9" t="s">
        <v>11</v>
      </c>
      <c r="D34" s="9" t="s">
        <v>344</v>
      </c>
      <c r="E34" s="159" t="s">
        <v>994</v>
      </c>
      <c r="F34" s="11" t="s">
        <v>995</v>
      </c>
      <c r="G34" s="16">
        <f>IF(G33="","",VLOOKUP(G33,'Tool 05.3 Default Values'!B4:D56,2,FALSE))</f>
        <v>46.5</v>
      </c>
      <c r="H34" s="11" t="s">
        <v>996</v>
      </c>
    </row>
    <row r="35" spans="1:8" ht="30">
      <c r="A35" s="9" t="s">
        <v>11</v>
      </c>
      <c r="B35" s="9"/>
      <c r="C35" s="9" t="s">
        <v>11</v>
      </c>
      <c r="D35" s="9" t="s">
        <v>344</v>
      </c>
      <c r="E35" s="159" t="s">
        <v>997</v>
      </c>
      <c r="F35" s="11" t="s">
        <v>998</v>
      </c>
      <c r="G35" s="16">
        <f>IF(G33="","",VLOOKUP(G33,'Tool 05.3 Default Values'!B4:D56,3,FALSE))*0.001</f>
        <v>58.300000000000004</v>
      </c>
      <c r="H35" s="11" t="s">
        <v>999</v>
      </c>
    </row>
    <row r="36" spans="1:8" ht="30">
      <c r="A36" s="6" t="s">
        <v>10</v>
      </c>
      <c r="C36" s="6" t="s">
        <v>10</v>
      </c>
      <c r="D36" s="6" t="s">
        <v>194</v>
      </c>
      <c r="E36" s="160" t="s">
        <v>1000</v>
      </c>
      <c r="F36" s="7" t="s">
        <v>1001</v>
      </c>
      <c r="G36" s="8">
        <v>2</v>
      </c>
    </row>
    <row r="37" spans="1:8" ht="30">
      <c r="A37" s="6" t="s">
        <v>10</v>
      </c>
      <c r="C37" s="6" t="s">
        <v>10</v>
      </c>
      <c r="D37" s="6" t="s">
        <v>194</v>
      </c>
      <c r="E37" s="160" t="s">
        <v>1002</v>
      </c>
      <c r="F37" s="7" t="s">
        <v>1003</v>
      </c>
      <c r="G37" s="8">
        <v>10000</v>
      </c>
    </row>
    <row r="38" spans="1:8" ht="45">
      <c r="A38" s="6" t="s">
        <v>10</v>
      </c>
      <c r="C38" s="6" t="s">
        <v>10</v>
      </c>
      <c r="D38" s="6" t="s">
        <v>194</v>
      </c>
      <c r="E38" s="160" t="s">
        <v>1004</v>
      </c>
      <c r="F38" s="7" t="s">
        <v>1005</v>
      </c>
      <c r="G38" s="8">
        <v>2</v>
      </c>
    </row>
    <row r="39" spans="1:8" ht="33">
      <c r="A39" s="9" t="s">
        <v>11</v>
      </c>
      <c r="B39" s="9"/>
      <c r="C39" s="9" t="s">
        <v>11</v>
      </c>
      <c r="D39" s="9" t="s">
        <v>344</v>
      </c>
      <c r="E39" s="108" t="s">
        <v>1006</v>
      </c>
      <c r="F39" s="11" t="s">
        <v>1007</v>
      </c>
      <c r="G39" s="16">
        <v>1</v>
      </c>
      <c r="H39" s="9" t="s">
        <v>1008</v>
      </c>
    </row>
    <row r="40" spans="1:8" ht="33">
      <c r="A40" s="9" t="s">
        <v>11</v>
      </c>
      <c r="B40" s="9"/>
      <c r="C40" s="9" t="s">
        <v>11</v>
      </c>
      <c r="D40" s="9" t="s">
        <v>344</v>
      </c>
      <c r="E40" s="108" t="s">
        <v>1006</v>
      </c>
      <c r="F40" s="11" t="s">
        <v>1009</v>
      </c>
      <c r="G40" s="16">
        <v>0.6</v>
      </c>
      <c r="H40" s="9" t="s">
        <v>1008</v>
      </c>
    </row>
  </sheetData>
  <mergeCells count="4">
    <mergeCell ref="A2:H2"/>
    <mergeCell ref="A5:H5"/>
    <mergeCell ref="A17:H17"/>
    <mergeCell ref="A29:H29"/>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DA921-B6C0-174D-A562-426306C8B524}">
  <dimension ref="A1:H21"/>
  <sheetViews>
    <sheetView topLeftCell="F1" workbookViewId="0">
      <selection activeCell="G21" sqref="G21"/>
    </sheetView>
  </sheetViews>
  <sheetFormatPr defaultColWidth="8.875" defaultRowHeight="15.75"/>
  <cols>
    <col min="1" max="1" width="11.625" bestFit="1" customWidth="1"/>
    <col min="2" max="2" width="13.625" customWidth="1"/>
    <col min="3" max="3" width="11.125" bestFit="1" customWidth="1"/>
    <col min="4" max="4" width="15.625" bestFit="1" customWidth="1"/>
    <col min="5" max="5" width="28.625" bestFit="1" customWidth="1"/>
    <col min="6" max="6" width="69.125" customWidth="1"/>
    <col min="7" max="7" width="75.125" customWidth="1"/>
    <col min="8" max="8" width="67" customWidth="1"/>
  </cols>
  <sheetData>
    <row r="1" spans="1:8" ht="37.5">
      <c r="A1" s="72" t="s">
        <v>0</v>
      </c>
      <c r="B1" s="72" t="s">
        <v>181</v>
      </c>
      <c r="C1" s="73" t="s">
        <v>182</v>
      </c>
      <c r="D1" s="72" t="s">
        <v>3</v>
      </c>
      <c r="E1" s="72" t="s">
        <v>5</v>
      </c>
      <c r="F1" s="74" t="s">
        <v>6</v>
      </c>
      <c r="G1" s="74" t="s">
        <v>7</v>
      </c>
      <c r="H1" s="75" t="s">
        <v>183</v>
      </c>
    </row>
    <row r="2" spans="1:8" ht="58.5" customHeight="1">
      <c r="A2" s="260" t="s">
        <v>184</v>
      </c>
      <c r="B2" s="260"/>
      <c r="C2" s="260"/>
      <c r="D2" s="260"/>
      <c r="E2" s="260"/>
      <c r="F2" s="260"/>
      <c r="G2" s="260"/>
      <c r="H2" s="260"/>
    </row>
    <row r="3" spans="1:8" s="53" customFormat="1" ht="31.5">
      <c r="A3" s="47" t="s">
        <v>10</v>
      </c>
      <c r="B3" s="47"/>
      <c r="C3" s="48" t="s">
        <v>185</v>
      </c>
      <c r="D3" s="47" t="s">
        <v>91</v>
      </c>
      <c r="E3" s="49" t="s">
        <v>186</v>
      </c>
      <c r="F3" s="50" t="s">
        <v>187</v>
      </c>
      <c r="G3" s="51">
        <f>G4+G5</f>
        <v>1125</v>
      </c>
      <c r="H3" s="52"/>
    </row>
    <row r="4" spans="1:8" s="53" customFormat="1" ht="31.5">
      <c r="A4" s="47" t="s">
        <v>10</v>
      </c>
      <c r="B4" s="47"/>
      <c r="C4" s="48" t="s">
        <v>185</v>
      </c>
      <c r="D4" s="47" t="s">
        <v>91</v>
      </c>
      <c r="E4" s="49" t="s">
        <v>188</v>
      </c>
      <c r="F4" s="50" t="s">
        <v>189</v>
      </c>
      <c r="G4" s="51">
        <f>(G8+G9*G10)*G11</f>
        <v>1100</v>
      </c>
      <c r="H4" s="54"/>
    </row>
    <row r="5" spans="1:8" s="53" customFormat="1" ht="26.25">
      <c r="A5" s="47" t="s">
        <v>10</v>
      </c>
      <c r="B5" s="47"/>
      <c r="C5" s="48" t="s">
        <v>185</v>
      </c>
      <c r="D5" s="47" t="s">
        <v>91</v>
      </c>
      <c r="E5" s="49" t="s">
        <v>190</v>
      </c>
      <c r="F5" s="50" t="s">
        <v>191</v>
      </c>
      <c r="G5" s="51">
        <f>G14+G15</f>
        <v>25</v>
      </c>
      <c r="H5" s="54"/>
    </row>
    <row r="6" spans="1:8" ht="58.5" customHeight="1">
      <c r="A6" s="260" t="s">
        <v>192</v>
      </c>
      <c r="B6" s="260"/>
      <c r="C6" s="260"/>
      <c r="D6" s="260"/>
      <c r="E6" s="260"/>
      <c r="F6" s="260"/>
      <c r="G6" s="260"/>
      <c r="H6" s="260"/>
    </row>
    <row r="7" spans="1:8" s="53" customFormat="1" ht="31.5">
      <c r="A7" s="55" t="s">
        <v>10</v>
      </c>
      <c r="B7" s="55"/>
      <c r="C7" s="48" t="s">
        <v>185</v>
      </c>
      <c r="D7" s="47" t="s">
        <v>91</v>
      </c>
      <c r="E7" s="49" t="s">
        <v>188</v>
      </c>
      <c r="F7" s="50" t="s">
        <v>189</v>
      </c>
      <c r="G7" s="51">
        <f>(G8+G9*G10)*G11</f>
        <v>1100</v>
      </c>
      <c r="H7" s="54"/>
    </row>
    <row r="8" spans="1:8" s="53" customFormat="1" ht="26.25">
      <c r="A8" s="56" t="s">
        <v>10</v>
      </c>
      <c r="B8" s="56"/>
      <c r="C8" s="57" t="s">
        <v>193</v>
      </c>
      <c r="D8" s="56" t="s">
        <v>194</v>
      </c>
      <c r="E8" s="58" t="s">
        <v>195</v>
      </c>
      <c r="F8" s="59" t="s">
        <v>196</v>
      </c>
      <c r="G8" s="60">
        <v>10</v>
      </c>
    </row>
    <row r="9" spans="1:8" s="53" customFormat="1" ht="26.25">
      <c r="A9" s="56" t="s">
        <v>10</v>
      </c>
      <c r="B9" s="56"/>
      <c r="C9" s="57" t="s">
        <v>193</v>
      </c>
      <c r="D9" s="56" t="s">
        <v>194</v>
      </c>
      <c r="E9" s="58" t="s">
        <v>197</v>
      </c>
      <c r="F9" s="59" t="s">
        <v>198</v>
      </c>
      <c r="G9" s="61">
        <v>10</v>
      </c>
    </row>
    <row r="10" spans="1:8" s="53" customFormat="1" ht="31.5">
      <c r="A10" s="56" t="s">
        <v>10</v>
      </c>
      <c r="B10" s="56"/>
      <c r="C10" s="57" t="s">
        <v>193</v>
      </c>
      <c r="D10" s="56" t="s">
        <v>194</v>
      </c>
      <c r="E10" s="58" t="s">
        <v>199</v>
      </c>
      <c r="F10" s="59" t="s">
        <v>200</v>
      </c>
      <c r="G10" s="61">
        <v>10</v>
      </c>
      <c r="H10" s="53" t="s">
        <v>201</v>
      </c>
    </row>
    <row r="11" spans="1:8" s="53" customFormat="1" ht="26.25">
      <c r="A11" s="56" t="s">
        <v>10</v>
      </c>
      <c r="B11" s="56"/>
      <c r="C11" s="57" t="s">
        <v>193</v>
      </c>
      <c r="D11" s="56" t="s">
        <v>194</v>
      </c>
      <c r="E11" s="58" t="s">
        <v>202</v>
      </c>
      <c r="F11" s="59" t="s">
        <v>203</v>
      </c>
      <c r="G11" s="61">
        <v>10</v>
      </c>
    </row>
    <row r="12" spans="1:8" ht="44.25" customHeight="1">
      <c r="A12" s="260" t="s">
        <v>204</v>
      </c>
      <c r="B12" s="260"/>
      <c r="C12" s="260"/>
      <c r="D12" s="260"/>
      <c r="E12" s="260"/>
      <c r="F12" s="260"/>
      <c r="G12" s="260"/>
      <c r="H12" s="260"/>
    </row>
    <row r="13" spans="1:8" s="53" customFormat="1" ht="26.25">
      <c r="A13" s="62" t="s">
        <v>10</v>
      </c>
      <c r="B13" s="62"/>
      <c r="C13" s="63" t="s">
        <v>185</v>
      </c>
      <c r="D13" s="64" t="s">
        <v>91</v>
      </c>
      <c r="E13" s="49" t="s">
        <v>190</v>
      </c>
      <c r="F13" s="50" t="s">
        <v>191</v>
      </c>
      <c r="G13" s="51">
        <f>G14+G15</f>
        <v>25</v>
      </c>
      <c r="H13" s="54"/>
    </row>
    <row r="14" spans="1:8" s="53" customFormat="1" ht="63">
      <c r="A14" s="62" t="s">
        <v>10</v>
      </c>
      <c r="B14" s="62"/>
      <c r="C14" s="63" t="s">
        <v>185</v>
      </c>
      <c r="D14" s="64" t="s">
        <v>91</v>
      </c>
      <c r="E14" s="49" t="s">
        <v>205</v>
      </c>
      <c r="F14" s="50" t="s">
        <v>206</v>
      </c>
      <c r="G14" s="65">
        <f>(G16-G17)*(G8+G9*G10)</f>
        <v>0</v>
      </c>
      <c r="H14" s="54"/>
    </row>
    <row r="15" spans="1:8" s="53" customFormat="1" ht="47.25">
      <c r="A15" s="62" t="s">
        <v>10</v>
      </c>
      <c r="B15" s="62"/>
      <c r="C15" s="63" t="s">
        <v>185</v>
      </c>
      <c r="D15" s="64" t="s">
        <v>91</v>
      </c>
      <c r="E15" s="49" t="s">
        <v>207</v>
      </c>
      <c r="F15" s="50" t="s">
        <v>208</v>
      </c>
      <c r="G15" s="65">
        <f>G18*G19</f>
        <v>25</v>
      </c>
      <c r="H15" s="54"/>
    </row>
    <row r="16" spans="1:8" s="53" customFormat="1" ht="26.25">
      <c r="A16" s="66" t="s">
        <v>10</v>
      </c>
      <c r="B16" s="66"/>
      <c r="C16" s="67" t="s">
        <v>193</v>
      </c>
      <c r="D16" s="66" t="s">
        <v>194</v>
      </c>
      <c r="E16" s="58" t="s">
        <v>209</v>
      </c>
      <c r="F16" s="59" t="s">
        <v>210</v>
      </c>
      <c r="G16" s="61">
        <v>10</v>
      </c>
      <c r="H16" s="68"/>
    </row>
    <row r="17" spans="1:8" s="53" customFormat="1" ht="26.25">
      <c r="A17" s="66" t="s">
        <v>10</v>
      </c>
      <c r="B17" s="66"/>
      <c r="C17" s="67" t="s">
        <v>193</v>
      </c>
      <c r="D17" s="66" t="s">
        <v>194</v>
      </c>
      <c r="E17" s="58" t="s">
        <v>211</v>
      </c>
      <c r="F17" s="59" t="s">
        <v>212</v>
      </c>
      <c r="G17" s="61">
        <v>10</v>
      </c>
      <c r="H17" s="68"/>
    </row>
    <row r="18" spans="1:8" s="53" customFormat="1" ht="26.25">
      <c r="A18" s="66" t="s">
        <v>10</v>
      </c>
      <c r="B18" s="66"/>
      <c r="C18" s="67" t="s">
        <v>193</v>
      </c>
      <c r="D18" s="66" t="s">
        <v>194</v>
      </c>
      <c r="E18" s="58" t="s">
        <v>213</v>
      </c>
      <c r="F18" s="59" t="s">
        <v>214</v>
      </c>
      <c r="G18" s="61">
        <v>5</v>
      </c>
      <c r="H18" s="68"/>
    </row>
    <row r="19" spans="1:8" s="53" customFormat="1" ht="31.5">
      <c r="A19" s="66" t="s">
        <v>10</v>
      </c>
      <c r="B19" s="66"/>
      <c r="C19" s="67" t="s">
        <v>10</v>
      </c>
      <c r="D19" s="66" t="s">
        <v>194</v>
      </c>
      <c r="E19" s="58" t="s">
        <v>215</v>
      </c>
      <c r="F19" s="59" t="s">
        <v>216</v>
      </c>
      <c r="G19" s="61">
        <v>5</v>
      </c>
      <c r="H19" s="68"/>
    </row>
    <row r="20" spans="1:8" ht="51" customHeight="1">
      <c r="A20" s="260" t="s">
        <v>217</v>
      </c>
      <c r="B20" s="260"/>
      <c r="C20" s="260"/>
      <c r="D20" s="260"/>
      <c r="E20" s="260"/>
      <c r="F20" s="260"/>
      <c r="G20" s="260"/>
      <c r="H20" s="260"/>
    </row>
    <row r="21" spans="1:8" s="53" customFormat="1" ht="31.5">
      <c r="A21" s="47" t="s">
        <v>11</v>
      </c>
      <c r="B21" s="47"/>
      <c r="C21" s="48" t="s">
        <v>185</v>
      </c>
      <c r="D21" s="47" t="s">
        <v>91</v>
      </c>
      <c r="E21" s="49" t="s">
        <v>218</v>
      </c>
      <c r="F21" s="69" t="s">
        <v>219</v>
      </c>
      <c r="G21" s="70">
        <f>'Power Density Integrated'!G6</f>
        <v>500</v>
      </c>
      <c r="H21" s="71"/>
    </row>
  </sheetData>
  <mergeCells count="4">
    <mergeCell ref="A2:H2"/>
    <mergeCell ref="A6:H6"/>
    <mergeCell ref="A12:H12"/>
    <mergeCell ref="A20:H20"/>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B075-7756-9249-AFDE-BD7C1A98126A}">
  <dimension ref="B1:D56"/>
  <sheetViews>
    <sheetView workbookViewId="0">
      <selection activeCell="F11" sqref="F11"/>
    </sheetView>
  </sheetViews>
  <sheetFormatPr defaultColWidth="8.875" defaultRowHeight="15"/>
  <cols>
    <col min="1" max="1" width="8.875" style="6"/>
    <col min="2" max="2" width="33.875" style="6" bestFit="1" customWidth="1"/>
    <col min="3" max="3" width="20.625" style="6" customWidth="1"/>
    <col min="4" max="4" width="40.5" style="6" customWidth="1"/>
    <col min="5" max="16384" width="8.875" style="6"/>
  </cols>
  <sheetData>
    <row r="1" spans="2:4" ht="15.75" thickBot="1"/>
    <row r="2" spans="2:4" ht="19.5" thickBot="1">
      <c r="B2" s="268" t="s">
        <v>1014</v>
      </c>
      <c r="C2" s="269"/>
      <c r="D2" s="270"/>
    </row>
    <row r="3" spans="2:4" ht="32.25" thickBot="1">
      <c r="B3" s="161" t="s">
        <v>1015</v>
      </c>
      <c r="C3" s="162" t="s">
        <v>1016</v>
      </c>
      <c r="D3" s="162" t="s">
        <v>1017</v>
      </c>
    </row>
    <row r="4" spans="2:4" ht="15.75">
      <c r="B4" s="163" t="s">
        <v>993</v>
      </c>
      <c r="C4" s="164">
        <v>40.1</v>
      </c>
      <c r="D4" s="165">
        <v>75500</v>
      </c>
    </row>
    <row r="5" spans="2:4" ht="15.75">
      <c r="B5" s="145" t="s">
        <v>1018</v>
      </c>
      <c r="C5" s="166">
        <v>27.5</v>
      </c>
      <c r="D5" s="167">
        <v>85400</v>
      </c>
    </row>
    <row r="6" spans="2:4" ht="15.75">
      <c r="B6" s="145" t="s">
        <v>1019</v>
      </c>
      <c r="C6" s="166">
        <v>40.9</v>
      </c>
      <c r="D6" s="167">
        <v>70400</v>
      </c>
    </row>
    <row r="7" spans="2:4" ht="15.75">
      <c r="B7" s="145" t="s">
        <v>1020</v>
      </c>
      <c r="C7" s="166">
        <v>42.5</v>
      </c>
      <c r="D7" s="167">
        <v>73000</v>
      </c>
    </row>
    <row r="8" spans="2:4" ht="15.75">
      <c r="B8" s="145" t="s">
        <v>1021</v>
      </c>
      <c r="C8" s="166">
        <v>42.5</v>
      </c>
      <c r="D8" s="167">
        <v>73000</v>
      </c>
    </row>
    <row r="9" spans="2:4" ht="15.75">
      <c r="B9" s="145" t="s">
        <v>1022</v>
      </c>
      <c r="C9" s="166">
        <v>42.5</v>
      </c>
      <c r="D9" s="167">
        <v>73000</v>
      </c>
    </row>
    <row r="10" spans="2:4" ht="15.75">
      <c r="B10" s="145" t="s">
        <v>1023</v>
      </c>
      <c r="C10" s="166">
        <v>42</v>
      </c>
      <c r="D10" s="167">
        <v>74400</v>
      </c>
    </row>
    <row r="11" spans="2:4" ht="15.75">
      <c r="B11" s="145" t="s">
        <v>1024</v>
      </c>
      <c r="C11" s="166">
        <v>42.4</v>
      </c>
      <c r="D11" s="167">
        <v>73700</v>
      </c>
    </row>
    <row r="12" spans="2:4" ht="15.75">
      <c r="B12" s="145" t="s">
        <v>1025</v>
      </c>
      <c r="C12" s="166">
        <v>32.1</v>
      </c>
      <c r="D12" s="167">
        <v>79200</v>
      </c>
    </row>
    <row r="13" spans="2:4" ht="15.75">
      <c r="B13" s="145" t="s">
        <v>1011</v>
      </c>
      <c r="C13" s="166">
        <v>41.4</v>
      </c>
      <c r="D13" s="167">
        <v>74800</v>
      </c>
    </row>
    <row r="14" spans="2:4" ht="15.75">
      <c r="B14" s="145" t="s">
        <v>1026</v>
      </c>
      <c r="C14" s="166">
        <v>39.799999999999997</v>
      </c>
      <c r="D14" s="167">
        <v>78800</v>
      </c>
    </row>
    <row r="15" spans="2:4" ht="15.75">
      <c r="B15" s="145" t="s">
        <v>1027</v>
      </c>
      <c r="C15" s="166">
        <v>44.8</v>
      </c>
      <c r="D15" s="167">
        <v>65600</v>
      </c>
    </row>
    <row r="16" spans="2:4" ht="15.75">
      <c r="B16" s="145" t="s">
        <v>1028</v>
      </c>
      <c r="C16" s="166">
        <v>44.9</v>
      </c>
      <c r="D16" s="167">
        <v>68600</v>
      </c>
    </row>
    <row r="17" spans="2:4" ht="15.75">
      <c r="B17" s="145" t="s">
        <v>1029</v>
      </c>
      <c r="C17" s="166">
        <v>41.8</v>
      </c>
      <c r="D17" s="167">
        <v>76300</v>
      </c>
    </row>
    <row r="18" spans="2:4" ht="15.75">
      <c r="B18" s="145" t="s">
        <v>1030</v>
      </c>
      <c r="C18" s="166">
        <v>33.5</v>
      </c>
      <c r="D18" s="167">
        <v>89900</v>
      </c>
    </row>
    <row r="19" spans="2:4" ht="15.75">
      <c r="B19" s="145" t="s">
        <v>1031</v>
      </c>
      <c r="C19" s="166">
        <v>33.5</v>
      </c>
      <c r="D19" s="167">
        <v>75200</v>
      </c>
    </row>
    <row r="20" spans="2:4" ht="15.75">
      <c r="B20" s="145" t="s">
        <v>1032</v>
      </c>
      <c r="C20" s="166">
        <v>29.7</v>
      </c>
      <c r="D20" s="167">
        <v>115000</v>
      </c>
    </row>
    <row r="21" spans="2:4" ht="15.75">
      <c r="B21" s="145" t="s">
        <v>1033</v>
      </c>
      <c r="C21" s="166">
        <v>36.299999999999997</v>
      </c>
      <c r="D21" s="167">
        <v>76600</v>
      </c>
    </row>
    <row r="22" spans="2:4" ht="15.75">
      <c r="B22" s="145" t="s">
        <v>1034</v>
      </c>
      <c r="C22" s="166">
        <v>47.5</v>
      </c>
      <c r="D22" s="167">
        <v>69000</v>
      </c>
    </row>
    <row r="23" spans="2:4" ht="15.75">
      <c r="B23" s="145" t="s">
        <v>1035</v>
      </c>
      <c r="C23" s="166">
        <v>33.700000000000003</v>
      </c>
      <c r="D23" s="167">
        <v>74400</v>
      </c>
    </row>
    <row r="24" spans="2:4" ht="15.75">
      <c r="B24" s="145" t="s">
        <v>1036</v>
      </c>
      <c r="C24" s="166">
        <v>33.700000000000003</v>
      </c>
      <c r="D24" s="167">
        <v>74400</v>
      </c>
    </row>
    <row r="25" spans="2:4" ht="15.75">
      <c r="B25" s="145" t="s">
        <v>1037</v>
      </c>
      <c r="C25" s="166">
        <v>33.700000000000003</v>
      </c>
      <c r="D25" s="167">
        <v>74400</v>
      </c>
    </row>
    <row r="26" spans="2:4" ht="15.75">
      <c r="B26" s="145" t="s">
        <v>1038</v>
      </c>
      <c r="C26" s="166">
        <v>21.6</v>
      </c>
      <c r="D26" s="167">
        <v>101000</v>
      </c>
    </row>
    <row r="27" spans="2:4" ht="15.75">
      <c r="B27" s="145" t="s">
        <v>1039</v>
      </c>
      <c r="C27" s="166">
        <v>24</v>
      </c>
      <c r="D27" s="167">
        <v>101000</v>
      </c>
    </row>
    <row r="28" spans="2:4" ht="15.75">
      <c r="B28" s="145" t="s">
        <v>1040</v>
      </c>
      <c r="C28" s="166">
        <v>19.899999999999999</v>
      </c>
      <c r="D28" s="167">
        <v>99700</v>
      </c>
    </row>
    <row r="29" spans="2:4" ht="15.75">
      <c r="B29" s="145" t="s">
        <v>1041</v>
      </c>
      <c r="C29" s="166">
        <v>11.5</v>
      </c>
      <c r="D29" s="167">
        <v>100000</v>
      </c>
    </row>
    <row r="30" spans="2:4" ht="15.75">
      <c r="B30" s="145" t="s">
        <v>1042</v>
      </c>
      <c r="C30" s="166">
        <v>5.5</v>
      </c>
      <c r="D30" s="167">
        <v>115000</v>
      </c>
    </row>
    <row r="31" spans="2:4" ht="15.75">
      <c r="B31" s="145" t="s">
        <v>1043</v>
      </c>
      <c r="C31" s="166">
        <v>7.1</v>
      </c>
      <c r="D31" s="167">
        <v>125000</v>
      </c>
    </row>
    <row r="32" spans="2:4" ht="15.75">
      <c r="B32" s="145" t="s">
        <v>1044</v>
      </c>
      <c r="C32" s="166">
        <v>15.1</v>
      </c>
      <c r="D32" s="167">
        <v>109000</v>
      </c>
    </row>
    <row r="33" spans="2:4" ht="15.75">
      <c r="B33" s="145" t="s">
        <v>1045</v>
      </c>
      <c r="C33" s="166">
        <v>15.1</v>
      </c>
      <c r="D33" s="167">
        <v>109000</v>
      </c>
    </row>
    <row r="34" spans="2:4" ht="15.75">
      <c r="B34" s="145" t="s">
        <v>1046</v>
      </c>
      <c r="C34" s="166">
        <v>25.1</v>
      </c>
      <c r="D34" s="167">
        <v>119000</v>
      </c>
    </row>
    <row r="35" spans="2:4" ht="15.75">
      <c r="B35" s="145" t="s">
        <v>1047</v>
      </c>
      <c r="C35" s="166">
        <v>25.1</v>
      </c>
      <c r="D35" s="167">
        <v>119000</v>
      </c>
    </row>
    <row r="36" spans="2:4" ht="15.75">
      <c r="B36" s="145" t="s">
        <v>1048</v>
      </c>
      <c r="C36" s="166">
        <v>14.1</v>
      </c>
      <c r="D36" s="167">
        <v>95300</v>
      </c>
    </row>
    <row r="37" spans="2:4" ht="15.75">
      <c r="B37" s="145" t="s">
        <v>1049</v>
      </c>
      <c r="C37" s="166">
        <v>19.600000000000001</v>
      </c>
      <c r="D37" s="167">
        <v>54100</v>
      </c>
    </row>
    <row r="38" spans="2:4" ht="15.75">
      <c r="B38" s="145" t="s">
        <v>1050</v>
      </c>
      <c r="C38" s="166">
        <v>19.600000000000001</v>
      </c>
      <c r="D38" s="167">
        <v>54100</v>
      </c>
    </row>
    <row r="39" spans="2:4" ht="15.75">
      <c r="B39" s="145" t="s">
        <v>1051</v>
      </c>
      <c r="C39" s="166">
        <v>1.2</v>
      </c>
      <c r="D39" s="167">
        <v>308000</v>
      </c>
    </row>
    <row r="40" spans="2:4" ht="15.75">
      <c r="B40" s="145" t="s">
        <v>1052</v>
      </c>
      <c r="C40" s="166">
        <v>3.8</v>
      </c>
      <c r="D40" s="167">
        <v>202000</v>
      </c>
    </row>
    <row r="41" spans="2:4" ht="15.75">
      <c r="B41" s="145" t="s">
        <v>1013</v>
      </c>
      <c r="C41" s="166">
        <v>46.5</v>
      </c>
      <c r="D41" s="167">
        <v>58300</v>
      </c>
    </row>
    <row r="42" spans="2:4" ht="15.75">
      <c r="B42" s="147" t="s">
        <v>1053</v>
      </c>
      <c r="C42" s="166">
        <v>7</v>
      </c>
      <c r="D42" s="167">
        <v>121000</v>
      </c>
    </row>
    <row r="43" spans="2:4" ht="15.75">
      <c r="B43" s="145" t="s">
        <v>1054</v>
      </c>
      <c r="C43" s="166">
        <v>20.3</v>
      </c>
      <c r="D43" s="167">
        <v>74400</v>
      </c>
    </row>
    <row r="44" spans="2:4" ht="15.75">
      <c r="B44" s="145" t="s">
        <v>1055</v>
      </c>
      <c r="C44" s="166">
        <v>7.8</v>
      </c>
      <c r="D44" s="167">
        <v>108000</v>
      </c>
    </row>
    <row r="45" spans="2:4" ht="15.75">
      <c r="B45" s="145" t="s">
        <v>1056</v>
      </c>
      <c r="C45" s="166">
        <v>7.9</v>
      </c>
      <c r="D45" s="167">
        <v>132000</v>
      </c>
    </row>
    <row r="46" spans="2:4" ht="15.75">
      <c r="B46" s="145" t="s">
        <v>1057</v>
      </c>
      <c r="C46" s="166">
        <v>5.9</v>
      </c>
      <c r="D46" s="167">
        <v>110000</v>
      </c>
    </row>
    <row r="47" spans="2:4" ht="15.75">
      <c r="B47" s="145" t="s">
        <v>1058</v>
      </c>
      <c r="C47" s="166">
        <v>5.9</v>
      </c>
      <c r="D47" s="167">
        <v>117000</v>
      </c>
    </row>
    <row r="48" spans="2:4" ht="15.75">
      <c r="B48" s="145" t="s">
        <v>1059</v>
      </c>
      <c r="C48" s="166">
        <v>14.9</v>
      </c>
      <c r="D48" s="167">
        <v>132000</v>
      </c>
    </row>
    <row r="49" spans="2:4" ht="15.75">
      <c r="B49" s="145" t="s">
        <v>1060</v>
      </c>
      <c r="C49" s="166">
        <v>13.6</v>
      </c>
      <c r="D49" s="167">
        <v>84300</v>
      </c>
    </row>
    <row r="50" spans="2:4" ht="15.75">
      <c r="B50" s="145" t="s">
        <v>1061</v>
      </c>
      <c r="C50" s="166">
        <v>13.6</v>
      </c>
      <c r="D50" s="167">
        <v>84300</v>
      </c>
    </row>
    <row r="51" spans="2:4" ht="15.75">
      <c r="B51" s="145" t="s">
        <v>1062</v>
      </c>
      <c r="C51" s="166">
        <v>13.8</v>
      </c>
      <c r="D51" s="167">
        <v>95300</v>
      </c>
    </row>
    <row r="52" spans="2:4" ht="15.75">
      <c r="B52" s="145" t="s">
        <v>1063</v>
      </c>
      <c r="C52" s="166">
        <v>25.4</v>
      </c>
      <c r="D52" s="167">
        <v>66000</v>
      </c>
    </row>
    <row r="53" spans="2:4" ht="15.75">
      <c r="B53" s="145" t="s">
        <v>1064</v>
      </c>
      <c r="C53" s="166">
        <v>25.4</v>
      </c>
      <c r="D53" s="167">
        <v>66000</v>
      </c>
    </row>
    <row r="54" spans="2:4" ht="15.75">
      <c r="B54" s="145" t="s">
        <v>1065</v>
      </c>
      <c r="C54" s="166">
        <v>25.4</v>
      </c>
      <c r="D54" s="167">
        <v>66000</v>
      </c>
    </row>
    <row r="55" spans="2:4" ht="15.75">
      <c r="B55" s="145" t="s">
        <v>1066</v>
      </c>
      <c r="C55" s="166">
        <v>6.8</v>
      </c>
      <c r="D55" s="167">
        <v>117000</v>
      </c>
    </row>
    <row r="56" spans="2:4" ht="16.5" thickBot="1">
      <c r="B56" s="148" t="s">
        <v>1067</v>
      </c>
      <c r="C56" s="168" t="s">
        <v>13</v>
      </c>
      <c r="D56" s="169">
        <v>183000</v>
      </c>
    </row>
  </sheetData>
  <mergeCells count="1">
    <mergeCell ref="B2:D2"/>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D9C24-8B37-4B8F-9FE1-14EA2B254BBE}">
  <dimension ref="A1:F69"/>
  <sheetViews>
    <sheetView workbookViewId="0">
      <selection activeCell="E73" sqref="E73:E74"/>
    </sheetView>
  </sheetViews>
  <sheetFormatPr defaultRowHeight="15"/>
  <cols>
    <col min="1" max="1" width="15.875" style="203" bestFit="1" customWidth="1"/>
    <col min="2" max="2" width="15.875" style="203" customWidth="1"/>
    <col min="3" max="3" width="14.125" style="203" bestFit="1" customWidth="1"/>
    <col min="4" max="4" width="38.875" style="203" customWidth="1"/>
    <col min="5" max="5" width="25.625" style="203" bestFit="1" customWidth="1"/>
    <col min="6" max="6" width="70.875" style="203" customWidth="1"/>
    <col min="7" max="16384" width="9" style="203"/>
  </cols>
  <sheetData>
    <row r="1" spans="1:6" ht="18.75">
      <c r="A1" s="239" t="s">
        <v>0</v>
      </c>
      <c r="B1" s="239" t="s">
        <v>3</v>
      </c>
      <c r="C1" s="239" t="s">
        <v>5</v>
      </c>
      <c r="D1" s="202" t="s">
        <v>6</v>
      </c>
      <c r="E1" s="202" t="s">
        <v>2</v>
      </c>
      <c r="F1" s="239" t="s">
        <v>7</v>
      </c>
    </row>
    <row r="2" spans="1:6" s="215" customFormat="1" ht="18.75">
      <c r="A2" s="240"/>
      <c r="B2" s="240"/>
      <c r="C2" s="241"/>
      <c r="D2" s="240" t="s">
        <v>629</v>
      </c>
      <c r="E2" s="241"/>
      <c r="F2" s="241"/>
    </row>
    <row r="3" spans="1:6" ht="113.25" customHeight="1">
      <c r="A3" s="203" t="s">
        <v>10</v>
      </c>
      <c r="B3" s="203" t="s">
        <v>300</v>
      </c>
      <c r="D3" s="206" t="s">
        <v>1068</v>
      </c>
      <c r="E3" s="203" t="s">
        <v>11</v>
      </c>
      <c r="F3" s="206" t="s">
        <v>1069</v>
      </c>
    </row>
    <row r="4" spans="1:6" s="215" customFormat="1" ht="18.75">
      <c r="A4" s="240"/>
      <c r="B4" s="240"/>
      <c r="C4" s="241"/>
      <c r="D4" s="240" t="s">
        <v>1070</v>
      </c>
      <c r="E4" s="241"/>
      <c r="F4" s="241"/>
    </row>
    <row r="5" spans="1:6" s="208" customFormat="1">
      <c r="A5" s="208" t="s">
        <v>11</v>
      </c>
      <c r="B5" s="208" t="s">
        <v>261</v>
      </c>
      <c r="C5" s="254" t="s">
        <v>1071</v>
      </c>
      <c r="D5" s="208" t="s">
        <v>1072</v>
      </c>
      <c r="E5" s="205" t="s">
        <v>11</v>
      </c>
      <c r="F5" s="205">
        <v>16.04</v>
      </c>
    </row>
    <row r="6" spans="1:6" s="208" customFormat="1">
      <c r="A6" s="208" t="s">
        <v>11</v>
      </c>
      <c r="B6" s="208" t="s">
        <v>261</v>
      </c>
      <c r="C6" s="208" t="s">
        <v>1073</v>
      </c>
      <c r="D6" s="208" t="s">
        <v>1074</v>
      </c>
      <c r="E6" s="205" t="s">
        <v>11</v>
      </c>
      <c r="F6" s="205">
        <v>28.01</v>
      </c>
    </row>
    <row r="7" spans="1:6" s="208" customFormat="1">
      <c r="A7" s="208" t="s">
        <v>11</v>
      </c>
      <c r="B7" s="208" t="s">
        <v>261</v>
      </c>
      <c r="C7" s="208" t="s">
        <v>1075</v>
      </c>
      <c r="D7" s="208" t="s">
        <v>1076</v>
      </c>
      <c r="E7" s="205" t="s">
        <v>11</v>
      </c>
      <c r="F7" s="205">
        <v>44.01</v>
      </c>
    </row>
    <row r="8" spans="1:6" s="208" customFormat="1">
      <c r="A8" s="208" t="s">
        <v>11</v>
      </c>
      <c r="B8" s="208" t="s">
        <v>261</v>
      </c>
      <c r="C8" s="208" t="s">
        <v>1077</v>
      </c>
      <c r="D8" s="208" t="s">
        <v>1078</v>
      </c>
      <c r="E8" s="205" t="s">
        <v>11</v>
      </c>
      <c r="F8" s="205">
        <v>32</v>
      </c>
    </row>
    <row r="9" spans="1:6" s="208" customFormat="1">
      <c r="A9" s="208" t="s">
        <v>11</v>
      </c>
      <c r="B9" s="208" t="s">
        <v>261</v>
      </c>
      <c r="C9" s="208" t="s">
        <v>1079</v>
      </c>
      <c r="D9" s="208" t="s">
        <v>1080</v>
      </c>
      <c r="E9" s="205" t="s">
        <v>11</v>
      </c>
      <c r="F9" s="205">
        <v>2.02</v>
      </c>
    </row>
    <row r="10" spans="1:6" s="208" customFormat="1">
      <c r="A10" s="208" t="s">
        <v>11</v>
      </c>
      <c r="B10" s="208" t="s">
        <v>261</v>
      </c>
      <c r="C10" s="208" t="s">
        <v>1081</v>
      </c>
      <c r="D10" s="208" t="s">
        <v>1082</v>
      </c>
      <c r="E10" s="205" t="s">
        <v>11</v>
      </c>
      <c r="F10" s="205">
        <v>28.02</v>
      </c>
    </row>
    <row r="11" spans="1:6" s="208" customFormat="1">
      <c r="A11" s="208" t="s">
        <v>11</v>
      </c>
      <c r="B11" s="208" t="s">
        <v>261</v>
      </c>
      <c r="C11" s="208" t="s">
        <v>1083</v>
      </c>
      <c r="D11" s="208" t="s">
        <v>1084</v>
      </c>
      <c r="E11" s="205" t="s">
        <v>11</v>
      </c>
      <c r="F11" s="205">
        <v>12</v>
      </c>
    </row>
    <row r="12" spans="1:6" s="208" customFormat="1">
      <c r="A12" s="208" t="s">
        <v>11</v>
      </c>
      <c r="B12" s="208" t="s">
        <v>261</v>
      </c>
      <c r="C12" s="208" t="s">
        <v>1085</v>
      </c>
      <c r="D12" s="208" t="s">
        <v>1086</v>
      </c>
      <c r="E12" s="205" t="s">
        <v>11</v>
      </c>
      <c r="F12" s="205">
        <v>1.01</v>
      </c>
    </row>
    <row r="13" spans="1:6" s="208" customFormat="1">
      <c r="A13" s="208" t="s">
        <v>11</v>
      </c>
      <c r="B13" s="208" t="s">
        <v>261</v>
      </c>
      <c r="C13" s="208" t="s">
        <v>1087</v>
      </c>
      <c r="D13" s="208" t="s">
        <v>1088</v>
      </c>
      <c r="E13" s="205" t="s">
        <v>11</v>
      </c>
      <c r="F13" s="205">
        <v>16</v>
      </c>
    </row>
    <row r="14" spans="1:6" s="208" customFormat="1">
      <c r="A14" s="208" t="s">
        <v>11</v>
      </c>
      <c r="B14" s="208" t="s">
        <v>261</v>
      </c>
      <c r="C14" s="208" t="s">
        <v>1089</v>
      </c>
      <c r="D14" s="208" t="s">
        <v>1090</v>
      </c>
      <c r="E14" s="205" t="s">
        <v>11</v>
      </c>
      <c r="F14" s="205">
        <v>14.01</v>
      </c>
    </row>
    <row r="15" spans="1:6" s="208" customFormat="1">
      <c r="A15" s="208" t="s">
        <v>11</v>
      </c>
      <c r="B15" s="208" t="s">
        <v>261</v>
      </c>
      <c r="C15" s="208" t="s">
        <v>1091</v>
      </c>
      <c r="D15" s="208" t="s">
        <v>1092</v>
      </c>
      <c r="E15" s="205" t="s">
        <v>11</v>
      </c>
      <c r="F15" s="205">
        <v>101325</v>
      </c>
    </row>
    <row r="16" spans="1:6" s="208" customFormat="1">
      <c r="A16" s="208" t="s">
        <v>11</v>
      </c>
      <c r="B16" s="208" t="s">
        <v>261</v>
      </c>
      <c r="C16" s="208" t="s">
        <v>1093</v>
      </c>
      <c r="D16" s="208" t="s">
        <v>1094</v>
      </c>
      <c r="E16" s="205" t="s">
        <v>11</v>
      </c>
      <c r="F16" s="205">
        <v>8314.4719999999998</v>
      </c>
    </row>
    <row r="17" spans="1:6" s="208" customFormat="1">
      <c r="A17" s="208" t="s">
        <v>11</v>
      </c>
      <c r="B17" s="208" t="s">
        <v>261</v>
      </c>
      <c r="C17" s="208" t="s">
        <v>1095</v>
      </c>
      <c r="D17" s="208" t="s">
        <v>1096</v>
      </c>
      <c r="E17" s="205" t="s">
        <v>11</v>
      </c>
      <c r="F17" s="205">
        <v>273.14999999999998</v>
      </c>
    </row>
    <row r="18" spans="1:6" s="208" customFormat="1">
      <c r="A18" s="208" t="s">
        <v>11</v>
      </c>
      <c r="B18" s="208" t="s">
        <v>261</v>
      </c>
      <c r="C18" s="208" t="s">
        <v>1097</v>
      </c>
      <c r="D18" s="208" t="s">
        <v>1098</v>
      </c>
      <c r="E18" s="205" t="s">
        <v>11</v>
      </c>
      <c r="F18" s="205">
        <v>0.21</v>
      </c>
    </row>
    <row r="19" spans="1:6" s="208" customFormat="1">
      <c r="A19" s="208" t="s">
        <v>11</v>
      </c>
      <c r="B19" s="208" t="s">
        <v>261</v>
      </c>
      <c r="C19" s="208" t="s">
        <v>583</v>
      </c>
      <c r="D19" s="208" t="s">
        <v>1099</v>
      </c>
      <c r="E19" s="205" t="s">
        <v>11</v>
      </c>
      <c r="F19" s="205">
        <v>25</v>
      </c>
    </row>
    <row r="20" spans="1:6" s="208" customFormat="1" ht="30">
      <c r="A20" s="208" t="s">
        <v>11</v>
      </c>
      <c r="B20" s="208" t="s">
        <v>261</v>
      </c>
      <c r="C20" s="208" t="s">
        <v>1100</v>
      </c>
      <c r="D20" s="204" t="s">
        <v>1101</v>
      </c>
      <c r="E20" s="205" t="s">
        <v>11</v>
      </c>
      <c r="F20" s="205">
        <v>22.414000000000001</v>
      </c>
    </row>
    <row r="21" spans="1:6" s="208" customFormat="1">
      <c r="A21" s="208" t="s">
        <v>11</v>
      </c>
      <c r="B21" s="208" t="s">
        <v>261</v>
      </c>
      <c r="C21" s="208" t="s">
        <v>1102</v>
      </c>
      <c r="D21" s="208" t="s">
        <v>1103</v>
      </c>
      <c r="E21" s="205" t="s">
        <v>11</v>
      </c>
      <c r="F21" s="205">
        <v>0.71599999999999997</v>
      </c>
    </row>
    <row r="22" spans="1:6" s="208" customFormat="1" ht="30">
      <c r="A22" s="208" t="s">
        <v>11</v>
      </c>
      <c r="B22" s="208" t="s">
        <v>261</v>
      </c>
      <c r="C22" s="208" t="s">
        <v>1104</v>
      </c>
      <c r="D22" s="204" t="s">
        <v>1105</v>
      </c>
      <c r="E22" s="205" t="s">
        <v>11</v>
      </c>
      <c r="F22" s="205" t="s">
        <v>1106</v>
      </c>
    </row>
    <row r="23" spans="1:6" s="208" customFormat="1" ht="30">
      <c r="A23" s="208" t="s">
        <v>11</v>
      </c>
      <c r="B23" s="208" t="s">
        <v>261</v>
      </c>
      <c r="C23" s="208" t="s">
        <v>1107</v>
      </c>
      <c r="D23" s="204" t="s">
        <v>1108</v>
      </c>
      <c r="E23" s="205" t="s">
        <v>11</v>
      </c>
      <c r="F23" s="205">
        <v>1</v>
      </c>
    </row>
    <row r="24" spans="1:6" s="208" customFormat="1">
      <c r="A24" s="208" t="s">
        <v>11</v>
      </c>
      <c r="B24" s="208" t="s">
        <v>261</v>
      </c>
      <c r="C24" s="208" t="s">
        <v>1109</v>
      </c>
      <c r="D24" s="208" t="s">
        <v>1110</v>
      </c>
      <c r="E24" s="205" t="s">
        <v>11</v>
      </c>
      <c r="F24" s="205">
        <v>1</v>
      </c>
    </row>
    <row r="25" spans="1:6" s="208" customFormat="1" ht="30">
      <c r="A25" s="208" t="s">
        <v>11</v>
      </c>
      <c r="B25" s="208" t="s">
        <v>261</v>
      </c>
      <c r="C25" s="208" t="s">
        <v>1111</v>
      </c>
      <c r="D25" s="204" t="s">
        <v>1112</v>
      </c>
      <c r="E25" s="205" t="s">
        <v>11</v>
      </c>
      <c r="F25" s="205">
        <v>1</v>
      </c>
    </row>
    <row r="26" spans="1:6" s="208" customFormat="1" ht="30">
      <c r="A26" s="208" t="s">
        <v>11</v>
      </c>
      <c r="B26" s="208" t="s">
        <v>261</v>
      </c>
      <c r="C26" s="208" t="s">
        <v>1113</v>
      </c>
      <c r="D26" s="204" t="s">
        <v>1114</v>
      </c>
      <c r="E26" s="205" t="s">
        <v>11</v>
      </c>
      <c r="F26" s="205">
        <v>4</v>
      </c>
    </row>
    <row r="27" spans="1:6" s="208" customFormat="1">
      <c r="A27" s="208" t="s">
        <v>11</v>
      </c>
      <c r="B27" s="208" t="s">
        <v>261</v>
      </c>
      <c r="C27" s="208" t="s">
        <v>1115</v>
      </c>
      <c r="D27" s="208" t="s">
        <v>1116</v>
      </c>
      <c r="E27" s="205" t="s">
        <v>11</v>
      </c>
      <c r="F27" s="205">
        <v>2</v>
      </c>
    </row>
    <row r="28" spans="1:6" s="208" customFormat="1">
      <c r="A28" s="208" t="s">
        <v>11</v>
      </c>
      <c r="B28" s="208" t="s">
        <v>261</v>
      </c>
      <c r="C28" s="208" t="s">
        <v>1117</v>
      </c>
      <c r="D28" s="208" t="s">
        <v>1118</v>
      </c>
      <c r="E28" s="205" t="s">
        <v>11</v>
      </c>
      <c r="F28" s="205">
        <v>1</v>
      </c>
    </row>
    <row r="29" spans="1:6" s="208" customFormat="1" ht="30">
      <c r="A29" s="208" t="s">
        <v>11</v>
      </c>
      <c r="B29" s="208" t="s">
        <v>261</v>
      </c>
      <c r="C29" s="208" t="s">
        <v>1119</v>
      </c>
      <c r="D29" s="204" t="s">
        <v>1120</v>
      </c>
      <c r="E29" s="205" t="s">
        <v>11</v>
      </c>
      <c r="F29" s="205">
        <v>2</v>
      </c>
    </row>
    <row r="30" spans="1:6" s="208" customFormat="1">
      <c r="A30" s="208" t="s">
        <v>11</v>
      </c>
      <c r="B30" s="208" t="s">
        <v>261</v>
      </c>
      <c r="C30" s="208" t="s">
        <v>1121</v>
      </c>
      <c r="D30" s="208" t="s">
        <v>1122</v>
      </c>
      <c r="E30" s="205" t="s">
        <v>11</v>
      </c>
      <c r="F30" s="205">
        <v>2</v>
      </c>
    </row>
    <row r="31" spans="1:6" s="208" customFormat="1">
      <c r="A31" s="208" t="s">
        <v>11</v>
      </c>
      <c r="B31" s="208" t="s">
        <v>261</v>
      </c>
      <c r="C31" s="208" t="s">
        <v>1123</v>
      </c>
      <c r="D31" s="208" t="s">
        <v>1124</v>
      </c>
      <c r="E31" s="205" t="s">
        <v>11</v>
      </c>
      <c r="F31" s="205">
        <v>2</v>
      </c>
    </row>
    <row r="32" spans="1:6" s="215" customFormat="1" ht="18.75">
      <c r="A32" s="240"/>
      <c r="B32" s="240"/>
      <c r="C32" s="241"/>
      <c r="D32" s="240" t="s">
        <v>1125</v>
      </c>
      <c r="E32" s="241"/>
      <c r="F32" s="241"/>
    </row>
    <row r="33" spans="1:6">
      <c r="A33" s="203" t="s">
        <v>10</v>
      </c>
      <c r="B33" s="203" t="s">
        <v>194</v>
      </c>
      <c r="C33" s="203" t="s">
        <v>1126</v>
      </c>
      <c r="D33" s="203" t="s">
        <v>1127</v>
      </c>
      <c r="E33" s="207" t="s">
        <v>10</v>
      </c>
      <c r="F33" s="255">
        <v>0.55000000000000004</v>
      </c>
    </row>
    <row r="34" spans="1:6">
      <c r="A34" s="203" t="s">
        <v>10</v>
      </c>
      <c r="B34" s="203" t="s">
        <v>194</v>
      </c>
      <c r="C34" s="203" t="s">
        <v>1128</v>
      </c>
      <c r="D34" s="203" t="s">
        <v>1129</v>
      </c>
      <c r="E34" s="207" t="s">
        <v>10</v>
      </c>
      <c r="F34" s="255">
        <v>0</v>
      </c>
    </row>
    <row r="35" spans="1:6">
      <c r="A35" s="203" t="s">
        <v>10</v>
      </c>
      <c r="B35" s="203" t="s">
        <v>194</v>
      </c>
      <c r="C35" s="203" t="s">
        <v>1130</v>
      </c>
      <c r="D35" s="203" t="s">
        <v>1131</v>
      </c>
      <c r="E35" s="207" t="s">
        <v>10</v>
      </c>
      <c r="F35" s="255">
        <v>0.35</v>
      </c>
    </row>
    <row r="36" spans="1:6">
      <c r="A36" s="203" t="s">
        <v>10</v>
      </c>
      <c r="B36" s="203" t="s">
        <v>194</v>
      </c>
      <c r="C36" s="203" t="s">
        <v>1132</v>
      </c>
      <c r="D36" s="203" t="s">
        <v>1133</v>
      </c>
      <c r="E36" s="207" t="s">
        <v>10</v>
      </c>
      <c r="F36" s="255">
        <v>0.05</v>
      </c>
    </row>
    <row r="37" spans="1:6">
      <c r="A37" s="203" t="s">
        <v>10</v>
      </c>
      <c r="B37" s="203" t="s">
        <v>194</v>
      </c>
      <c r="C37" s="203" t="s">
        <v>1134</v>
      </c>
      <c r="D37" s="203" t="s">
        <v>1135</v>
      </c>
      <c r="E37" s="207" t="s">
        <v>10</v>
      </c>
      <c r="F37" s="255">
        <v>0.01</v>
      </c>
    </row>
    <row r="38" spans="1:6">
      <c r="A38" s="203" t="s">
        <v>10</v>
      </c>
      <c r="B38" s="203" t="s">
        <v>194</v>
      </c>
      <c r="C38" s="203" t="s">
        <v>1136</v>
      </c>
      <c r="D38" s="203" t="s">
        <v>1137</v>
      </c>
      <c r="E38" s="207" t="s">
        <v>10</v>
      </c>
      <c r="F38" s="255">
        <v>0.04</v>
      </c>
    </row>
    <row r="39" spans="1:6" ht="30">
      <c r="A39" s="203" t="s">
        <v>10</v>
      </c>
      <c r="B39" s="203" t="s">
        <v>194</v>
      </c>
      <c r="C39" s="203" t="s">
        <v>1138</v>
      </c>
      <c r="D39" s="206" t="s">
        <v>1139</v>
      </c>
      <c r="E39" s="207" t="s">
        <v>10</v>
      </c>
      <c r="F39" s="256">
        <v>1000</v>
      </c>
    </row>
    <row r="40" spans="1:6">
      <c r="A40" s="203" t="s">
        <v>10</v>
      </c>
      <c r="B40" s="203" t="s">
        <v>194</v>
      </c>
      <c r="C40" s="203" t="s">
        <v>1140</v>
      </c>
      <c r="D40" s="203" t="s">
        <v>1141</v>
      </c>
      <c r="E40" s="207" t="s">
        <v>10</v>
      </c>
      <c r="F40" s="255">
        <v>0.1</v>
      </c>
    </row>
    <row r="41" spans="1:6" ht="30">
      <c r="A41" s="203" t="s">
        <v>10</v>
      </c>
      <c r="B41" s="203" t="s">
        <v>194</v>
      </c>
      <c r="C41" s="203" t="s">
        <v>1142</v>
      </c>
      <c r="D41" s="206" t="s">
        <v>1143</v>
      </c>
      <c r="E41" s="207" t="s">
        <v>10</v>
      </c>
      <c r="F41" s="207">
        <v>1000</v>
      </c>
    </row>
    <row r="42" spans="1:6">
      <c r="A42" s="203" t="s">
        <v>10</v>
      </c>
      <c r="B42" s="203" t="s">
        <v>194</v>
      </c>
      <c r="C42" s="203" t="s">
        <v>1144</v>
      </c>
      <c r="D42" s="203" t="s">
        <v>1145</v>
      </c>
      <c r="E42" s="207" t="s">
        <v>10</v>
      </c>
      <c r="F42" s="257">
        <v>8760</v>
      </c>
    </row>
    <row r="43" spans="1:6" s="215" customFormat="1" ht="18.75">
      <c r="A43" s="240"/>
      <c r="B43" s="240"/>
      <c r="C43" s="241"/>
      <c r="D43" s="240" t="s">
        <v>1146</v>
      </c>
      <c r="E43" s="241"/>
      <c r="F43" s="241"/>
    </row>
    <row r="44" spans="1:6" s="208" customFormat="1" ht="30">
      <c r="A44" s="208" t="s">
        <v>11</v>
      </c>
      <c r="B44" s="208" t="s">
        <v>261</v>
      </c>
      <c r="C44" s="208" t="s">
        <v>1147</v>
      </c>
      <c r="D44" s="204" t="s">
        <v>1148</v>
      </c>
      <c r="E44" s="208" t="s">
        <v>11</v>
      </c>
      <c r="F44" s="205">
        <f>F45*F46</f>
        <v>1203.109940767265</v>
      </c>
    </row>
    <row r="45" spans="1:6" s="208" customFormat="1" ht="30">
      <c r="A45" s="208" t="s">
        <v>11</v>
      </c>
      <c r="B45" s="208" t="s">
        <v>261</v>
      </c>
      <c r="C45" s="208" t="s">
        <v>1149</v>
      </c>
      <c r="D45" s="204" t="s">
        <v>1150</v>
      </c>
      <c r="E45" s="208" t="s">
        <v>11</v>
      </c>
      <c r="F45" s="205">
        <f>F47/(F16*F17)</f>
        <v>1.203109940767265</v>
      </c>
    </row>
    <row r="46" spans="1:6" s="208" customFormat="1" ht="33" customHeight="1">
      <c r="A46" s="208" t="s">
        <v>11</v>
      </c>
      <c r="B46" s="208" t="s">
        <v>261</v>
      </c>
      <c r="C46" s="208" t="s">
        <v>1151</v>
      </c>
      <c r="D46" s="204" t="s">
        <v>1152</v>
      </c>
      <c r="E46" s="208" t="s">
        <v>11</v>
      </c>
      <c r="F46" s="205">
        <v>1000</v>
      </c>
    </row>
    <row r="47" spans="1:6" s="208" customFormat="1" ht="30">
      <c r="A47" s="208" t="s">
        <v>11</v>
      </c>
      <c r="B47" s="208" t="s">
        <v>261</v>
      </c>
      <c r="C47" s="208" t="s">
        <v>1153</v>
      </c>
      <c r="D47" s="204" t="s">
        <v>1154</v>
      </c>
      <c r="E47" s="208" t="s">
        <v>11</v>
      </c>
      <c r="F47" s="205">
        <f>F15*F48</f>
        <v>2732380.6124999998</v>
      </c>
    </row>
    <row r="48" spans="1:6" s="208" customFormat="1" ht="30">
      <c r="A48" s="208" t="s">
        <v>11</v>
      </c>
      <c r="B48" s="208" t="s">
        <v>261</v>
      </c>
      <c r="C48" s="208" t="s">
        <v>1155</v>
      </c>
      <c r="D48" s="204" t="s">
        <v>1156</v>
      </c>
      <c r="E48" s="208" t="s">
        <v>11</v>
      </c>
      <c r="F48" s="205">
        <f>F5*F33+F6*F34+F7*F35+F8*F36+F9*F37+F10*F38</f>
        <v>26.966499999999996</v>
      </c>
    </row>
    <row r="49" spans="1:6" s="215" customFormat="1" ht="18.75">
      <c r="A49" s="240"/>
      <c r="B49" s="240"/>
      <c r="C49" s="241"/>
      <c r="D49" s="240" t="s">
        <v>1157</v>
      </c>
      <c r="E49" s="241"/>
      <c r="F49" s="241"/>
    </row>
    <row r="50" spans="1:6" s="205" customFormat="1" ht="30">
      <c r="A50" s="205" t="s">
        <v>11</v>
      </c>
      <c r="B50" s="205" t="s">
        <v>261</v>
      </c>
      <c r="C50" s="205" t="s">
        <v>1158</v>
      </c>
      <c r="D50" s="211" t="s">
        <v>1159</v>
      </c>
      <c r="E50" s="205" t="s">
        <v>11</v>
      </c>
      <c r="F50" s="205">
        <f>F39*F33*F21</f>
        <v>393.8</v>
      </c>
    </row>
    <row r="51" spans="1:6" s="215" customFormat="1" ht="18.75">
      <c r="A51" s="240"/>
      <c r="B51" s="240"/>
      <c r="C51" s="241"/>
      <c r="D51" s="240" t="s">
        <v>1160</v>
      </c>
      <c r="E51" s="241"/>
      <c r="F51" s="241"/>
    </row>
    <row r="52" spans="1:6" s="208" customFormat="1">
      <c r="A52" s="208" t="s">
        <v>11</v>
      </c>
      <c r="B52" s="208" t="s">
        <v>261</v>
      </c>
      <c r="C52" s="208" t="s">
        <v>1161</v>
      </c>
      <c r="D52" s="208" t="s">
        <v>1162</v>
      </c>
      <c r="E52" s="208" t="s">
        <v>11</v>
      </c>
      <c r="F52" s="205">
        <f>(1-(F54/F50))*100</f>
        <v>97.620272779259992</v>
      </c>
    </row>
    <row r="53" spans="1:6" s="215" customFormat="1" ht="18.75">
      <c r="A53" s="240"/>
      <c r="B53" s="240"/>
      <c r="C53" s="241"/>
      <c r="D53" s="240" t="s">
        <v>1163</v>
      </c>
      <c r="E53" s="241"/>
      <c r="F53" s="241"/>
    </row>
    <row r="54" spans="1:6" s="208" customFormat="1" ht="45">
      <c r="A54" s="208" t="s">
        <v>11</v>
      </c>
      <c r="B54" s="208" t="s">
        <v>261</v>
      </c>
      <c r="C54" s="208" t="s">
        <v>1164</v>
      </c>
      <c r="D54" s="258" t="s">
        <v>1165</v>
      </c>
      <c r="E54" s="208" t="s">
        <v>11</v>
      </c>
      <c r="F54" s="205">
        <f>F56*F41/1000000</f>
        <v>9.3713657952741762</v>
      </c>
    </row>
    <row r="55" spans="1:6" s="215" customFormat="1" ht="18.75">
      <c r="A55" s="240"/>
      <c r="B55" s="240"/>
      <c r="C55" s="241"/>
      <c r="D55" s="240" t="s">
        <v>1166</v>
      </c>
      <c r="E55" s="241"/>
      <c r="F55" s="241"/>
    </row>
    <row r="56" spans="1:6" s="208" customFormat="1" ht="34.5" customHeight="1">
      <c r="A56" s="208" t="s">
        <v>11</v>
      </c>
      <c r="B56" s="208" t="s">
        <v>261</v>
      </c>
      <c r="C56" s="208" t="s">
        <v>1167</v>
      </c>
      <c r="D56" s="204" t="s">
        <v>1168</v>
      </c>
      <c r="E56" s="208" t="s">
        <v>11</v>
      </c>
      <c r="F56" s="205">
        <f>F57*F44</f>
        <v>9371.365795274176</v>
      </c>
    </row>
    <row r="57" spans="1:6" s="208" customFormat="1" ht="47.25" customHeight="1">
      <c r="A57" s="208" t="s">
        <v>11</v>
      </c>
      <c r="B57" s="208" t="s">
        <v>261</v>
      </c>
      <c r="C57" s="259" t="s">
        <v>1169</v>
      </c>
      <c r="D57" s="204" t="s">
        <v>1170</v>
      </c>
      <c r="E57" s="208" t="s">
        <v>11</v>
      </c>
      <c r="F57" s="205">
        <f>F60+F59+F58</f>
        <v>7.7892846511580895</v>
      </c>
    </row>
    <row r="58" spans="1:6" s="208" customFormat="1" ht="45">
      <c r="A58" s="208" t="s">
        <v>11</v>
      </c>
      <c r="B58" s="208" t="s">
        <v>261</v>
      </c>
      <c r="C58" s="208" t="s">
        <v>1171</v>
      </c>
      <c r="D58" s="204" t="s">
        <v>1172</v>
      </c>
      <c r="E58" s="208" t="s">
        <v>11</v>
      </c>
      <c r="F58" s="205">
        <f>F61*F20</f>
        <v>0.77892846511580904</v>
      </c>
    </row>
    <row r="59" spans="1:6" s="208" customFormat="1" ht="46.5" customHeight="1">
      <c r="A59" s="208" t="s">
        <v>11</v>
      </c>
      <c r="B59" s="208" t="s">
        <v>261</v>
      </c>
      <c r="C59" s="208" t="s">
        <v>1173</v>
      </c>
      <c r="D59" s="204" t="s">
        <v>1174</v>
      </c>
      <c r="E59" s="208" t="s">
        <v>11</v>
      </c>
      <c r="F59" s="205">
        <f>F20*((F67/(2*F14)+((1-F18)/F18)*(F62+F61)))</f>
        <v>6.2622947023495508</v>
      </c>
    </row>
    <row r="60" spans="1:6" s="208" customFormat="1" ht="47.25" customHeight="1">
      <c r="A60" s="208" t="s">
        <v>11</v>
      </c>
      <c r="B60" s="208" t="s">
        <v>261</v>
      </c>
      <c r="C60" s="208" t="s">
        <v>1175</v>
      </c>
      <c r="D60" s="204" t="s">
        <v>1176</v>
      </c>
      <c r="E60" s="208" t="s">
        <v>11</v>
      </c>
      <c r="F60" s="205">
        <f>(F64/F11)*F20</f>
        <v>0.74806148369272996</v>
      </c>
    </row>
    <row r="61" spans="1:6" s="208" customFormat="1" ht="45">
      <c r="A61" s="208" t="s">
        <v>11</v>
      </c>
      <c r="B61" s="208" t="s">
        <v>261</v>
      </c>
      <c r="C61" s="208" t="s">
        <v>1177</v>
      </c>
      <c r="D61" s="204" t="s">
        <v>1178</v>
      </c>
      <c r="E61" s="208" t="s">
        <v>11</v>
      </c>
      <c r="F61" s="205">
        <f>(F40/(1-(F40/F18))*(F64/F11+F67/(2*F14)+((1-F18)/F18)*F62))</f>
        <v>3.4751872272499734E-2</v>
      </c>
    </row>
    <row r="62" spans="1:6" s="208" customFormat="1" ht="45">
      <c r="A62" s="208" t="s">
        <v>11</v>
      </c>
      <c r="B62" s="208" t="s">
        <v>261</v>
      </c>
      <c r="C62" s="208" t="s">
        <v>1179</v>
      </c>
      <c r="D62" s="204" t="s">
        <v>1180</v>
      </c>
      <c r="E62" s="208" t="s">
        <v>11</v>
      </c>
      <c r="F62" s="205">
        <f>((F64/F11)+(F65/(4*F12)-(F66)/(2*F13)))</f>
        <v>3.9122615096508641E-2</v>
      </c>
    </row>
    <row r="63" spans="1:6" s="215" customFormat="1" ht="18.75">
      <c r="A63" s="240"/>
      <c r="B63" s="240"/>
      <c r="D63" s="240" t="s">
        <v>1181</v>
      </c>
      <c r="E63" s="241"/>
      <c r="F63" s="241"/>
    </row>
    <row r="64" spans="1:6" s="208" customFormat="1" ht="30">
      <c r="A64" s="208" t="s">
        <v>11</v>
      </c>
      <c r="B64" s="208" t="s">
        <v>261</v>
      </c>
      <c r="C64" s="259" t="s">
        <v>1182</v>
      </c>
      <c r="D64" s="204" t="s">
        <v>1183</v>
      </c>
      <c r="E64" s="208" t="s">
        <v>11</v>
      </c>
      <c r="F64" s="205">
        <f>((F33*F23+F34*F24+F35*F25)*F11)/F48</f>
        <v>0.40049691283629696</v>
      </c>
    </row>
    <row r="65" spans="1:6" s="208" customFormat="1" ht="30">
      <c r="A65" s="208" t="s">
        <v>11</v>
      </c>
      <c r="B65" s="208" t="s">
        <v>261</v>
      </c>
      <c r="C65" s="208" t="s">
        <v>1184</v>
      </c>
      <c r="D65" s="204" t="s">
        <v>1185</v>
      </c>
      <c r="E65" s="208" t="s">
        <v>11</v>
      </c>
      <c r="F65" s="205">
        <f>(F33*F26+F37*F27)*F12/F48</f>
        <v>8.314760907051344E-2</v>
      </c>
    </row>
    <row r="66" spans="1:6" s="208" customFormat="1" ht="30">
      <c r="A66" s="208" t="s">
        <v>11</v>
      </c>
      <c r="B66" s="208" t="s">
        <v>261</v>
      </c>
      <c r="C66" s="208" t="s">
        <v>1186</v>
      </c>
      <c r="D66" s="204" t="s">
        <v>1187</v>
      </c>
      <c r="E66" s="208" t="s">
        <v>11</v>
      </c>
      <c r="F66" s="205">
        <f>(F34*F28+F35*F29+F36*F30)*F13/F48</f>
        <v>0.47466300780598153</v>
      </c>
    </row>
    <row r="67" spans="1:6" s="208" customFormat="1" ht="30">
      <c r="A67" s="208" t="s">
        <v>11</v>
      </c>
      <c r="B67" s="208" t="s">
        <v>261</v>
      </c>
      <c r="C67" s="208" t="s">
        <v>1188</v>
      </c>
      <c r="D67" s="204" t="s">
        <v>1189</v>
      </c>
      <c r="E67" s="208" t="s">
        <v>11</v>
      </c>
      <c r="F67" s="205">
        <f>F38*F31*F14/F48</f>
        <v>4.1562679621011261E-2</v>
      </c>
    </row>
    <row r="68" spans="1:6" s="215" customFormat="1" ht="18.75">
      <c r="A68" s="240"/>
      <c r="B68" s="240"/>
      <c r="D68" s="240" t="s">
        <v>1190</v>
      </c>
      <c r="E68" s="241"/>
      <c r="F68" s="241"/>
    </row>
    <row r="69" spans="1:6" s="208" customFormat="1" ht="30">
      <c r="A69" s="208" t="s">
        <v>11</v>
      </c>
      <c r="B69" s="208" t="s">
        <v>261</v>
      </c>
      <c r="C69" s="208" t="s">
        <v>1191</v>
      </c>
      <c r="D69" s="204" t="s">
        <v>1192</v>
      </c>
      <c r="E69" s="208" t="s">
        <v>11</v>
      </c>
      <c r="F69" s="205">
        <f>(F42*(1-F52/100)*F50)*F19/100</f>
        <v>20523.291091650441</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30459-0614-4258-A2A8-845828F110D0}">
  <dimension ref="A1:G89"/>
  <sheetViews>
    <sheetView workbookViewId="0">
      <selection activeCell="F41" sqref="F41"/>
    </sheetView>
  </sheetViews>
  <sheetFormatPr defaultRowHeight="15"/>
  <cols>
    <col min="1" max="1" width="10.875" style="203" customWidth="1"/>
    <col min="2" max="2" width="9.75" style="203" bestFit="1" customWidth="1"/>
    <col min="3" max="3" width="14.125" style="203" bestFit="1" customWidth="1"/>
    <col min="4" max="4" width="14.125" style="203" customWidth="1"/>
    <col min="5" max="5" width="47.5" style="203" customWidth="1"/>
    <col min="6" max="6" width="72.625" style="203" customWidth="1"/>
    <col min="7" max="7" width="51.75" style="203" customWidth="1"/>
    <col min="8" max="16384" width="9" style="203"/>
  </cols>
  <sheetData>
    <row r="1" spans="1:7" ht="75">
      <c r="A1" s="200" t="s">
        <v>0</v>
      </c>
      <c r="B1" s="201" t="s">
        <v>2</v>
      </c>
      <c r="C1" s="239" t="s">
        <v>3</v>
      </c>
      <c r="D1" s="239" t="s">
        <v>5</v>
      </c>
      <c r="E1" s="202" t="s">
        <v>6</v>
      </c>
      <c r="F1" s="239" t="s">
        <v>7</v>
      </c>
      <c r="G1" s="239" t="s">
        <v>183</v>
      </c>
    </row>
    <row r="2" spans="1:7" s="215" customFormat="1" ht="18.75">
      <c r="A2" s="240"/>
      <c r="B2" s="241"/>
      <c r="C2" s="241"/>
      <c r="D2" s="241"/>
      <c r="E2" s="240" t="s">
        <v>1193</v>
      </c>
      <c r="F2" s="241"/>
    </row>
    <row r="3" spans="1:7" s="209" customFormat="1" ht="45.75">
      <c r="A3" s="242" t="s">
        <v>10</v>
      </c>
      <c r="B3" s="243" t="s">
        <v>11</v>
      </c>
      <c r="C3" s="242" t="s">
        <v>518</v>
      </c>
      <c r="D3" s="244"/>
      <c r="E3" s="245" t="s">
        <v>1194</v>
      </c>
      <c r="F3" s="246" t="s">
        <v>27</v>
      </c>
      <c r="G3" s="246" t="s">
        <v>1195</v>
      </c>
    </row>
    <row r="4" spans="1:7" s="209" customFormat="1" ht="45.75">
      <c r="A4" s="242" t="s">
        <v>10</v>
      </c>
      <c r="B4" s="243" t="s">
        <v>11</v>
      </c>
      <c r="C4" s="242" t="s">
        <v>300</v>
      </c>
      <c r="D4" s="244"/>
      <c r="E4" s="245" t="s">
        <v>1196</v>
      </c>
      <c r="F4" s="246" t="s">
        <v>1197</v>
      </c>
      <c r="G4" s="246" t="s">
        <v>1198</v>
      </c>
    </row>
    <row r="5" spans="1:7" s="215" customFormat="1" ht="18.75">
      <c r="A5" s="240"/>
      <c r="B5" s="241"/>
      <c r="C5" s="241"/>
      <c r="D5" s="241"/>
      <c r="E5" s="240" t="s">
        <v>527</v>
      </c>
      <c r="F5" s="241"/>
    </row>
    <row r="6" spans="1:7" s="209" customFormat="1" ht="45.75">
      <c r="A6" s="242" t="s">
        <v>10</v>
      </c>
      <c r="B6" s="243" t="s">
        <v>11</v>
      </c>
      <c r="C6" s="242" t="s">
        <v>518</v>
      </c>
      <c r="D6" s="244"/>
      <c r="E6" s="245" t="s">
        <v>1199</v>
      </c>
      <c r="F6" s="246" t="s">
        <v>10</v>
      </c>
      <c r="G6" s="246" t="s">
        <v>1200</v>
      </c>
    </row>
    <row r="7" spans="1:7" s="209" customFormat="1" ht="45.75">
      <c r="A7" s="242" t="s">
        <v>10</v>
      </c>
      <c r="B7" s="243" t="s">
        <v>11</v>
      </c>
      <c r="C7" s="242" t="s">
        <v>518</v>
      </c>
      <c r="D7" s="244"/>
      <c r="E7" s="245" t="s">
        <v>1201</v>
      </c>
      <c r="F7" s="246" t="s">
        <v>10</v>
      </c>
      <c r="G7" s="246" t="s">
        <v>1202</v>
      </c>
    </row>
    <row r="8" spans="1:7" s="209" customFormat="1" ht="45.75">
      <c r="A8" s="242" t="s">
        <v>10</v>
      </c>
      <c r="B8" s="243" t="s">
        <v>11</v>
      </c>
      <c r="C8" s="242" t="s">
        <v>300</v>
      </c>
      <c r="D8" s="244"/>
      <c r="E8" s="245" t="s">
        <v>1203</v>
      </c>
      <c r="F8" s="246" t="s">
        <v>1197</v>
      </c>
      <c r="G8" s="246" t="s">
        <v>1204</v>
      </c>
    </row>
    <row r="9" spans="1:7" s="215" customFormat="1" ht="18.75">
      <c r="A9" s="240"/>
      <c r="B9" s="241"/>
      <c r="C9" s="241"/>
      <c r="D9" s="241"/>
      <c r="E9" s="240" t="s">
        <v>1205</v>
      </c>
      <c r="F9" s="241"/>
    </row>
    <row r="10" spans="1:7" s="209" customFormat="1" ht="105.75">
      <c r="A10" s="242" t="s">
        <v>10</v>
      </c>
      <c r="B10" s="243" t="s">
        <v>11</v>
      </c>
      <c r="C10" s="242" t="s">
        <v>300</v>
      </c>
      <c r="D10" s="244"/>
      <c r="E10" s="245" t="s">
        <v>1206</v>
      </c>
      <c r="F10" s="246" t="s">
        <v>1207</v>
      </c>
      <c r="G10" s="246" t="s">
        <v>1208</v>
      </c>
    </row>
    <row r="11" spans="1:7" s="209" customFormat="1" ht="45.75">
      <c r="A11" s="242" t="s">
        <v>10</v>
      </c>
      <c r="B11" s="243" t="s">
        <v>11</v>
      </c>
      <c r="C11" s="242" t="s">
        <v>300</v>
      </c>
      <c r="D11" s="244"/>
      <c r="E11" s="245" t="s">
        <v>1209</v>
      </c>
      <c r="F11" s="247" t="s">
        <v>1197</v>
      </c>
      <c r="G11" s="247" t="s">
        <v>1210</v>
      </c>
    </row>
    <row r="12" spans="1:7" s="215" customFormat="1" ht="18.75">
      <c r="A12" s="240"/>
      <c r="B12" s="241"/>
      <c r="C12" s="241"/>
      <c r="D12" s="241"/>
      <c r="E12" s="240" t="s">
        <v>1211</v>
      </c>
      <c r="F12" s="241"/>
    </row>
    <row r="13" spans="1:7" s="208" customFormat="1" ht="30">
      <c r="A13" s="208" t="s">
        <v>11</v>
      </c>
      <c r="B13" s="204" t="s">
        <v>11</v>
      </c>
      <c r="C13" s="208" t="s">
        <v>91</v>
      </c>
      <c r="D13" s="208" t="s">
        <v>1212</v>
      </c>
      <c r="E13" s="204" t="s">
        <v>1213</v>
      </c>
      <c r="F13" s="205">
        <f>IF(AND(F7="Yes"),0,F14+F15+F16+F17)</f>
        <v>0</v>
      </c>
    </row>
    <row r="14" spans="1:7" s="208" customFormat="1" ht="30">
      <c r="A14" s="208" t="s">
        <v>11</v>
      </c>
      <c r="B14" s="204" t="s">
        <v>11</v>
      </c>
      <c r="C14" s="208" t="s">
        <v>518</v>
      </c>
      <c r="D14" s="208" t="s">
        <v>1214</v>
      </c>
      <c r="E14" s="204" t="s">
        <v>1215</v>
      </c>
      <c r="F14" s="205">
        <f>IF(AND(F8="Default Values"),F49,IF(AND(F8="Monitored Values"),F47))</f>
        <v>0</v>
      </c>
      <c r="G14" s="211" t="s">
        <v>1216</v>
      </c>
    </row>
    <row r="15" spans="1:7" s="208" customFormat="1" ht="30">
      <c r="A15" s="208" t="s">
        <v>11</v>
      </c>
      <c r="B15" s="204" t="s">
        <v>11</v>
      </c>
      <c r="C15" s="208" t="s">
        <v>91</v>
      </c>
      <c r="D15" s="208" t="s">
        <v>534</v>
      </c>
      <c r="E15" s="204" t="s">
        <v>1217</v>
      </c>
      <c r="F15" s="205">
        <f>F55</f>
        <v>73.333333333333329</v>
      </c>
      <c r="G15" s="205"/>
    </row>
    <row r="16" spans="1:7" s="208" customFormat="1" ht="30">
      <c r="A16" s="208" t="s">
        <v>11</v>
      </c>
      <c r="B16" s="204" t="s">
        <v>11</v>
      </c>
      <c r="C16" s="208" t="s">
        <v>91</v>
      </c>
      <c r="D16" s="208" t="s">
        <v>542</v>
      </c>
      <c r="E16" s="204" t="s">
        <v>1218</v>
      </c>
      <c r="F16" s="205">
        <f>F57</f>
        <v>0</v>
      </c>
    </row>
    <row r="17" spans="1:7" s="208" customFormat="1">
      <c r="A17" s="208" t="s">
        <v>11</v>
      </c>
      <c r="B17" s="204" t="s">
        <v>11</v>
      </c>
      <c r="C17" s="208" t="s">
        <v>91</v>
      </c>
      <c r="D17" s="208" t="s">
        <v>1219</v>
      </c>
      <c r="E17" s="204" t="s">
        <v>1220</v>
      </c>
      <c r="F17" s="205">
        <f>F63</f>
        <v>20523.291091650441</v>
      </c>
      <c r="G17" s="205"/>
    </row>
    <row r="18" spans="1:7" s="215" customFormat="1" ht="18.75">
      <c r="A18" s="240"/>
      <c r="B18" s="241"/>
      <c r="C18" s="241"/>
      <c r="D18" s="241"/>
      <c r="E18" s="240" t="s">
        <v>1221</v>
      </c>
      <c r="F18" s="241"/>
    </row>
    <row r="19" spans="1:7" s="208" customFormat="1" ht="30">
      <c r="A19" s="208" t="s">
        <v>11</v>
      </c>
      <c r="B19" s="208" t="s">
        <v>11</v>
      </c>
      <c r="C19" s="208" t="s">
        <v>91</v>
      </c>
      <c r="D19" s="208" t="s">
        <v>1222</v>
      </c>
      <c r="E19" s="204" t="s">
        <v>1223</v>
      </c>
      <c r="F19" s="205">
        <f>(F20*F23)/((F22-F20)*F24)</f>
        <v>1.123142144638404</v>
      </c>
    </row>
    <row r="20" spans="1:7" ht="30">
      <c r="A20" s="203" t="s">
        <v>10</v>
      </c>
      <c r="B20" s="206" t="s">
        <v>10</v>
      </c>
      <c r="C20" s="203" t="s">
        <v>194</v>
      </c>
      <c r="D20" s="203" t="s">
        <v>1224</v>
      </c>
      <c r="E20" s="206" t="s">
        <v>1225</v>
      </c>
      <c r="F20" s="207">
        <v>1</v>
      </c>
    </row>
    <row r="21" spans="1:7">
      <c r="A21" s="203" t="s">
        <v>10</v>
      </c>
      <c r="B21" s="206" t="s">
        <v>10</v>
      </c>
      <c r="C21" s="203" t="s">
        <v>194</v>
      </c>
      <c r="D21" s="203" t="s">
        <v>1226</v>
      </c>
      <c r="E21" s="206" t="s">
        <v>1227</v>
      </c>
      <c r="F21" s="207">
        <v>1</v>
      </c>
    </row>
    <row r="22" spans="1:7" ht="30">
      <c r="A22" s="203" t="s">
        <v>10</v>
      </c>
      <c r="B22" s="206" t="s">
        <v>10</v>
      </c>
      <c r="C22" s="203" t="s">
        <v>194</v>
      </c>
      <c r="D22" s="203" t="s">
        <v>1228</v>
      </c>
      <c r="E22" s="206" t="s">
        <v>1229</v>
      </c>
      <c r="F22" s="207">
        <v>2</v>
      </c>
    </row>
    <row r="23" spans="1:7" s="208" customFormat="1">
      <c r="A23" s="208" t="s">
        <v>11</v>
      </c>
      <c r="B23" s="208" t="s">
        <v>11</v>
      </c>
      <c r="C23" s="208" t="s">
        <v>91</v>
      </c>
      <c r="D23" s="208" t="s">
        <v>1230</v>
      </c>
      <c r="E23" s="204" t="s">
        <v>1231</v>
      </c>
      <c r="F23" s="205">
        <f>18.0152</f>
        <v>18.0152</v>
      </c>
    </row>
    <row r="24" spans="1:7" s="208" customFormat="1" ht="30">
      <c r="A24" s="208" t="s">
        <v>11</v>
      </c>
      <c r="B24" s="208" t="s">
        <v>11</v>
      </c>
      <c r="C24" s="208" t="s">
        <v>91</v>
      </c>
      <c r="D24" s="208" t="s">
        <v>1232</v>
      </c>
      <c r="E24" s="204" t="s">
        <v>1233</v>
      </c>
      <c r="F24" s="205">
        <f>SUM(F25*F26)</f>
        <v>16.04</v>
      </c>
    </row>
    <row r="25" spans="1:7" ht="30">
      <c r="A25" s="203" t="s">
        <v>10</v>
      </c>
      <c r="B25" s="206" t="s">
        <v>10</v>
      </c>
      <c r="C25" s="203" t="s">
        <v>194</v>
      </c>
      <c r="D25" s="203" t="s">
        <v>1234</v>
      </c>
      <c r="E25" s="206" t="s">
        <v>1235</v>
      </c>
      <c r="F25" s="207">
        <v>1</v>
      </c>
    </row>
    <row r="26" spans="1:7" s="208" customFormat="1">
      <c r="A26" s="208" t="s">
        <v>11</v>
      </c>
      <c r="B26" s="208" t="s">
        <v>11</v>
      </c>
      <c r="C26" s="208" t="s">
        <v>91</v>
      </c>
      <c r="D26" s="208" t="s">
        <v>1236</v>
      </c>
      <c r="E26" s="208" t="s">
        <v>1237</v>
      </c>
      <c r="F26" s="205">
        <f>16.04</f>
        <v>16.04</v>
      </c>
    </row>
    <row r="27" spans="1:7" s="208" customFormat="1">
      <c r="A27" s="208" t="s">
        <v>11</v>
      </c>
      <c r="B27" s="208" t="s">
        <v>11</v>
      </c>
      <c r="C27" s="208" t="s">
        <v>91</v>
      </c>
      <c r="D27" s="208" t="s">
        <v>1238</v>
      </c>
      <c r="E27" s="204" t="s">
        <v>1239</v>
      </c>
      <c r="F27" s="208" t="s">
        <v>1240</v>
      </c>
    </row>
    <row r="28" spans="1:7" s="208" customFormat="1" ht="30">
      <c r="A28" s="208" t="s">
        <v>11</v>
      </c>
      <c r="B28" s="208" t="s">
        <v>11</v>
      </c>
      <c r="C28" s="208" t="s">
        <v>91</v>
      </c>
      <c r="D28" s="208" t="s">
        <v>1158</v>
      </c>
      <c r="E28" s="204" t="s">
        <v>1241</v>
      </c>
      <c r="F28" s="205">
        <f>F29*F30*F31</f>
        <v>16.040000000000003</v>
      </c>
    </row>
    <row r="29" spans="1:7" s="208" customFormat="1" ht="30">
      <c r="A29" s="208" t="s">
        <v>11</v>
      </c>
      <c r="B29" s="208" t="s">
        <v>11</v>
      </c>
      <c r="C29" s="208" t="s">
        <v>91</v>
      </c>
      <c r="D29" s="208" t="s">
        <v>1242</v>
      </c>
      <c r="E29" s="204" t="s">
        <v>1243</v>
      </c>
      <c r="F29" s="205">
        <f>F36/F37</f>
        <v>22.412722427831234</v>
      </c>
    </row>
    <row r="30" spans="1:7" ht="45">
      <c r="A30" s="203" t="s">
        <v>10</v>
      </c>
      <c r="B30" s="203" t="s">
        <v>10</v>
      </c>
      <c r="C30" s="203" t="s">
        <v>194</v>
      </c>
      <c r="D30" s="203" t="s">
        <v>1244</v>
      </c>
      <c r="E30" s="206" t="s">
        <v>1245</v>
      </c>
      <c r="F30" s="207">
        <v>1</v>
      </c>
    </row>
    <row r="31" spans="1:7" s="208" customFormat="1" ht="45">
      <c r="A31" s="208" t="s">
        <v>11</v>
      </c>
      <c r="B31" s="208" t="s">
        <v>11</v>
      </c>
      <c r="C31" s="208" t="s">
        <v>91</v>
      </c>
      <c r="D31" s="208" t="s">
        <v>1246</v>
      </c>
      <c r="E31" s="204" t="s">
        <v>1247</v>
      </c>
      <c r="F31" s="205">
        <f>(F32*F34)/(F35*F33)</f>
        <v>0.71566495554695142</v>
      </c>
    </row>
    <row r="32" spans="1:7" s="208" customFormat="1">
      <c r="A32" s="208" t="s">
        <v>11</v>
      </c>
      <c r="B32" s="208" t="s">
        <v>11</v>
      </c>
      <c r="C32" s="208" t="s">
        <v>91</v>
      </c>
      <c r="E32" s="204" t="s">
        <v>1248</v>
      </c>
      <c r="F32" s="205">
        <f>101325</f>
        <v>101325</v>
      </c>
    </row>
    <row r="33" spans="1:7" s="208" customFormat="1">
      <c r="A33" s="208" t="s">
        <v>11</v>
      </c>
      <c r="B33" s="208" t="s">
        <v>11</v>
      </c>
      <c r="C33" s="208" t="s">
        <v>91</v>
      </c>
      <c r="D33" s="208" t="s">
        <v>1249</v>
      </c>
      <c r="E33" s="204" t="s">
        <v>1250</v>
      </c>
      <c r="F33" s="205">
        <f>273.15</f>
        <v>273.14999999999998</v>
      </c>
    </row>
    <row r="34" spans="1:7" s="208" customFormat="1">
      <c r="A34" s="208" t="s">
        <v>11</v>
      </c>
      <c r="B34" s="208" t="s">
        <v>11</v>
      </c>
      <c r="C34" s="208" t="s">
        <v>91</v>
      </c>
      <c r="D34" s="208" t="s">
        <v>1251</v>
      </c>
      <c r="E34" s="204" t="s">
        <v>1252</v>
      </c>
      <c r="F34" s="205">
        <f>16.04</f>
        <v>16.04</v>
      </c>
    </row>
    <row r="35" spans="1:7" s="208" customFormat="1">
      <c r="A35" s="208" t="s">
        <v>11</v>
      </c>
      <c r="B35" s="208" t="s">
        <v>11</v>
      </c>
      <c r="C35" s="208" t="s">
        <v>91</v>
      </c>
      <c r="D35" s="208" t="s">
        <v>1253</v>
      </c>
      <c r="E35" s="204" t="s">
        <v>1254</v>
      </c>
      <c r="F35" s="205">
        <f>8314</f>
        <v>8314</v>
      </c>
    </row>
    <row r="36" spans="1:7" ht="30">
      <c r="A36" s="203" t="s">
        <v>10</v>
      </c>
      <c r="B36" s="203" t="s">
        <v>10</v>
      </c>
      <c r="C36" s="203" t="s">
        <v>194</v>
      </c>
      <c r="D36" s="203" t="s">
        <v>1255</v>
      </c>
      <c r="E36" s="206" t="s">
        <v>1256</v>
      </c>
      <c r="F36" s="207">
        <v>1</v>
      </c>
    </row>
    <row r="37" spans="1:7" s="208" customFormat="1" ht="30">
      <c r="A37" s="208" t="s">
        <v>11</v>
      </c>
      <c r="B37" s="208" t="s">
        <v>11</v>
      </c>
      <c r="C37" s="208" t="s">
        <v>91</v>
      </c>
      <c r="D37" s="208" t="s">
        <v>1257</v>
      </c>
      <c r="E37" s="204" t="s">
        <v>1258</v>
      </c>
      <c r="F37" s="205">
        <f>(F32*F38)/(F35*F33)</f>
        <v>4.4617515931854826E-2</v>
      </c>
    </row>
    <row r="38" spans="1:7" ht="45">
      <c r="A38" s="203" t="s">
        <v>10</v>
      </c>
      <c r="B38" s="203" t="s">
        <v>10</v>
      </c>
      <c r="C38" s="203" t="s">
        <v>194</v>
      </c>
      <c r="D38" s="203" t="s">
        <v>1259</v>
      </c>
      <c r="E38" s="206" t="s">
        <v>1260</v>
      </c>
      <c r="F38" s="207">
        <v>1</v>
      </c>
    </row>
    <row r="39" spans="1:7" ht="30">
      <c r="A39" s="203" t="s">
        <v>10</v>
      </c>
      <c r="B39" s="203" t="s">
        <v>10</v>
      </c>
      <c r="C39" s="203" t="s">
        <v>194</v>
      </c>
      <c r="D39" s="203" t="s">
        <v>1261</v>
      </c>
      <c r="E39" s="206" t="s">
        <v>1262</v>
      </c>
      <c r="F39" s="207">
        <v>1</v>
      </c>
    </row>
    <row r="40" spans="1:7">
      <c r="A40" s="203" t="s">
        <v>10</v>
      </c>
      <c r="B40" s="203" t="s">
        <v>10</v>
      </c>
      <c r="C40" s="203" t="s">
        <v>12</v>
      </c>
      <c r="D40" s="203" t="s">
        <v>1263</v>
      </c>
      <c r="E40" s="206" t="s">
        <v>1264</v>
      </c>
      <c r="F40" s="203" t="s">
        <v>1265</v>
      </c>
    </row>
    <row r="41" spans="1:7" s="215" customFormat="1" ht="18.75">
      <c r="A41" s="240"/>
      <c r="B41" s="241"/>
      <c r="C41" s="241"/>
      <c r="D41" s="241"/>
      <c r="E41" s="240" t="s">
        <v>1266</v>
      </c>
      <c r="F41" s="241"/>
    </row>
    <row r="42" spans="1:7" s="208" customFormat="1" ht="30">
      <c r="A42" s="208" t="s">
        <v>11</v>
      </c>
      <c r="B42" s="208" t="s">
        <v>11</v>
      </c>
      <c r="C42" s="208" t="s">
        <v>91</v>
      </c>
      <c r="D42" s="208" t="s">
        <v>1267</v>
      </c>
      <c r="E42" s="204" t="s">
        <v>1268</v>
      </c>
      <c r="F42" s="205">
        <f>F43*F44*F45</f>
        <v>0</v>
      </c>
    </row>
    <row r="43" spans="1:7" ht="30">
      <c r="A43" s="203" t="s">
        <v>10</v>
      </c>
      <c r="B43" s="203" t="s">
        <v>10</v>
      </c>
      <c r="C43" s="203" t="s">
        <v>194</v>
      </c>
      <c r="D43" s="203" t="s">
        <v>1269</v>
      </c>
      <c r="E43" s="206" t="s">
        <v>1270</v>
      </c>
      <c r="F43" s="203">
        <v>0</v>
      </c>
    </row>
    <row r="44" spans="1:7" s="208" customFormat="1" ht="30">
      <c r="A44" s="208" t="s">
        <v>11</v>
      </c>
      <c r="B44" s="208" t="s">
        <v>11</v>
      </c>
      <c r="C44" s="208" t="s">
        <v>91</v>
      </c>
      <c r="D44" s="208" t="s">
        <v>1271</v>
      </c>
      <c r="E44" s="204" t="s">
        <v>1272</v>
      </c>
      <c r="F44" s="205">
        <v>0.6</v>
      </c>
    </row>
    <row r="45" spans="1:7" s="208" customFormat="1" ht="30">
      <c r="A45" s="208" t="s">
        <v>11</v>
      </c>
      <c r="B45" s="208" t="s">
        <v>11</v>
      </c>
      <c r="C45" s="208" t="s">
        <v>91</v>
      </c>
      <c r="D45" s="208" t="s">
        <v>1273</v>
      </c>
      <c r="E45" s="204" t="s">
        <v>1274</v>
      </c>
      <c r="F45" s="205">
        <v>6.7000000000000002E-4</v>
      </c>
    </row>
    <row r="46" spans="1:7" s="215" customFormat="1" ht="18.75">
      <c r="A46" s="240"/>
      <c r="B46" s="241"/>
      <c r="C46" s="241"/>
      <c r="D46" s="241"/>
      <c r="E46" s="240" t="s">
        <v>1275</v>
      </c>
      <c r="F46" s="241"/>
    </row>
    <row r="47" spans="1:7" s="208" customFormat="1" ht="30">
      <c r="A47" s="208" t="s">
        <v>11</v>
      </c>
      <c r="B47" s="208" t="s">
        <v>11</v>
      </c>
      <c r="C47" s="208" t="s">
        <v>91</v>
      </c>
      <c r="D47" s="208" t="s">
        <v>1214</v>
      </c>
      <c r="E47" s="204" t="s">
        <v>898</v>
      </c>
      <c r="F47" s="205">
        <f>'Tool 05.1'!G6</f>
        <v>0.73499999999999999</v>
      </c>
      <c r="G47" s="205" t="s">
        <v>1276</v>
      </c>
    </row>
    <row r="48" spans="1:7" s="215" customFormat="1" ht="18.75">
      <c r="A48" s="240"/>
      <c r="B48" s="241"/>
      <c r="C48" s="241"/>
      <c r="D48" s="241"/>
      <c r="E48" s="240" t="s">
        <v>1277</v>
      </c>
      <c r="F48" s="241"/>
    </row>
    <row r="49" spans="1:7" s="208" customFormat="1" ht="30">
      <c r="A49" s="208" t="s">
        <v>11</v>
      </c>
      <c r="B49" s="208" t="s">
        <v>11</v>
      </c>
      <c r="C49" s="208" t="s">
        <v>91</v>
      </c>
      <c r="D49" s="208" t="s">
        <v>1214</v>
      </c>
      <c r="E49" s="204" t="s">
        <v>1278</v>
      </c>
      <c r="F49" s="205">
        <f>F50*F52*F53</f>
        <v>0</v>
      </c>
    </row>
    <row r="50" spans="1:7" ht="30">
      <c r="A50" s="213" t="s">
        <v>10</v>
      </c>
      <c r="B50" s="213" t="s">
        <v>10</v>
      </c>
      <c r="C50" s="203" t="s">
        <v>194</v>
      </c>
      <c r="D50" s="203" t="s">
        <v>1267</v>
      </c>
      <c r="E50" s="206" t="s">
        <v>1279</v>
      </c>
      <c r="F50" s="203">
        <v>0</v>
      </c>
    </row>
    <row r="51" spans="1:7" s="249" customFormat="1" ht="188.25">
      <c r="A51" s="248"/>
      <c r="B51" s="248"/>
      <c r="C51" s="249" t="s">
        <v>518</v>
      </c>
      <c r="D51" s="249" t="s">
        <v>6</v>
      </c>
      <c r="E51" s="250" t="s">
        <v>1280</v>
      </c>
      <c r="F51" s="249" t="s">
        <v>301</v>
      </c>
    </row>
    <row r="52" spans="1:7" s="208" customFormat="1" ht="45">
      <c r="A52" s="208" t="s">
        <v>11</v>
      </c>
      <c r="B52" s="208" t="s">
        <v>11</v>
      </c>
      <c r="C52" s="208" t="s">
        <v>91</v>
      </c>
      <c r="D52" s="208" t="s">
        <v>1281</v>
      </c>
      <c r="E52" s="212" t="s">
        <v>1282</v>
      </c>
      <c r="F52" s="211">
        <f>IF(AND(F51="Option A"),0,IF(AND(F51="Option B"),0.01,IF(AND(F51="Option C"),1.02,IF(AND(F51="Option D"),1.54,IF(AND(F51="Option E"),0)))))</f>
        <v>0.01</v>
      </c>
      <c r="G52" s="204" t="s">
        <v>1283</v>
      </c>
    </row>
    <row r="53" spans="1:7" s="208" customFormat="1" ht="30">
      <c r="A53" s="208" t="s">
        <v>11</v>
      </c>
      <c r="B53" s="208" t="s">
        <v>11</v>
      </c>
      <c r="C53" s="208" t="s">
        <v>91</v>
      </c>
      <c r="D53" s="208" t="s">
        <v>1284</v>
      </c>
      <c r="E53" s="204" t="s">
        <v>1285</v>
      </c>
      <c r="F53" s="205">
        <v>1.3</v>
      </c>
    </row>
    <row r="54" spans="1:7" s="215" customFormat="1" ht="18.75">
      <c r="A54" s="240"/>
      <c r="B54" s="241"/>
      <c r="C54" s="241"/>
      <c r="D54" s="241"/>
      <c r="E54" s="240" t="s">
        <v>1286</v>
      </c>
      <c r="F54" s="241"/>
    </row>
    <row r="55" spans="1:7" s="208" customFormat="1" ht="30">
      <c r="A55" s="208" t="s">
        <v>11</v>
      </c>
      <c r="B55" s="208" t="s">
        <v>11</v>
      </c>
      <c r="C55" s="208" t="s">
        <v>91</v>
      </c>
      <c r="D55" s="208" t="s">
        <v>534</v>
      </c>
      <c r="E55" s="204" t="s">
        <v>898</v>
      </c>
      <c r="F55" s="205">
        <f>'Tool 03'!G3</f>
        <v>73.333333333333329</v>
      </c>
      <c r="G55" s="205" t="s">
        <v>1287</v>
      </c>
    </row>
    <row r="56" spans="1:7" s="215" customFormat="1" ht="18.75">
      <c r="A56" s="240"/>
      <c r="B56" s="241"/>
      <c r="C56" s="241"/>
      <c r="D56" s="241"/>
      <c r="E56" s="240" t="s">
        <v>1288</v>
      </c>
      <c r="F56" s="241"/>
    </row>
    <row r="57" spans="1:7" s="208" customFormat="1" ht="30">
      <c r="A57" s="208" t="s">
        <v>11</v>
      </c>
      <c r="B57" s="208" t="s">
        <v>11</v>
      </c>
      <c r="C57" s="208" t="s">
        <v>91</v>
      </c>
      <c r="D57" s="208" t="s">
        <v>1289</v>
      </c>
      <c r="E57" s="204" t="s">
        <v>1218</v>
      </c>
      <c r="F57" s="205">
        <f>F58*F60*F61</f>
        <v>0</v>
      </c>
    </row>
    <row r="58" spans="1:7" ht="30">
      <c r="A58" s="213" t="s">
        <v>10</v>
      </c>
      <c r="B58" s="213" t="s">
        <v>10</v>
      </c>
      <c r="C58" s="203" t="s">
        <v>194</v>
      </c>
      <c r="D58" s="203" t="s">
        <v>1267</v>
      </c>
      <c r="E58" s="206" t="s">
        <v>1279</v>
      </c>
      <c r="F58" s="203">
        <v>0</v>
      </c>
    </row>
    <row r="59" spans="1:7" s="249" customFormat="1" ht="188.25">
      <c r="A59" s="248"/>
      <c r="B59" s="248"/>
      <c r="E59" s="250" t="s">
        <v>1290</v>
      </c>
      <c r="F59" s="249" t="s">
        <v>273</v>
      </c>
    </row>
    <row r="60" spans="1:7" s="208" customFormat="1" ht="30">
      <c r="A60" s="208" t="s">
        <v>11</v>
      </c>
      <c r="B60" s="208" t="s">
        <v>11</v>
      </c>
      <c r="C60" s="208" t="s">
        <v>91</v>
      </c>
      <c r="D60" s="208" t="s">
        <v>1291</v>
      </c>
      <c r="E60" s="204" t="s">
        <v>1292</v>
      </c>
      <c r="F60" s="211">
        <f>IF(AND(F59="Option A"),0.028,IF(AND(F59="Option B"),0.05,IF(AND(F59="Option C"),0.1,IF(AND(F59="Option D"),0.01))))</f>
        <v>2.8000000000000001E-2</v>
      </c>
      <c r="G60" s="204" t="s">
        <v>1293</v>
      </c>
    </row>
    <row r="61" spans="1:7" s="208" customFormat="1">
      <c r="A61" s="208" t="s">
        <v>11</v>
      </c>
      <c r="B61" s="208" t="s">
        <v>11</v>
      </c>
      <c r="C61" s="208" t="s">
        <v>91</v>
      </c>
      <c r="D61" s="208" t="s">
        <v>1294</v>
      </c>
      <c r="E61" s="204" t="s">
        <v>1295</v>
      </c>
      <c r="F61" s="205">
        <v>21</v>
      </c>
    </row>
    <row r="62" spans="1:7" s="215" customFormat="1" ht="18.75">
      <c r="A62" s="240"/>
      <c r="B62" s="241"/>
      <c r="C62" s="241"/>
      <c r="D62" s="241"/>
      <c r="E62" s="240" t="s">
        <v>1296</v>
      </c>
      <c r="F62" s="241"/>
    </row>
    <row r="63" spans="1:7" s="208" customFormat="1" ht="30">
      <c r="A63" s="208" t="s">
        <v>11</v>
      </c>
      <c r="B63" s="208" t="s">
        <v>11</v>
      </c>
      <c r="C63" s="208" t="s">
        <v>91</v>
      </c>
      <c r="D63" s="208" t="s">
        <v>1191</v>
      </c>
      <c r="E63" s="204" t="s">
        <v>1192</v>
      </c>
      <c r="F63" s="205">
        <f>'Tool 06'!F69</f>
        <v>20523.291091650441</v>
      </c>
      <c r="G63" s="205" t="s">
        <v>1297</v>
      </c>
    </row>
    <row r="64" spans="1:7" s="215" customFormat="1" ht="18.75">
      <c r="A64" s="240"/>
      <c r="B64" s="241"/>
      <c r="C64" s="241"/>
      <c r="D64" s="241"/>
      <c r="E64" s="240" t="s">
        <v>1298</v>
      </c>
      <c r="F64" s="241"/>
    </row>
    <row r="65" spans="1:7" s="208" customFormat="1" ht="30">
      <c r="A65" s="208" t="s">
        <v>11</v>
      </c>
      <c r="B65" s="208" t="s">
        <v>11</v>
      </c>
      <c r="C65" s="208" t="s">
        <v>91</v>
      </c>
      <c r="D65" s="208" t="s">
        <v>1299</v>
      </c>
      <c r="E65" s="204" t="s">
        <v>1300</v>
      </c>
      <c r="F65" s="205">
        <f>F66+F67</f>
        <v>95.130333333333326</v>
      </c>
    </row>
    <row r="66" spans="1:7" s="208" customFormat="1" ht="30">
      <c r="A66" s="208" t="s">
        <v>11</v>
      </c>
      <c r="B66" s="208" t="s">
        <v>11</v>
      </c>
      <c r="C66" s="208" t="s">
        <v>91</v>
      </c>
      <c r="D66" s="208" t="s">
        <v>1301</v>
      </c>
      <c r="E66" s="204" t="s">
        <v>1302</v>
      </c>
      <c r="F66" s="251">
        <f>IF(AND(F10="Option 3"),0,IF(AND(F10="Option 1",F11="Monitored Data"),F69,IF(AND(F11="Default Values",F10="Option 1"),F77,IF(AND(F11="Default Values",F10="Option 2"),F83,IF(AND(F10="Option 2",F11="Monitored Data"),F89)))))</f>
        <v>0</v>
      </c>
      <c r="G66" s="252"/>
    </row>
    <row r="67" spans="1:7" s="208" customFormat="1" ht="30">
      <c r="A67" s="208" t="s">
        <v>11</v>
      </c>
      <c r="B67" s="208" t="s">
        <v>11</v>
      </c>
      <c r="C67" s="208" t="s">
        <v>91</v>
      </c>
      <c r="D67" s="208" t="s">
        <v>1303</v>
      </c>
      <c r="E67" s="204" t="s">
        <v>1304</v>
      </c>
      <c r="F67" s="211">
        <f>'Tool 13'!G3</f>
        <v>95.130333333333326</v>
      </c>
      <c r="G67" s="208" t="s">
        <v>1305</v>
      </c>
    </row>
    <row r="68" spans="1:7" s="215" customFormat="1" ht="18.75">
      <c r="A68" s="240"/>
      <c r="B68" s="241"/>
      <c r="C68" s="241"/>
      <c r="D68" s="241"/>
      <c r="E68" s="240" t="s">
        <v>1306</v>
      </c>
      <c r="F68" s="241"/>
    </row>
    <row r="69" spans="1:7" s="208" customFormat="1" ht="30">
      <c r="A69" s="208" t="s">
        <v>11</v>
      </c>
      <c r="B69" s="208" t="s">
        <v>11</v>
      </c>
      <c r="C69" s="208" t="s">
        <v>91</v>
      </c>
      <c r="D69" s="208" t="s">
        <v>1301</v>
      </c>
      <c r="E69" s="204" t="s">
        <v>1302</v>
      </c>
      <c r="F69" s="205">
        <f>F70*F71*F72*F74*F75</f>
        <v>4.2</v>
      </c>
    </row>
    <row r="70" spans="1:7" ht="30">
      <c r="A70" s="203" t="s">
        <v>10</v>
      </c>
      <c r="B70" s="203" t="s">
        <v>10</v>
      </c>
      <c r="C70" s="203" t="s">
        <v>194</v>
      </c>
      <c r="D70" s="203" t="s">
        <v>1307</v>
      </c>
      <c r="E70" s="206" t="s">
        <v>1308</v>
      </c>
      <c r="F70" s="207">
        <v>1</v>
      </c>
    </row>
    <row r="71" spans="1:7" ht="30">
      <c r="A71" s="203" t="s">
        <v>10</v>
      </c>
      <c r="B71" s="203" t="s">
        <v>10</v>
      </c>
      <c r="C71" s="203" t="s">
        <v>194</v>
      </c>
      <c r="D71" s="203" t="s">
        <v>1309</v>
      </c>
      <c r="E71" s="206" t="s">
        <v>1310</v>
      </c>
      <c r="F71" s="207">
        <v>1</v>
      </c>
    </row>
    <row r="72" spans="1:7" s="208" customFormat="1" ht="30">
      <c r="A72" s="208" t="s">
        <v>98</v>
      </c>
      <c r="B72" s="208" t="s">
        <v>11</v>
      </c>
      <c r="C72" s="208" t="s">
        <v>91</v>
      </c>
      <c r="D72" s="208" t="s">
        <v>1311</v>
      </c>
      <c r="E72" s="204" t="s">
        <v>1312</v>
      </c>
      <c r="F72" s="205">
        <f>0.25</f>
        <v>0.25</v>
      </c>
    </row>
    <row r="73" spans="1:7" s="209" customFormat="1" ht="30">
      <c r="A73" s="209" t="s">
        <v>10</v>
      </c>
      <c r="B73" s="209" t="s">
        <v>11</v>
      </c>
      <c r="C73" s="209" t="s">
        <v>300</v>
      </c>
      <c r="D73" s="209" t="s">
        <v>1313</v>
      </c>
      <c r="E73" s="210" t="s">
        <v>1314</v>
      </c>
      <c r="F73" s="210" t="s">
        <v>1315</v>
      </c>
      <c r="G73" s="210"/>
    </row>
    <row r="74" spans="1:7" s="208" customFormat="1">
      <c r="A74" s="208" t="s">
        <v>11</v>
      </c>
      <c r="B74" s="208" t="s">
        <v>11</v>
      </c>
      <c r="C74" s="208" t="s">
        <v>91</v>
      </c>
      <c r="D74" s="208" t="s">
        <v>1313</v>
      </c>
      <c r="E74" s="204" t="s">
        <v>1316</v>
      </c>
      <c r="F74" s="211">
        <f>IF(AND(F73="≥ 2 m"),0.8,IF(AND(F73="&lt; 2 m and ≥ 1 m"),0.2,IF(AND(F73="&lt; 1 m"),0)))</f>
        <v>0.8</v>
      </c>
      <c r="G74" s="204" t="s">
        <v>1317</v>
      </c>
    </row>
    <row r="75" spans="1:7" s="208" customFormat="1">
      <c r="A75" s="208" t="s">
        <v>11</v>
      </c>
      <c r="B75" s="208" t="s">
        <v>11</v>
      </c>
      <c r="C75" s="208" t="s">
        <v>91</v>
      </c>
      <c r="D75" s="208" t="s">
        <v>1294</v>
      </c>
      <c r="E75" s="204" t="s">
        <v>1295</v>
      </c>
      <c r="F75" s="205">
        <f>21</f>
        <v>21</v>
      </c>
    </row>
    <row r="76" spans="1:7" s="215" customFormat="1" ht="18.75">
      <c r="A76" s="240"/>
      <c r="B76" s="241"/>
      <c r="C76" s="241"/>
      <c r="D76" s="241"/>
      <c r="E76" s="240" t="s">
        <v>1318</v>
      </c>
      <c r="F76" s="241"/>
    </row>
    <row r="77" spans="1:7" s="208" customFormat="1" ht="30">
      <c r="A77" s="208" t="s">
        <v>11</v>
      </c>
      <c r="B77" s="208" t="s">
        <v>11</v>
      </c>
      <c r="C77" s="208" t="s">
        <v>91</v>
      </c>
      <c r="D77" s="208" t="s">
        <v>1301</v>
      </c>
      <c r="E77" s="204" t="s">
        <v>1302</v>
      </c>
      <c r="F77" s="205">
        <f>F79*F80*F81</f>
        <v>0</v>
      </c>
    </row>
    <row r="78" spans="1:7" s="209" customFormat="1" ht="123.75">
      <c r="E78" s="210" t="s">
        <v>1319</v>
      </c>
      <c r="F78" s="253" t="s">
        <v>562</v>
      </c>
    </row>
    <row r="79" spans="1:7" s="208" customFormat="1" ht="30">
      <c r="A79" s="208" t="s">
        <v>10</v>
      </c>
      <c r="B79" s="208" t="s">
        <v>11</v>
      </c>
      <c r="C79" s="208" t="s">
        <v>300</v>
      </c>
      <c r="D79" s="208" t="s">
        <v>1320</v>
      </c>
      <c r="E79" s="204" t="s">
        <v>1321</v>
      </c>
      <c r="F79" s="211">
        <f>IF(AND(F78="Option 1"),0.1,IF(AND(F78="Option 2"),0.15,IF(AND(F78="Option 3"),0.2,IF(AND(F78="Option 4"),0.05))))</f>
        <v>0.15</v>
      </c>
      <c r="G79" s="204" t="s">
        <v>1322</v>
      </c>
    </row>
    <row r="80" spans="1:7" ht="30">
      <c r="A80" s="203" t="s">
        <v>10</v>
      </c>
      <c r="B80" s="203" t="s">
        <v>10</v>
      </c>
      <c r="C80" s="203" t="s">
        <v>194</v>
      </c>
      <c r="D80" s="203" t="s">
        <v>1267</v>
      </c>
      <c r="E80" s="206" t="s">
        <v>1268</v>
      </c>
      <c r="F80" s="203">
        <v>0</v>
      </c>
    </row>
    <row r="81" spans="1:7" s="208" customFormat="1">
      <c r="A81" s="208" t="s">
        <v>11</v>
      </c>
      <c r="B81" s="208" t="s">
        <v>11</v>
      </c>
      <c r="C81" s="208" t="s">
        <v>91</v>
      </c>
      <c r="D81" s="208" t="s">
        <v>1294</v>
      </c>
      <c r="E81" s="204" t="s">
        <v>1295</v>
      </c>
      <c r="F81" s="205">
        <v>21</v>
      </c>
    </row>
    <row r="82" spans="1:7" s="215" customFormat="1" ht="18.75">
      <c r="A82" s="240"/>
      <c r="B82" s="241"/>
      <c r="C82" s="241"/>
      <c r="D82" s="241"/>
      <c r="E82" s="240" t="s">
        <v>1323</v>
      </c>
    </row>
    <row r="83" spans="1:7" s="208" customFormat="1" ht="30">
      <c r="A83" s="208" t="s">
        <v>11</v>
      </c>
      <c r="B83" s="208" t="s">
        <v>11</v>
      </c>
      <c r="C83" s="208" t="s">
        <v>91</v>
      </c>
      <c r="D83" s="208" t="s">
        <v>1301</v>
      </c>
      <c r="E83" s="204" t="s">
        <v>1302</v>
      </c>
      <c r="F83" s="205">
        <f>F85*F86*F87</f>
        <v>0</v>
      </c>
    </row>
    <row r="84" spans="1:7" s="209" customFormat="1" ht="76.5">
      <c r="E84" s="210" t="s">
        <v>1324</v>
      </c>
      <c r="F84" s="253" t="s">
        <v>85</v>
      </c>
    </row>
    <row r="85" spans="1:7" s="208" customFormat="1" ht="30">
      <c r="A85" s="208" t="s">
        <v>10</v>
      </c>
      <c r="B85" s="208" t="s">
        <v>11</v>
      </c>
      <c r="C85" s="208" t="s">
        <v>300</v>
      </c>
      <c r="D85" s="208" t="s">
        <v>1325</v>
      </c>
      <c r="E85" s="204" t="s">
        <v>1326</v>
      </c>
      <c r="F85" s="211">
        <f>IF(AND(F84="Option 1"),0.15,IF(AND(F84="Option 2"),0.35))</f>
        <v>0.15</v>
      </c>
      <c r="G85" s="204" t="s">
        <v>1327</v>
      </c>
    </row>
    <row r="86" spans="1:7" ht="30">
      <c r="A86" s="203" t="s">
        <v>10</v>
      </c>
      <c r="B86" s="203" t="s">
        <v>10</v>
      </c>
      <c r="C86" s="203" t="s">
        <v>194</v>
      </c>
      <c r="D86" s="203" t="s">
        <v>1267</v>
      </c>
      <c r="E86" s="206" t="s">
        <v>1279</v>
      </c>
      <c r="F86" s="203">
        <v>0</v>
      </c>
    </row>
    <row r="87" spans="1:7" s="208" customFormat="1">
      <c r="A87" s="208" t="s">
        <v>11</v>
      </c>
      <c r="B87" s="208" t="s">
        <v>11</v>
      </c>
      <c r="C87" s="208" t="s">
        <v>91</v>
      </c>
      <c r="D87" s="208" t="s">
        <v>1294</v>
      </c>
      <c r="E87" s="204" t="s">
        <v>1328</v>
      </c>
      <c r="F87" s="205">
        <f>21</f>
        <v>21</v>
      </c>
    </row>
    <row r="88" spans="1:7" s="215" customFormat="1" ht="18.75">
      <c r="A88" s="240"/>
      <c r="B88" s="241"/>
      <c r="C88" s="241"/>
      <c r="D88" s="241"/>
      <c r="E88" s="240" t="s">
        <v>1329</v>
      </c>
    </row>
    <row r="89" spans="1:7" s="208" customFormat="1" ht="30">
      <c r="A89" s="208" t="s">
        <v>11</v>
      </c>
      <c r="B89" s="208" t="s">
        <v>11</v>
      </c>
      <c r="C89" s="208" t="s">
        <v>91</v>
      </c>
      <c r="D89" s="208" t="s">
        <v>1301</v>
      </c>
      <c r="E89" s="204" t="s">
        <v>1302</v>
      </c>
      <c r="F89" s="205" t="e">
        <f>'[5]Tool 04-SWDS-Yearly'!C86</f>
        <v>#DIV/0!</v>
      </c>
      <c r="G89" s="208" t="s">
        <v>1330</v>
      </c>
    </row>
  </sheetData>
  <dataValidations count="9">
    <dataValidation type="list" allowBlank="1" showInputMessage="1" showErrorMessage="1" sqref="F84" xr:uid="{232FA2B8-F101-43CD-8AA7-579060E0345A}">
      <formula1>"Option 1,Option 2"</formula1>
    </dataValidation>
    <dataValidation type="list" allowBlank="1" showInputMessage="1" showErrorMessage="1" sqref="F78" xr:uid="{5CF5EF4E-959D-427B-B4E9-E40103706084}">
      <formula1>"Option 1,Option 2,Option 3,Option 4"</formula1>
    </dataValidation>
    <dataValidation type="list" allowBlank="1" showInputMessage="1" showErrorMessage="1" sqref="F73" xr:uid="{48FB69C6-9EC7-4BB4-997C-B8F26E909FDD}">
      <formula1>"≥ 2 m, &lt; 2 m and ≥ 1 m, &lt; 1 m"</formula1>
    </dataValidation>
    <dataValidation type="list" allowBlank="1" showInputMessage="1" showErrorMessage="1" sqref="F59" xr:uid="{B0E8A96B-AD53-41A7-BCBC-0EA852406E5A}">
      <formula1>"Option A,Option B,Option C,Option D"</formula1>
    </dataValidation>
    <dataValidation type="list" allowBlank="1" showInputMessage="1" showErrorMessage="1" sqref="F51" xr:uid="{31D92433-3837-4583-BEFB-F502BBD80205}">
      <formula1>"Option A,Option B,Option C,Option D,Option E"</formula1>
    </dataValidation>
    <dataValidation type="list" allowBlank="1" showInputMessage="1" showErrorMessage="1" sqref="F10" xr:uid="{5AB08EFA-24B4-4A9E-BC79-637411218D1C}">
      <formula1>"Option 1,Option 2,Option 3"</formula1>
    </dataValidation>
    <dataValidation type="list" allowBlank="1" showInputMessage="1" showErrorMessage="1" sqref="F6:F7" xr:uid="{324F4E92-CDDF-46AB-B3B9-CBB68EA2CAB4}">
      <formula1>"Yes,No"</formula1>
    </dataValidation>
    <dataValidation type="list" allowBlank="1" showInputMessage="1" showErrorMessage="1" sqref="F4 F8 F11" xr:uid="{18115826-BA20-42C6-B3AE-370C6EF8FC2D}">
      <formula1>"Default Values,Monitored Data"</formula1>
    </dataValidation>
    <dataValidation type="list" allowBlank="1" showInputMessage="1" showErrorMessage="1" sqref="F3" xr:uid="{461EBA1A-5595-459E-9601-8E4474C3CE08}">
      <formula1>"Small-scale,Large-scale"</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CE699-5865-2246-9409-CB7DCE7BEB16}">
  <dimension ref="A1:H14"/>
  <sheetViews>
    <sheetView workbookViewId="0">
      <pane ySplit="1" topLeftCell="A2" activePane="bottomLeft" state="frozen"/>
      <selection pane="bottomLeft" activeCell="G8" sqref="G8"/>
    </sheetView>
  </sheetViews>
  <sheetFormatPr defaultColWidth="8.875" defaultRowHeight="15"/>
  <cols>
    <col min="1" max="1" width="11.5" style="6" customWidth="1"/>
    <col min="2" max="2" width="12.5" style="6" customWidth="1"/>
    <col min="3" max="3" width="10.625" style="6" customWidth="1"/>
    <col min="4" max="4" width="10.375" style="6" customWidth="1"/>
    <col min="5" max="5" width="26.5" style="6" customWidth="1"/>
    <col min="6" max="6" width="59" style="6" customWidth="1"/>
    <col min="7" max="7" width="23.625" style="6" customWidth="1"/>
    <col min="8" max="8" width="56.625" style="6" customWidth="1"/>
    <col min="9" max="16384" width="8.875" style="6"/>
  </cols>
  <sheetData>
    <row r="1" spans="1:8" ht="39.75" customHeight="1">
      <c r="A1" s="76" t="s">
        <v>0</v>
      </c>
      <c r="B1" s="76" t="s">
        <v>181</v>
      </c>
      <c r="C1" s="77" t="s">
        <v>182</v>
      </c>
      <c r="D1" s="76" t="s">
        <v>3</v>
      </c>
      <c r="E1" s="76" t="s">
        <v>5</v>
      </c>
      <c r="F1" s="42" t="s">
        <v>6</v>
      </c>
      <c r="G1" s="42" t="s">
        <v>7</v>
      </c>
      <c r="H1" s="77" t="s">
        <v>183</v>
      </c>
    </row>
    <row r="2" spans="1:8" s="8" customFormat="1" ht="21" customHeight="1">
      <c r="A2" s="261" t="s">
        <v>1331</v>
      </c>
      <c r="B2" s="261"/>
      <c r="C2" s="261"/>
      <c r="D2" s="261"/>
      <c r="E2" s="261"/>
      <c r="F2" s="261"/>
      <c r="G2" s="261"/>
      <c r="H2" s="261"/>
    </row>
    <row r="3" spans="1:8" ht="47.25" customHeight="1">
      <c r="A3" s="170" t="s">
        <v>10</v>
      </c>
      <c r="B3" s="171"/>
      <c r="C3" s="170" t="s">
        <v>185</v>
      </c>
      <c r="D3" s="170" t="s">
        <v>1332</v>
      </c>
      <c r="E3" s="172" t="s">
        <v>1333</v>
      </c>
      <c r="F3" s="173" t="s">
        <v>1334</v>
      </c>
      <c r="G3" s="174" t="s">
        <v>11</v>
      </c>
      <c r="H3" s="173" t="s">
        <v>1335</v>
      </c>
    </row>
    <row r="4" spans="1:8" ht="47.25" customHeight="1">
      <c r="A4" s="175" t="s">
        <v>10</v>
      </c>
      <c r="B4" s="94"/>
      <c r="C4" s="175" t="s">
        <v>193</v>
      </c>
      <c r="D4" s="175" t="s">
        <v>1336</v>
      </c>
      <c r="E4" s="176"/>
      <c r="F4" s="96" t="s">
        <v>1337</v>
      </c>
      <c r="G4" s="177" t="s">
        <v>1338</v>
      </c>
      <c r="H4" s="96" t="s">
        <v>1339</v>
      </c>
    </row>
    <row r="5" spans="1:8" ht="90">
      <c r="A5" s="170" t="s">
        <v>10</v>
      </c>
      <c r="B5" s="171"/>
      <c r="C5" s="170" t="s">
        <v>185</v>
      </c>
      <c r="D5" s="170" t="s">
        <v>1332</v>
      </c>
      <c r="E5" s="172" t="s">
        <v>1340</v>
      </c>
      <c r="F5" s="173" t="s">
        <v>1341</v>
      </c>
      <c r="G5" s="174" t="s">
        <v>1342</v>
      </c>
      <c r="H5" s="173" t="s">
        <v>1343</v>
      </c>
    </row>
    <row r="6" spans="1:8" ht="47.25" customHeight="1">
      <c r="A6" s="175" t="s">
        <v>10</v>
      </c>
      <c r="B6" s="94"/>
      <c r="C6" s="175" t="s">
        <v>193</v>
      </c>
      <c r="D6" s="175" t="s">
        <v>1336</v>
      </c>
      <c r="E6" s="176"/>
      <c r="F6" s="96" t="s">
        <v>1337</v>
      </c>
      <c r="G6" s="177" t="s">
        <v>1338</v>
      </c>
      <c r="H6" s="96" t="s">
        <v>1339</v>
      </c>
    </row>
    <row r="7" spans="1:8" ht="54" customHeight="1">
      <c r="A7" s="170" t="s">
        <v>10</v>
      </c>
      <c r="B7" s="171"/>
      <c r="C7" s="170" t="s">
        <v>185</v>
      </c>
      <c r="D7" s="170" t="s">
        <v>1332</v>
      </c>
      <c r="E7" s="172" t="s">
        <v>1344</v>
      </c>
      <c r="F7" s="172" t="s">
        <v>1344</v>
      </c>
      <c r="G7" s="174" t="s">
        <v>10</v>
      </c>
      <c r="H7" s="173" t="s">
        <v>1345</v>
      </c>
    </row>
    <row r="8" spans="1:8" ht="47.25" customHeight="1">
      <c r="A8" s="175" t="s">
        <v>10</v>
      </c>
      <c r="B8" s="94"/>
      <c r="C8" s="175" t="s">
        <v>193</v>
      </c>
      <c r="D8" s="175" t="s">
        <v>1336</v>
      </c>
      <c r="E8" s="176"/>
      <c r="F8" s="96" t="s">
        <v>1337</v>
      </c>
      <c r="G8" s="177" t="s">
        <v>1338</v>
      </c>
      <c r="H8" s="96" t="s">
        <v>1339</v>
      </c>
    </row>
    <row r="9" spans="1:8" ht="60">
      <c r="A9" s="170" t="s">
        <v>10</v>
      </c>
      <c r="B9" s="171"/>
      <c r="C9" s="170" t="s">
        <v>185</v>
      </c>
      <c r="D9" s="170" t="s">
        <v>1332</v>
      </c>
      <c r="E9" s="172" t="s">
        <v>1346</v>
      </c>
      <c r="F9" s="173" t="s">
        <v>1347</v>
      </c>
      <c r="G9" s="174" t="s">
        <v>1342</v>
      </c>
      <c r="H9" s="173" t="s">
        <v>1348</v>
      </c>
    </row>
    <row r="10" spans="1:8" ht="47.25" customHeight="1">
      <c r="A10" s="175" t="s">
        <v>10</v>
      </c>
      <c r="B10" s="94"/>
      <c r="C10" s="175" t="s">
        <v>193</v>
      </c>
      <c r="D10" s="175" t="s">
        <v>1336</v>
      </c>
      <c r="E10" s="176"/>
      <c r="F10" s="96" t="s">
        <v>1337</v>
      </c>
      <c r="G10" s="177" t="s">
        <v>1338</v>
      </c>
      <c r="H10" s="96" t="s">
        <v>1339</v>
      </c>
    </row>
    <row r="11" spans="1:8" ht="60">
      <c r="A11" s="170" t="s">
        <v>10</v>
      </c>
      <c r="B11" s="171"/>
      <c r="C11" s="170" t="s">
        <v>185</v>
      </c>
      <c r="D11" s="170" t="s">
        <v>1332</v>
      </c>
      <c r="E11" s="172" t="s">
        <v>1349</v>
      </c>
      <c r="F11" s="173" t="s">
        <v>1350</v>
      </c>
      <c r="G11" s="174" t="s">
        <v>10</v>
      </c>
      <c r="H11" s="173" t="s">
        <v>1351</v>
      </c>
    </row>
    <row r="12" spans="1:8" ht="47.25" customHeight="1">
      <c r="A12" s="175" t="s">
        <v>10</v>
      </c>
      <c r="B12" s="94"/>
      <c r="C12" s="175" t="s">
        <v>193</v>
      </c>
      <c r="D12" s="175" t="s">
        <v>1336</v>
      </c>
      <c r="E12" s="176"/>
      <c r="F12" s="96" t="s">
        <v>1337</v>
      </c>
      <c r="G12" s="177" t="s">
        <v>1338</v>
      </c>
      <c r="H12" s="96" t="s">
        <v>1339</v>
      </c>
    </row>
    <row r="13" spans="1:8" ht="33" customHeight="1">
      <c r="A13" s="261" t="s">
        <v>1352</v>
      </c>
      <c r="B13" s="261"/>
      <c r="C13" s="261"/>
      <c r="D13" s="261"/>
      <c r="E13" s="261"/>
      <c r="F13" s="261"/>
      <c r="G13" s="261"/>
      <c r="H13" s="261"/>
    </row>
    <row r="14" spans="1:8" ht="42.75" customHeight="1">
      <c r="A14" s="94"/>
      <c r="B14" s="94"/>
      <c r="C14" s="43"/>
      <c r="D14" s="94"/>
      <c r="E14" s="95"/>
      <c r="F14" s="96"/>
      <c r="G14" s="8"/>
    </row>
  </sheetData>
  <mergeCells count="2">
    <mergeCell ref="A2:H2"/>
    <mergeCell ref="A13:H13"/>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FBBB4-A463-5447-AFD6-3C89488DB4CE}">
  <dimension ref="A1:B481"/>
  <sheetViews>
    <sheetView topLeftCell="A22" zoomScale="120" zoomScaleNormal="120" workbookViewId="0">
      <selection activeCell="A41" sqref="A41"/>
    </sheetView>
  </sheetViews>
  <sheetFormatPr defaultColWidth="8.875" defaultRowHeight="15"/>
  <cols>
    <col min="1" max="1" width="53.375" style="6" bestFit="1" customWidth="1"/>
    <col min="2" max="2" width="150.5" style="6" customWidth="1"/>
    <col min="3" max="16384" width="8.875" style="6"/>
  </cols>
  <sheetData>
    <row r="1" spans="1:2">
      <c r="A1" s="178" t="s">
        <v>1353</v>
      </c>
      <c r="B1" s="179" t="s">
        <v>1354</v>
      </c>
    </row>
    <row r="2" spans="1:2">
      <c r="A2" s="6" t="s">
        <v>1355</v>
      </c>
      <c r="B2" s="6" t="s">
        <v>1356</v>
      </c>
    </row>
    <row r="3" spans="1:2">
      <c r="A3" s="6" t="s">
        <v>39</v>
      </c>
      <c r="B3" s="6" t="s">
        <v>1357</v>
      </c>
    </row>
    <row r="4" spans="1:2">
      <c r="A4" s="6" t="s">
        <v>1358</v>
      </c>
      <c r="B4" s="6" t="s">
        <v>1359</v>
      </c>
    </row>
    <row r="5" spans="1:2">
      <c r="A5" s="6" t="s">
        <v>48</v>
      </c>
      <c r="B5" s="6" t="s">
        <v>1360</v>
      </c>
    </row>
    <row r="6" spans="1:2">
      <c r="A6" s="6" t="s">
        <v>57</v>
      </c>
      <c r="B6" s="6" t="s">
        <v>1361</v>
      </c>
    </row>
    <row r="7" spans="1:2">
      <c r="A7" s="6" t="s">
        <v>1362</v>
      </c>
      <c r="B7" s="6" t="s">
        <v>1363</v>
      </c>
    </row>
    <row r="8" spans="1:2">
      <c r="A8" s="6" t="s">
        <v>1364</v>
      </c>
      <c r="B8" s="6" t="s">
        <v>1365</v>
      </c>
    </row>
    <row r="9" spans="1:2">
      <c r="A9" s="6" t="s">
        <v>1366</v>
      </c>
      <c r="B9" s="6" t="s">
        <v>1367</v>
      </c>
    </row>
    <row r="10" spans="1:2">
      <c r="A10" s="6" t="s">
        <v>1368</v>
      </c>
      <c r="B10" s="6" t="s">
        <v>1369</v>
      </c>
    </row>
    <row r="11" spans="1:2">
      <c r="A11" s="6" t="s">
        <v>1370</v>
      </c>
      <c r="B11" s="6" t="s">
        <v>1371</v>
      </c>
    </row>
    <row r="12" spans="1:2">
      <c r="A12" s="6" t="s">
        <v>22</v>
      </c>
      <c r="B12" s="6" t="s">
        <v>1372</v>
      </c>
    </row>
    <row r="13" spans="1:2">
      <c r="A13" s="6" t="s">
        <v>1373</v>
      </c>
      <c r="B13" s="6" t="s">
        <v>1374</v>
      </c>
    </row>
    <row r="14" spans="1:2">
      <c r="A14" s="6" t="s">
        <v>1375</v>
      </c>
      <c r="B14" s="6" t="s">
        <v>1376</v>
      </c>
    </row>
    <row r="15" spans="1:2">
      <c r="A15" s="6" t="s">
        <v>1377</v>
      </c>
      <c r="B15" s="6" t="s">
        <v>1378</v>
      </c>
    </row>
    <row r="16" spans="1:2">
      <c r="A16" s="6" t="s">
        <v>1379</v>
      </c>
      <c r="B16" s="6" t="s">
        <v>1380</v>
      </c>
    </row>
    <row r="17" spans="1:2">
      <c r="A17" s="6" t="s">
        <v>1381</v>
      </c>
      <c r="B17" s="6" t="s">
        <v>1382</v>
      </c>
    </row>
    <row r="18" spans="1:2">
      <c r="A18" s="6" t="s">
        <v>1383</v>
      </c>
      <c r="B18" s="6" t="s">
        <v>1384</v>
      </c>
    </row>
    <row r="19" spans="1:2">
      <c r="A19" s="6" t="s">
        <v>16</v>
      </c>
      <c r="B19" s="6" t="s">
        <v>1385</v>
      </c>
    </row>
    <row r="20" spans="1:2">
      <c r="A20" s="6" t="s">
        <v>19</v>
      </c>
      <c r="B20" s="6" t="s">
        <v>1386</v>
      </c>
    </row>
    <row r="21" spans="1:2">
      <c r="A21" s="6" t="s">
        <v>25</v>
      </c>
      <c r="B21" s="6" t="s">
        <v>1387</v>
      </c>
    </row>
    <row r="22" spans="1:2">
      <c r="A22" s="6" t="s">
        <v>1388</v>
      </c>
      <c r="B22" s="6" t="s">
        <v>1389</v>
      </c>
    </row>
    <row r="23" spans="1:2">
      <c r="A23" s="6" t="s">
        <v>1390</v>
      </c>
      <c r="B23" s="6" t="s">
        <v>1391</v>
      </c>
    </row>
    <row r="24" spans="1:2">
      <c r="A24" s="6" t="s">
        <v>1392</v>
      </c>
      <c r="B24" s="6" t="s">
        <v>1393</v>
      </c>
    </row>
    <row r="25" spans="1:2">
      <c r="A25" s="6" t="s">
        <v>1394</v>
      </c>
      <c r="B25" s="6" t="s">
        <v>1395</v>
      </c>
    </row>
    <row r="26" spans="1:2">
      <c r="A26" s="6" t="s">
        <v>1396</v>
      </c>
      <c r="B26" s="6" t="s">
        <v>1397</v>
      </c>
    </row>
    <row r="27" spans="1:2">
      <c r="A27" s="6" t="s">
        <v>1398</v>
      </c>
      <c r="B27" s="6" t="s">
        <v>1399</v>
      </c>
    </row>
    <row r="28" spans="1:2">
      <c r="A28" s="6" t="s">
        <v>1400</v>
      </c>
      <c r="B28" s="6" t="s">
        <v>1401</v>
      </c>
    </row>
    <row r="29" spans="1:2">
      <c r="A29" s="6" t="s">
        <v>1402</v>
      </c>
      <c r="B29" s="6" t="s">
        <v>1403</v>
      </c>
    </row>
    <row r="30" spans="1:2">
      <c r="A30" s="6" t="s">
        <v>1404</v>
      </c>
      <c r="B30" s="6" t="s">
        <v>1405</v>
      </c>
    </row>
    <row r="31" spans="1:2">
      <c r="A31" s="6" t="s">
        <v>1406</v>
      </c>
      <c r="B31" s="6" t="s">
        <v>1407</v>
      </c>
    </row>
    <row r="32" spans="1:2">
      <c r="A32" s="6" t="s">
        <v>1408</v>
      </c>
      <c r="B32" s="6" t="s">
        <v>1409</v>
      </c>
    </row>
    <row r="33" spans="1:2">
      <c r="A33" s="6" t="s">
        <v>1410</v>
      </c>
      <c r="B33" s="6" t="s">
        <v>1411</v>
      </c>
    </row>
    <row r="34" spans="1:2">
      <c r="A34" s="180" t="s">
        <v>66</v>
      </c>
      <c r="B34" s="6" t="s">
        <v>1412</v>
      </c>
    </row>
    <row r="35" spans="1:2">
      <c r="A35" s="180" t="s">
        <v>69</v>
      </c>
      <c r="B35" s="6" t="s">
        <v>1413</v>
      </c>
    </row>
    <row r="36" spans="1:2">
      <c r="A36" s="180" t="s">
        <v>72</v>
      </c>
      <c r="B36" s="6" t="s">
        <v>1414</v>
      </c>
    </row>
    <row r="37" spans="1:2">
      <c r="A37" s="180" t="s">
        <v>31</v>
      </c>
      <c r="B37" s="6" t="s">
        <v>1415</v>
      </c>
    </row>
    <row r="38" spans="1:2">
      <c r="A38" s="180" t="s">
        <v>28</v>
      </c>
      <c r="B38" s="6" t="s">
        <v>1416</v>
      </c>
    </row>
    <row r="39" spans="1:2">
      <c r="A39" s="180" t="s">
        <v>34</v>
      </c>
      <c r="B39" s="6" t="s">
        <v>1417</v>
      </c>
    </row>
    <row r="40" spans="1:2">
      <c r="A40" s="6" t="s">
        <v>1418</v>
      </c>
      <c r="B40" s="6" t="s">
        <v>1419</v>
      </c>
    </row>
    <row r="41" spans="1:2">
      <c r="A41" s="6" t="s">
        <v>1420</v>
      </c>
      <c r="B41" s="6" t="s">
        <v>1421</v>
      </c>
    </row>
    <row r="42" spans="1:2">
      <c r="A42" s="6" t="s">
        <v>1422</v>
      </c>
      <c r="B42" s="6" t="s">
        <v>1423</v>
      </c>
    </row>
    <row r="43" spans="1:2">
      <c r="A43" s="6" t="s">
        <v>1424</v>
      </c>
      <c r="B43" s="6" t="s">
        <v>1425</v>
      </c>
    </row>
    <row r="44" spans="1:2">
      <c r="A44" s="6" t="s">
        <v>1426</v>
      </c>
      <c r="B44" s="6" t="s">
        <v>1427</v>
      </c>
    </row>
    <row r="45" spans="1:2">
      <c r="A45" s="6" t="s">
        <v>1428</v>
      </c>
      <c r="B45" s="6" t="s">
        <v>1429</v>
      </c>
    </row>
    <row r="46" spans="1:2">
      <c r="A46" s="6" t="s">
        <v>1430</v>
      </c>
      <c r="B46" s="6" t="s">
        <v>1431</v>
      </c>
    </row>
    <row r="47" spans="1:2">
      <c r="A47" s="6" t="s">
        <v>1432</v>
      </c>
      <c r="B47" s="6" t="s">
        <v>1433</v>
      </c>
    </row>
    <row r="48" spans="1:2">
      <c r="A48" s="6" t="s">
        <v>1434</v>
      </c>
      <c r="B48" s="6" t="s">
        <v>1435</v>
      </c>
    </row>
    <row r="49" spans="1:2">
      <c r="A49" s="6" t="s">
        <v>1436</v>
      </c>
      <c r="B49" s="6" t="s">
        <v>1437</v>
      </c>
    </row>
    <row r="50" spans="1:2">
      <c r="A50" s="6" t="s">
        <v>1438</v>
      </c>
      <c r="B50" s="6" t="s">
        <v>1439</v>
      </c>
    </row>
    <row r="51" spans="1:2">
      <c r="A51" s="6" t="s">
        <v>1440</v>
      </c>
      <c r="B51" s="6" t="s">
        <v>1441</v>
      </c>
    </row>
    <row r="52" spans="1:2">
      <c r="A52" s="6" t="s">
        <v>1442</v>
      </c>
      <c r="B52" s="6" t="s">
        <v>1443</v>
      </c>
    </row>
    <row r="53" spans="1:2">
      <c r="A53" s="6" t="s">
        <v>1444</v>
      </c>
      <c r="B53" s="6" t="s">
        <v>1445</v>
      </c>
    </row>
    <row r="54" spans="1:2">
      <c r="A54" s="6" t="s">
        <v>1446</v>
      </c>
      <c r="B54" s="6" t="s">
        <v>1447</v>
      </c>
    </row>
    <row r="55" spans="1:2">
      <c r="A55" s="6" t="s">
        <v>1448</v>
      </c>
      <c r="B55" s="6" t="s">
        <v>1449</v>
      </c>
    </row>
    <row r="56" spans="1:2">
      <c r="A56" s="6" t="s">
        <v>1450</v>
      </c>
      <c r="B56" s="6" t="s">
        <v>1451</v>
      </c>
    </row>
    <row r="57" spans="1:2">
      <c r="A57" s="6" t="s">
        <v>1452</v>
      </c>
      <c r="B57" s="6" t="s">
        <v>1453</v>
      </c>
    </row>
    <row r="58" spans="1:2">
      <c r="A58" s="6" t="s">
        <v>1454</v>
      </c>
      <c r="B58" s="6" t="s">
        <v>1455</v>
      </c>
    </row>
    <row r="59" spans="1:2">
      <c r="A59" s="6" t="s">
        <v>1456</v>
      </c>
      <c r="B59" s="6" t="s">
        <v>1457</v>
      </c>
    </row>
    <row r="60" spans="1:2">
      <c r="A60" s="6" t="s">
        <v>1458</v>
      </c>
      <c r="B60" s="6" t="s">
        <v>1459</v>
      </c>
    </row>
    <row r="61" spans="1:2">
      <c r="A61" s="6" t="s">
        <v>1460</v>
      </c>
      <c r="B61" s="6" t="s">
        <v>1461</v>
      </c>
    </row>
    <row r="62" spans="1:2">
      <c r="A62" s="6" t="s">
        <v>1462</v>
      </c>
      <c r="B62" s="6" t="s">
        <v>1463</v>
      </c>
    </row>
    <row r="63" spans="1:2">
      <c r="A63" s="6" t="s">
        <v>1464</v>
      </c>
      <c r="B63" s="6" t="s">
        <v>1465</v>
      </c>
    </row>
    <row r="64" spans="1:2">
      <c r="A64" s="6" t="s">
        <v>1466</v>
      </c>
      <c r="B64" s="6" t="s">
        <v>1467</v>
      </c>
    </row>
    <row r="65" spans="1:2">
      <c r="A65" s="6" t="s">
        <v>1468</v>
      </c>
      <c r="B65" s="6" t="s">
        <v>1469</v>
      </c>
    </row>
    <row r="66" spans="1:2">
      <c r="A66" s="6" t="s">
        <v>1470</v>
      </c>
      <c r="B66" s="6" t="s">
        <v>1471</v>
      </c>
    </row>
    <row r="67" spans="1:2">
      <c r="A67" s="6" t="s">
        <v>1472</v>
      </c>
      <c r="B67" s="6" t="s">
        <v>1473</v>
      </c>
    </row>
    <row r="68" spans="1:2">
      <c r="A68" s="6" t="s">
        <v>1474</v>
      </c>
      <c r="B68" s="6" t="s">
        <v>1475</v>
      </c>
    </row>
    <row r="69" spans="1:2">
      <c r="A69" s="6" t="s">
        <v>1476</v>
      </c>
      <c r="B69" s="6" t="s">
        <v>1477</v>
      </c>
    </row>
    <row r="70" spans="1:2">
      <c r="A70" s="6" t="s">
        <v>1478</v>
      </c>
      <c r="B70" s="6" t="s">
        <v>1479</v>
      </c>
    </row>
    <row r="71" spans="1:2">
      <c r="A71" s="6" t="s">
        <v>1480</v>
      </c>
      <c r="B71" s="6" t="s">
        <v>1481</v>
      </c>
    </row>
    <row r="72" spans="1:2">
      <c r="A72" s="6" t="s">
        <v>1482</v>
      </c>
      <c r="B72" s="6" t="s">
        <v>1483</v>
      </c>
    </row>
    <row r="73" spans="1:2">
      <c r="A73" s="6" t="s">
        <v>1484</v>
      </c>
      <c r="B73" s="6" t="s">
        <v>1485</v>
      </c>
    </row>
    <row r="74" spans="1:2">
      <c r="A74" s="6" t="s">
        <v>1486</v>
      </c>
      <c r="B74" s="6" t="s">
        <v>1487</v>
      </c>
    </row>
    <row r="75" spans="1:2">
      <c r="A75" s="6" t="s">
        <v>1488</v>
      </c>
      <c r="B75" s="6" t="s">
        <v>1489</v>
      </c>
    </row>
    <row r="76" spans="1:2">
      <c r="A76" s="6" t="s">
        <v>1490</v>
      </c>
      <c r="B76" s="6" t="s">
        <v>1491</v>
      </c>
    </row>
    <row r="77" spans="1:2">
      <c r="A77" s="6" t="s">
        <v>1492</v>
      </c>
      <c r="B77" s="6" t="s">
        <v>1493</v>
      </c>
    </row>
    <row r="78" spans="1:2">
      <c r="A78" s="6" t="s">
        <v>1494</v>
      </c>
      <c r="B78" s="6" t="s">
        <v>1495</v>
      </c>
    </row>
    <row r="79" spans="1:2">
      <c r="A79" s="6" t="s">
        <v>1496</v>
      </c>
      <c r="B79" s="6" t="s">
        <v>1497</v>
      </c>
    </row>
    <row r="80" spans="1:2">
      <c r="A80" s="6" t="s">
        <v>1498</v>
      </c>
      <c r="B80" s="6" t="s">
        <v>1499</v>
      </c>
    </row>
    <row r="81" spans="1:2">
      <c r="A81" s="6" t="s">
        <v>1500</v>
      </c>
      <c r="B81" s="6" t="s">
        <v>1501</v>
      </c>
    </row>
    <row r="82" spans="1:2">
      <c r="A82" s="6" t="s">
        <v>1502</v>
      </c>
      <c r="B82" s="6" t="s">
        <v>1503</v>
      </c>
    </row>
    <row r="83" spans="1:2">
      <c r="A83" s="6" t="s">
        <v>1504</v>
      </c>
      <c r="B83" s="6" t="s">
        <v>1505</v>
      </c>
    </row>
    <row r="84" spans="1:2">
      <c r="A84" s="6" t="s">
        <v>1506</v>
      </c>
      <c r="B84" s="6" t="s">
        <v>1507</v>
      </c>
    </row>
    <row r="85" spans="1:2">
      <c r="A85" s="6" t="s">
        <v>1508</v>
      </c>
      <c r="B85" s="6" t="s">
        <v>1509</v>
      </c>
    </row>
    <row r="86" spans="1:2">
      <c r="A86" s="6" t="s">
        <v>1510</v>
      </c>
      <c r="B86" s="6" t="s">
        <v>1511</v>
      </c>
    </row>
    <row r="87" spans="1:2">
      <c r="A87" s="6" t="s">
        <v>78</v>
      </c>
      <c r="B87" s="6" t="s">
        <v>1512</v>
      </c>
    </row>
    <row r="88" spans="1:2">
      <c r="A88" s="6" t="s">
        <v>1513</v>
      </c>
      <c r="B88" s="6" t="s">
        <v>1514</v>
      </c>
    </row>
    <row r="89" spans="1:2">
      <c r="A89" s="6" t="s">
        <v>1515</v>
      </c>
      <c r="B89" s="6" t="s">
        <v>1516</v>
      </c>
    </row>
    <row r="90" spans="1:2">
      <c r="A90" s="6" t="s">
        <v>1517</v>
      </c>
      <c r="B90" s="6" t="s">
        <v>1518</v>
      </c>
    </row>
    <row r="91" spans="1:2">
      <c r="A91" s="6" t="s">
        <v>1519</v>
      </c>
      <c r="B91" s="6" t="s">
        <v>1520</v>
      </c>
    </row>
    <row r="92" spans="1:2">
      <c r="A92" s="6" t="s">
        <v>1521</v>
      </c>
      <c r="B92" s="6" t="s">
        <v>1522</v>
      </c>
    </row>
    <row r="93" spans="1:2">
      <c r="A93" s="6" t="s">
        <v>1523</v>
      </c>
      <c r="B93" s="6" t="s">
        <v>1524</v>
      </c>
    </row>
    <row r="94" spans="1:2">
      <c r="A94" s="6" t="s">
        <v>1525</v>
      </c>
      <c r="B94" s="6" t="s">
        <v>1526</v>
      </c>
    </row>
    <row r="95" spans="1:2">
      <c r="A95" s="6" t="s">
        <v>1527</v>
      </c>
      <c r="B95" s="6" t="s">
        <v>1528</v>
      </c>
    </row>
    <row r="96" spans="1:2">
      <c r="A96" s="6" t="s">
        <v>1529</v>
      </c>
      <c r="B96" s="6" t="s">
        <v>1530</v>
      </c>
    </row>
    <row r="97" spans="1:2">
      <c r="A97" s="6" t="s">
        <v>1531</v>
      </c>
      <c r="B97" s="6" t="s">
        <v>1532</v>
      </c>
    </row>
    <row r="98" spans="1:2">
      <c r="A98" s="6" t="s">
        <v>1533</v>
      </c>
      <c r="B98" s="6" t="s">
        <v>1534</v>
      </c>
    </row>
    <row r="99" spans="1:2">
      <c r="A99" s="6" t="s">
        <v>1535</v>
      </c>
      <c r="B99" s="6" t="s">
        <v>1536</v>
      </c>
    </row>
    <row r="100" spans="1:2">
      <c r="A100" s="6" t="s">
        <v>1537</v>
      </c>
      <c r="B100" s="6" t="s">
        <v>1538</v>
      </c>
    </row>
    <row r="101" spans="1:2">
      <c r="A101" s="6" t="s">
        <v>1539</v>
      </c>
      <c r="B101" s="6" t="s">
        <v>1540</v>
      </c>
    </row>
    <row r="102" spans="1:2">
      <c r="A102" s="6" t="s">
        <v>1541</v>
      </c>
      <c r="B102" s="6" t="s">
        <v>1542</v>
      </c>
    </row>
    <row r="103" spans="1:2">
      <c r="A103" s="6" t="s">
        <v>1543</v>
      </c>
      <c r="B103" s="6" t="s">
        <v>1544</v>
      </c>
    </row>
    <row r="104" spans="1:2">
      <c r="A104" s="6" t="s">
        <v>1545</v>
      </c>
      <c r="B104" s="6" t="s">
        <v>1546</v>
      </c>
    </row>
    <row r="105" spans="1:2">
      <c r="A105" s="6" t="s">
        <v>1547</v>
      </c>
      <c r="B105" s="6" t="s">
        <v>1548</v>
      </c>
    </row>
    <row r="106" spans="1:2">
      <c r="A106" s="6" t="s">
        <v>1549</v>
      </c>
      <c r="B106" s="6" t="s">
        <v>1550</v>
      </c>
    </row>
    <row r="107" spans="1:2">
      <c r="A107" s="6" t="s">
        <v>1551</v>
      </c>
      <c r="B107" s="6" t="s">
        <v>1552</v>
      </c>
    </row>
    <row r="108" spans="1:2">
      <c r="A108" s="6" t="s">
        <v>1553</v>
      </c>
      <c r="B108" s="6" t="s">
        <v>1554</v>
      </c>
    </row>
    <row r="109" spans="1:2">
      <c r="A109" s="6" t="s">
        <v>1555</v>
      </c>
      <c r="B109" s="6" t="s">
        <v>1556</v>
      </c>
    </row>
    <row r="110" spans="1:2">
      <c r="A110" s="6" t="s">
        <v>1557</v>
      </c>
      <c r="B110" s="6" t="s">
        <v>1558</v>
      </c>
    </row>
    <row r="111" spans="1:2">
      <c r="A111" s="6" t="s">
        <v>1559</v>
      </c>
      <c r="B111" s="6" t="s">
        <v>1560</v>
      </c>
    </row>
    <row r="112" spans="1:2">
      <c r="A112" s="6" t="s">
        <v>1561</v>
      </c>
      <c r="B112" s="6" t="s">
        <v>1562</v>
      </c>
    </row>
    <row r="113" spans="1:2">
      <c r="A113" s="6" t="s">
        <v>1563</v>
      </c>
      <c r="B113" s="6" t="s">
        <v>1564</v>
      </c>
    </row>
    <row r="114" spans="1:2">
      <c r="A114" s="6" t="s">
        <v>1565</v>
      </c>
      <c r="B114" s="6" t="s">
        <v>1566</v>
      </c>
    </row>
    <row r="115" spans="1:2">
      <c r="A115" s="6" t="s">
        <v>1567</v>
      </c>
      <c r="B115" s="6" t="s">
        <v>1568</v>
      </c>
    </row>
    <row r="116" spans="1:2">
      <c r="A116" s="6" t="s">
        <v>1569</v>
      </c>
      <c r="B116" s="6" t="s">
        <v>1570</v>
      </c>
    </row>
    <row r="117" spans="1:2">
      <c r="A117" s="6" t="s">
        <v>1571</v>
      </c>
      <c r="B117" s="6" t="s">
        <v>1572</v>
      </c>
    </row>
    <row r="118" spans="1:2">
      <c r="A118" s="6" t="s">
        <v>1573</v>
      </c>
      <c r="B118" s="6" t="s">
        <v>1574</v>
      </c>
    </row>
    <row r="119" spans="1:2">
      <c r="A119" s="6" t="s">
        <v>1575</v>
      </c>
      <c r="B119" s="6" t="s">
        <v>1576</v>
      </c>
    </row>
    <row r="120" spans="1:2">
      <c r="A120" s="6" t="s">
        <v>1577</v>
      </c>
      <c r="B120" s="6" t="s">
        <v>1578</v>
      </c>
    </row>
    <row r="121" spans="1:2">
      <c r="A121" s="6" t="s">
        <v>1579</v>
      </c>
      <c r="B121" s="6" t="s">
        <v>1580</v>
      </c>
    </row>
    <row r="122" spans="1:2">
      <c r="A122" s="6" t="s">
        <v>1581</v>
      </c>
      <c r="B122" s="6" t="s">
        <v>1582</v>
      </c>
    </row>
    <row r="123" spans="1:2">
      <c r="A123" s="6" t="s">
        <v>1583</v>
      </c>
      <c r="B123" s="6" t="s">
        <v>1584</v>
      </c>
    </row>
    <row r="124" spans="1:2">
      <c r="A124" s="6" t="s">
        <v>1585</v>
      </c>
      <c r="B124" s="6" t="s">
        <v>1586</v>
      </c>
    </row>
    <row r="125" spans="1:2">
      <c r="A125" s="6" t="s">
        <v>1587</v>
      </c>
      <c r="B125" s="6" t="s">
        <v>1588</v>
      </c>
    </row>
    <row r="126" spans="1:2">
      <c r="A126" s="6" t="s">
        <v>1589</v>
      </c>
      <c r="B126" s="6" t="s">
        <v>1590</v>
      </c>
    </row>
    <row r="127" spans="1:2">
      <c r="A127" s="6" t="s">
        <v>1591</v>
      </c>
      <c r="B127" s="6" t="s">
        <v>1592</v>
      </c>
    </row>
    <row r="128" spans="1:2">
      <c r="A128" s="6" t="s">
        <v>1593</v>
      </c>
      <c r="B128" s="6" t="s">
        <v>1594</v>
      </c>
    </row>
    <row r="129" spans="1:2">
      <c r="A129" s="6" t="s">
        <v>1595</v>
      </c>
      <c r="B129" s="6" t="s">
        <v>1596</v>
      </c>
    </row>
    <row r="130" spans="1:2">
      <c r="A130" s="6" t="s">
        <v>1597</v>
      </c>
      <c r="B130" s="6" t="s">
        <v>1598</v>
      </c>
    </row>
    <row r="131" spans="1:2">
      <c r="A131" s="6" t="s">
        <v>1599</v>
      </c>
      <c r="B131" s="6" t="s">
        <v>64</v>
      </c>
    </row>
    <row r="132" spans="1:2">
      <c r="A132" s="6" t="s">
        <v>1600</v>
      </c>
      <c r="B132" s="6" t="s">
        <v>1601</v>
      </c>
    </row>
    <row r="133" spans="1:2">
      <c r="A133" s="6" t="s">
        <v>1602</v>
      </c>
      <c r="B133" s="6" t="s">
        <v>1603</v>
      </c>
    </row>
    <row r="134" spans="1:2">
      <c r="A134" s="6" t="s">
        <v>1604</v>
      </c>
      <c r="B134" s="6" t="s">
        <v>1605</v>
      </c>
    </row>
    <row r="135" spans="1:2">
      <c r="A135" s="6" t="s">
        <v>1606</v>
      </c>
      <c r="B135" s="6" t="s">
        <v>1607</v>
      </c>
    </row>
    <row r="136" spans="1:2">
      <c r="A136" s="6" t="s">
        <v>1608</v>
      </c>
      <c r="B136" s="6" t="s">
        <v>1609</v>
      </c>
    </row>
    <row r="137" spans="1:2">
      <c r="A137" s="6" t="s">
        <v>171</v>
      </c>
      <c r="B137" s="6" t="s">
        <v>1610</v>
      </c>
    </row>
    <row r="138" spans="1:2">
      <c r="A138" s="6" t="s">
        <v>1611</v>
      </c>
      <c r="B138" s="6" t="s">
        <v>1612</v>
      </c>
    </row>
    <row r="139" spans="1:2">
      <c r="A139" s="6" t="s">
        <v>1613</v>
      </c>
      <c r="B139" s="6" t="s">
        <v>1614</v>
      </c>
    </row>
    <row r="140" spans="1:2">
      <c r="A140" s="6" t="s">
        <v>1615</v>
      </c>
      <c r="B140" s="6" t="s">
        <v>1616</v>
      </c>
    </row>
    <row r="141" spans="1:2">
      <c r="A141" s="6" t="s">
        <v>1617</v>
      </c>
      <c r="B141" s="6" t="s">
        <v>1618</v>
      </c>
    </row>
    <row r="142" spans="1:2">
      <c r="A142" s="6" t="s">
        <v>1619</v>
      </c>
      <c r="B142" s="6" t="s">
        <v>1620</v>
      </c>
    </row>
    <row r="143" spans="1:2">
      <c r="A143" s="6" t="s">
        <v>1621</v>
      </c>
      <c r="B143" s="6" t="s">
        <v>1622</v>
      </c>
    </row>
    <row r="144" spans="1:2">
      <c r="A144" s="6" t="s">
        <v>1623</v>
      </c>
      <c r="B144" s="6" t="s">
        <v>1624</v>
      </c>
    </row>
    <row r="145" spans="1:2">
      <c r="A145" s="6" t="s">
        <v>1625</v>
      </c>
      <c r="B145" s="6" t="s">
        <v>1626</v>
      </c>
    </row>
    <row r="146" spans="1:2">
      <c r="A146" s="6" t="s">
        <v>174</v>
      </c>
      <c r="B146" s="6" t="s">
        <v>1627</v>
      </c>
    </row>
    <row r="147" spans="1:2">
      <c r="A147" s="6" t="s">
        <v>177</v>
      </c>
      <c r="B147" s="6" t="s">
        <v>1628</v>
      </c>
    </row>
    <row r="148" spans="1:2">
      <c r="A148" s="6" t="s">
        <v>1629</v>
      </c>
      <c r="B148" s="6" t="s">
        <v>1630</v>
      </c>
    </row>
    <row r="149" spans="1:2">
      <c r="A149" s="6" t="s">
        <v>1631</v>
      </c>
      <c r="B149" s="6" t="s">
        <v>1632</v>
      </c>
    </row>
    <row r="150" spans="1:2">
      <c r="A150" s="6" t="s">
        <v>1633</v>
      </c>
      <c r="B150" s="6" t="s">
        <v>1634</v>
      </c>
    </row>
    <row r="151" spans="1:2">
      <c r="A151" s="6" t="s">
        <v>1635</v>
      </c>
      <c r="B151" s="6" t="s">
        <v>1636</v>
      </c>
    </row>
    <row r="152" spans="1:2">
      <c r="A152" s="6" t="s">
        <v>1637</v>
      </c>
      <c r="B152" s="6" t="s">
        <v>1638</v>
      </c>
    </row>
    <row r="153" spans="1:2">
      <c r="A153" s="6" t="s">
        <v>1639</v>
      </c>
      <c r="B153" s="6" t="s">
        <v>1640</v>
      </c>
    </row>
    <row r="154" spans="1:2">
      <c r="A154" s="6" t="s">
        <v>1641</v>
      </c>
      <c r="B154" s="6" t="s">
        <v>1642</v>
      </c>
    </row>
    <row r="155" spans="1:2">
      <c r="A155" s="6" t="s">
        <v>1643</v>
      </c>
      <c r="B155" s="6" t="s">
        <v>1644</v>
      </c>
    </row>
    <row r="156" spans="1:2">
      <c r="A156" s="6" t="s">
        <v>1645</v>
      </c>
      <c r="B156" s="6" t="s">
        <v>1646</v>
      </c>
    </row>
    <row r="157" spans="1:2">
      <c r="A157" s="6" t="s">
        <v>1647</v>
      </c>
      <c r="B157" s="6" t="s">
        <v>1648</v>
      </c>
    </row>
    <row r="158" spans="1:2">
      <c r="A158" s="6" t="s">
        <v>1649</v>
      </c>
      <c r="B158" s="6" t="s">
        <v>1650</v>
      </c>
    </row>
    <row r="159" spans="1:2">
      <c r="A159" s="6" t="s">
        <v>1651</v>
      </c>
      <c r="B159" s="6" t="s">
        <v>1652</v>
      </c>
    </row>
    <row r="160" spans="1:2">
      <c r="A160" s="6" t="s">
        <v>1653</v>
      </c>
      <c r="B160" s="6" t="s">
        <v>1654</v>
      </c>
    </row>
    <row r="161" spans="1:2">
      <c r="A161" s="6" t="s">
        <v>1655</v>
      </c>
      <c r="B161" s="6" t="s">
        <v>1656</v>
      </c>
    </row>
    <row r="162" spans="1:2">
      <c r="A162" s="6" t="s">
        <v>1657</v>
      </c>
      <c r="B162" s="6" t="s">
        <v>1658</v>
      </c>
    </row>
    <row r="163" spans="1:2">
      <c r="A163" s="6" t="s">
        <v>1659</v>
      </c>
      <c r="B163" s="6" t="s">
        <v>1660</v>
      </c>
    </row>
    <row r="164" spans="1:2">
      <c r="A164" s="6" t="s">
        <v>1661</v>
      </c>
      <c r="B164" s="6" t="s">
        <v>1662</v>
      </c>
    </row>
    <row r="165" spans="1:2">
      <c r="A165" s="6" t="s">
        <v>1663</v>
      </c>
      <c r="B165" s="6" t="s">
        <v>1664</v>
      </c>
    </row>
    <row r="166" spans="1:2">
      <c r="A166" s="6" t="s">
        <v>1665</v>
      </c>
      <c r="B166" s="6" t="s">
        <v>1666</v>
      </c>
    </row>
    <row r="167" spans="1:2">
      <c r="A167" s="6" t="s">
        <v>1667</v>
      </c>
      <c r="B167" s="6" t="s">
        <v>1668</v>
      </c>
    </row>
    <row r="168" spans="1:2">
      <c r="A168" s="6" t="s">
        <v>1669</v>
      </c>
      <c r="B168" s="6" t="s">
        <v>1670</v>
      </c>
    </row>
    <row r="169" spans="1:2">
      <c r="A169" s="6" t="s">
        <v>1671</v>
      </c>
      <c r="B169" s="6" t="s">
        <v>1672</v>
      </c>
    </row>
    <row r="170" spans="1:2">
      <c r="A170" s="6" t="s">
        <v>1673</v>
      </c>
      <c r="B170" s="6" t="s">
        <v>1674</v>
      </c>
    </row>
    <row r="171" spans="1:2">
      <c r="A171" s="6" t="s">
        <v>1675</v>
      </c>
      <c r="B171" s="6" t="s">
        <v>1676</v>
      </c>
    </row>
    <row r="172" spans="1:2">
      <c r="A172" s="6" t="s">
        <v>1677</v>
      </c>
      <c r="B172" s="6" t="s">
        <v>1678</v>
      </c>
    </row>
    <row r="173" spans="1:2">
      <c r="A173" s="6" t="s">
        <v>1679</v>
      </c>
      <c r="B173" s="6" t="s">
        <v>1680</v>
      </c>
    </row>
    <row r="174" spans="1:2">
      <c r="A174" s="6" t="s">
        <v>1681</v>
      </c>
      <c r="B174" s="6" t="s">
        <v>1682</v>
      </c>
    </row>
    <row r="175" spans="1:2">
      <c r="A175" s="6" t="s">
        <v>1683</v>
      </c>
      <c r="B175" s="6" t="s">
        <v>1684</v>
      </c>
    </row>
    <row r="176" spans="1:2">
      <c r="A176" s="6" t="s">
        <v>1685</v>
      </c>
      <c r="B176" s="6" t="s">
        <v>1686</v>
      </c>
    </row>
    <row r="177" spans="1:2">
      <c r="A177" s="6" t="s">
        <v>1687</v>
      </c>
      <c r="B177" s="6" t="s">
        <v>1688</v>
      </c>
    </row>
    <row r="178" spans="1:2">
      <c r="A178" s="6" t="s">
        <v>1689</v>
      </c>
      <c r="B178" s="6" t="s">
        <v>1690</v>
      </c>
    </row>
    <row r="179" spans="1:2">
      <c r="A179" s="6" t="s">
        <v>1691</v>
      </c>
      <c r="B179" s="6" t="s">
        <v>1692</v>
      </c>
    </row>
    <row r="180" spans="1:2">
      <c r="A180" s="6" t="s">
        <v>1693</v>
      </c>
      <c r="B180" s="6" t="s">
        <v>1694</v>
      </c>
    </row>
    <row r="181" spans="1:2">
      <c r="A181" s="6" t="s">
        <v>1695</v>
      </c>
      <c r="B181" s="6" t="s">
        <v>1696</v>
      </c>
    </row>
    <row r="182" spans="1:2">
      <c r="A182" s="6" t="s">
        <v>1697</v>
      </c>
      <c r="B182" s="6" t="s">
        <v>1698</v>
      </c>
    </row>
    <row r="183" spans="1:2">
      <c r="A183" s="6" t="s">
        <v>1699</v>
      </c>
      <c r="B183" s="6" t="s">
        <v>1700</v>
      </c>
    </row>
    <row r="184" spans="1:2">
      <c r="A184" s="6" t="s">
        <v>1701</v>
      </c>
      <c r="B184" s="6" t="s">
        <v>1702</v>
      </c>
    </row>
    <row r="185" spans="1:2">
      <c r="A185" s="6" t="s">
        <v>1703</v>
      </c>
      <c r="B185" s="6" t="s">
        <v>1704</v>
      </c>
    </row>
    <row r="186" spans="1:2">
      <c r="A186" s="6" t="s">
        <v>1705</v>
      </c>
      <c r="B186" s="6" t="s">
        <v>1706</v>
      </c>
    </row>
    <row r="187" spans="1:2">
      <c r="A187" s="6" t="s">
        <v>1707</v>
      </c>
      <c r="B187" s="6" t="s">
        <v>1708</v>
      </c>
    </row>
    <row r="188" spans="1:2">
      <c r="A188" s="6" t="s">
        <v>1709</v>
      </c>
      <c r="B188" s="6" t="s">
        <v>1710</v>
      </c>
    </row>
    <row r="189" spans="1:2">
      <c r="A189" s="6" t="s">
        <v>1711</v>
      </c>
      <c r="B189" s="6" t="s">
        <v>1712</v>
      </c>
    </row>
    <row r="190" spans="1:2">
      <c r="A190" s="6" t="s">
        <v>1713</v>
      </c>
      <c r="B190" s="6" t="s">
        <v>1714</v>
      </c>
    </row>
    <row r="191" spans="1:2">
      <c r="A191" s="6" t="s">
        <v>1715</v>
      </c>
      <c r="B191" s="6" t="s">
        <v>1716</v>
      </c>
    </row>
    <row r="192" spans="1:2">
      <c r="A192" s="6" t="s">
        <v>1717</v>
      </c>
      <c r="B192" s="6" t="s">
        <v>1718</v>
      </c>
    </row>
    <row r="193" spans="1:2">
      <c r="A193" s="6" t="s">
        <v>1719</v>
      </c>
      <c r="B193" s="6" t="s">
        <v>1720</v>
      </c>
    </row>
    <row r="194" spans="1:2">
      <c r="A194" s="6" t="s">
        <v>1721</v>
      </c>
      <c r="B194" s="6" t="s">
        <v>1722</v>
      </c>
    </row>
    <row r="195" spans="1:2">
      <c r="A195" s="6" t="s">
        <v>1723</v>
      </c>
      <c r="B195" s="6" t="s">
        <v>1724</v>
      </c>
    </row>
    <row r="196" spans="1:2">
      <c r="A196" s="6" t="s">
        <v>1725</v>
      </c>
      <c r="B196" s="6" t="s">
        <v>1726</v>
      </c>
    </row>
    <row r="197" spans="1:2">
      <c r="A197" s="6" t="s">
        <v>1727</v>
      </c>
      <c r="B197" s="6" t="s">
        <v>1728</v>
      </c>
    </row>
    <row r="198" spans="1:2">
      <c r="A198" s="6" t="s">
        <v>62</v>
      </c>
      <c r="B198" s="6" t="s">
        <v>1729</v>
      </c>
    </row>
    <row r="199" spans="1:2">
      <c r="A199" s="6" t="s">
        <v>1730</v>
      </c>
      <c r="B199" s="6" t="s">
        <v>1731</v>
      </c>
    </row>
    <row r="200" spans="1:2">
      <c r="A200" s="6" t="s">
        <v>1732</v>
      </c>
      <c r="B200" s="6" t="s">
        <v>1733</v>
      </c>
    </row>
    <row r="201" spans="1:2">
      <c r="A201" s="6" t="s">
        <v>1734</v>
      </c>
      <c r="B201" s="6" t="s">
        <v>1735</v>
      </c>
    </row>
    <row r="202" spans="1:2">
      <c r="A202" s="6" t="s">
        <v>1736</v>
      </c>
      <c r="B202" s="6" t="s">
        <v>1737</v>
      </c>
    </row>
    <row r="203" spans="1:2">
      <c r="A203" s="6" t="s">
        <v>1738</v>
      </c>
      <c r="B203" s="6" t="s">
        <v>1739</v>
      </c>
    </row>
    <row r="204" spans="1:2">
      <c r="A204" s="6" t="s">
        <v>1740</v>
      </c>
      <c r="B204" s="6" t="s">
        <v>1741</v>
      </c>
    </row>
    <row r="205" spans="1:2">
      <c r="A205" s="6" t="s">
        <v>1742</v>
      </c>
      <c r="B205" s="6" t="s">
        <v>1743</v>
      </c>
    </row>
    <row r="206" spans="1:2">
      <c r="A206" s="6" t="s">
        <v>1744</v>
      </c>
      <c r="B206" s="6" t="s">
        <v>1745</v>
      </c>
    </row>
    <row r="207" spans="1:2">
      <c r="A207" s="6" t="s">
        <v>1746</v>
      </c>
      <c r="B207" s="6" t="s">
        <v>1747</v>
      </c>
    </row>
    <row r="208" spans="1:2">
      <c r="A208" s="6" t="s">
        <v>1748</v>
      </c>
      <c r="B208" s="6" t="s">
        <v>1749</v>
      </c>
    </row>
    <row r="209" spans="1:2">
      <c r="A209" s="6" t="s">
        <v>1750</v>
      </c>
      <c r="B209" s="6" t="s">
        <v>1751</v>
      </c>
    </row>
    <row r="210" spans="1:2">
      <c r="A210" s="6" t="s">
        <v>1752</v>
      </c>
      <c r="B210" s="6" t="s">
        <v>1753</v>
      </c>
    </row>
    <row r="211" spans="1:2">
      <c r="A211" s="6" t="s">
        <v>1754</v>
      </c>
      <c r="B211" s="6" t="s">
        <v>1755</v>
      </c>
    </row>
    <row r="212" spans="1:2">
      <c r="A212" s="6" t="s">
        <v>1756</v>
      </c>
      <c r="B212" s="6" t="s">
        <v>1757</v>
      </c>
    </row>
    <row r="213" spans="1:2">
      <c r="A213" s="6" t="s">
        <v>1758</v>
      </c>
      <c r="B213" s="6" t="s">
        <v>1759</v>
      </c>
    </row>
    <row r="214" spans="1:2">
      <c r="A214" s="6" t="s">
        <v>1760</v>
      </c>
      <c r="B214" s="6" t="s">
        <v>1761</v>
      </c>
    </row>
    <row r="215" spans="1:2">
      <c r="A215" s="6" t="s">
        <v>1762</v>
      </c>
      <c r="B215" s="6" t="s">
        <v>1763</v>
      </c>
    </row>
    <row r="216" spans="1:2">
      <c r="A216" s="6" t="s">
        <v>1764</v>
      </c>
      <c r="B216" s="6" t="s">
        <v>1765</v>
      </c>
    </row>
    <row r="217" spans="1:2">
      <c r="A217" s="6" t="s">
        <v>1766</v>
      </c>
      <c r="B217" s="6" t="s">
        <v>1767</v>
      </c>
    </row>
    <row r="218" spans="1:2">
      <c r="A218" s="6" t="s">
        <v>1768</v>
      </c>
      <c r="B218" s="6" t="s">
        <v>1769</v>
      </c>
    </row>
    <row r="219" spans="1:2">
      <c r="A219" s="6" t="s">
        <v>1770</v>
      </c>
      <c r="B219" s="6" t="s">
        <v>1771</v>
      </c>
    </row>
    <row r="220" spans="1:2">
      <c r="A220" s="6" t="s">
        <v>1772</v>
      </c>
      <c r="B220" s="6" t="s">
        <v>1773</v>
      </c>
    </row>
    <row r="221" spans="1:2">
      <c r="A221" s="6" t="s">
        <v>1774</v>
      </c>
      <c r="B221" s="6" t="s">
        <v>1775</v>
      </c>
    </row>
    <row r="222" spans="1:2">
      <c r="A222" s="6" t="s">
        <v>1776</v>
      </c>
      <c r="B222" s="6" t="s">
        <v>1777</v>
      </c>
    </row>
    <row r="223" spans="1:2">
      <c r="A223" s="6" t="s">
        <v>1778</v>
      </c>
      <c r="B223" s="6" t="s">
        <v>1779</v>
      </c>
    </row>
    <row r="224" spans="1:2">
      <c r="A224" s="6" t="s">
        <v>1780</v>
      </c>
      <c r="B224" s="6" t="s">
        <v>1781</v>
      </c>
    </row>
    <row r="225" spans="1:2">
      <c r="A225" s="6" t="s">
        <v>1782</v>
      </c>
      <c r="B225" s="6" t="s">
        <v>1783</v>
      </c>
    </row>
    <row r="226" spans="1:2">
      <c r="A226" s="6" t="s">
        <v>1784</v>
      </c>
      <c r="B226" s="6" t="s">
        <v>1785</v>
      </c>
    </row>
    <row r="227" spans="1:2">
      <c r="A227" s="6" t="s">
        <v>1786</v>
      </c>
      <c r="B227" s="6" t="s">
        <v>1787</v>
      </c>
    </row>
    <row r="228" spans="1:2">
      <c r="A228" s="6" t="s">
        <v>1788</v>
      </c>
      <c r="B228" s="6" t="s">
        <v>1789</v>
      </c>
    </row>
    <row r="229" spans="1:2">
      <c r="A229" s="6" t="s">
        <v>1790</v>
      </c>
      <c r="B229" s="6" t="s">
        <v>1791</v>
      </c>
    </row>
    <row r="230" spans="1:2">
      <c r="A230" s="6" t="s">
        <v>1792</v>
      </c>
      <c r="B230" s="6" t="s">
        <v>1793</v>
      </c>
    </row>
    <row r="231" spans="1:2">
      <c r="A231" s="6" t="s">
        <v>1794</v>
      </c>
      <c r="B231" s="6" t="s">
        <v>1795</v>
      </c>
    </row>
    <row r="232" spans="1:2">
      <c r="A232" s="6" t="s">
        <v>1796</v>
      </c>
      <c r="B232" s="6" t="s">
        <v>1797</v>
      </c>
    </row>
    <row r="233" spans="1:2">
      <c r="A233" s="6" t="s">
        <v>1798</v>
      </c>
      <c r="B233" s="6" t="s">
        <v>1799</v>
      </c>
    </row>
    <row r="234" spans="1:2">
      <c r="A234" s="6" t="s">
        <v>1800</v>
      </c>
      <c r="B234" s="180" t="s">
        <v>1801</v>
      </c>
    </row>
    <row r="235" spans="1:2">
      <c r="A235" s="6" t="s">
        <v>1802</v>
      </c>
      <c r="B235" s="180" t="s">
        <v>1803</v>
      </c>
    </row>
    <row r="236" spans="1:2">
      <c r="A236" s="6" t="s">
        <v>1804</v>
      </c>
      <c r="B236" s="180" t="s">
        <v>1805</v>
      </c>
    </row>
    <row r="237" spans="1:2">
      <c r="A237" s="6" t="s">
        <v>1806</v>
      </c>
      <c r="B237" s="180" t="s">
        <v>1807</v>
      </c>
    </row>
    <row r="238" spans="1:2">
      <c r="A238" s="6" t="s">
        <v>1808</v>
      </c>
      <c r="B238" s="180" t="s">
        <v>1809</v>
      </c>
    </row>
    <row r="239" spans="1:2">
      <c r="A239" s="6" t="s">
        <v>1810</v>
      </c>
      <c r="B239" s="180" t="s">
        <v>1811</v>
      </c>
    </row>
    <row r="240" spans="1:2">
      <c r="A240" s="6" t="s">
        <v>1812</v>
      </c>
      <c r="B240" s="180" t="s">
        <v>1813</v>
      </c>
    </row>
    <row r="241" spans="1:2">
      <c r="A241" s="6" t="s">
        <v>1814</v>
      </c>
      <c r="B241" s="180" t="s">
        <v>1815</v>
      </c>
    </row>
    <row r="242" spans="1:2">
      <c r="A242" s="6" t="s">
        <v>1816</v>
      </c>
      <c r="B242" s="180" t="s">
        <v>1817</v>
      </c>
    </row>
    <row r="243" spans="1:2">
      <c r="A243" s="6" t="s">
        <v>1818</v>
      </c>
      <c r="B243" s="180" t="s">
        <v>1819</v>
      </c>
    </row>
    <row r="244" spans="1:2">
      <c r="A244" s="6" t="s">
        <v>1820</v>
      </c>
      <c r="B244" s="180" t="s">
        <v>1821</v>
      </c>
    </row>
    <row r="245" spans="1:2">
      <c r="A245" s="6" t="s">
        <v>1822</v>
      </c>
      <c r="B245" s="180" t="s">
        <v>1823</v>
      </c>
    </row>
    <row r="246" spans="1:2">
      <c r="A246" s="6" t="s">
        <v>1824</v>
      </c>
      <c r="B246" s="180" t="s">
        <v>1825</v>
      </c>
    </row>
    <row r="247" spans="1:2">
      <c r="A247" s="6" t="s">
        <v>1826</v>
      </c>
      <c r="B247" s="180" t="s">
        <v>1827</v>
      </c>
    </row>
    <row r="248" spans="1:2">
      <c r="A248" s="6" t="s">
        <v>1828</v>
      </c>
      <c r="B248" s="180" t="s">
        <v>1829</v>
      </c>
    </row>
    <row r="249" spans="1:2">
      <c r="A249" s="6" t="s">
        <v>1830</v>
      </c>
      <c r="B249" s="180" t="s">
        <v>1831</v>
      </c>
    </row>
    <row r="250" spans="1:2">
      <c r="A250" s="6" t="s">
        <v>1832</v>
      </c>
      <c r="B250" s="180" t="s">
        <v>1833</v>
      </c>
    </row>
    <row r="251" spans="1:2">
      <c r="A251" s="6" t="s">
        <v>1834</v>
      </c>
      <c r="B251" s="180" t="s">
        <v>1835</v>
      </c>
    </row>
    <row r="252" spans="1:2">
      <c r="A252" s="6" t="s">
        <v>1836</v>
      </c>
      <c r="B252" s="180" t="s">
        <v>1837</v>
      </c>
    </row>
    <row r="253" spans="1:2">
      <c r="A253" s="6" t="s">
        <v>1838</v>
      </c>
      <c r="B253" s="180" t="s">
        <v>1839</v>
      </c>
    </row>
    <row r="254" spans="1:2">
      <c r="A254" s="6" t="s">
        <v>1840</v>
      </c>
      <c r="B254" s="180" t="s">
        <v>1841</v>
      </c>
    </row>
    <row r="255" spans="1:2">
      <c r="A255" s="6" t="s">
        <v>1842</v>
      </c>
      <c r="B255" s="180" t="s">
        <v>1843</v>
      </c>
    </row>
    <row r="256" spans="1:2">
      <c r="A256" s="6" t="s">
        <v>1844</v>
      </c>
      <c r="B256" s="180" t="s">
        <v>1845</v>
      </c>
    </row>
    <row r="257" spans="1:2">
      <c r="A257" s="6" t="s">
        <v>1846</v>
      </c>
      <c r="B257" s="180" t="s">
        <v>1847</v>
      </c>
    </row>
    <row r="258" spans="1:2">
      <c r="A258" s="6" t="s">
        <v>1848</v>
      </c>
      <c r="B258" s="180" t="s">
        <v>1849</v>
      </c>
    </row>
    <row r="259" spans="1:2">
      <c r="A259" s="6" t="s">
        <v>1850</v>
      </c>
      <c r="B259" s="180" t="s">
        <v>1851</v>
      </c>
    </row>
    <row r="260" spans="1:2">
      <c r="A260" s="6" t="s">
        <v>1852</v>
      </c>
      <c r="B260" s="180" t="s">
        <v>1853</v>
      </c>
    </row>
    <row r="261" spans="1:2">
      <c r="A261" s="6" t="s">
        <v>1854</v>
      </c>
      <c r="B261" s="180" t="s">
        <v>1855</v>
      </c>
    </row>
    <row r="262" spans="1:2">
      <c r="A262" s="6" t="s">
        <v>1856</v>
      </c>
      <c r="B262" s="180" t="s">
        <v>1857</v>
      </c>
    </row>
    <row r="263" spans="1:2">
      <c r="A263" s="6" t="s">
        <v>1858</v>
      </c>
      <c r="B263" s="180" t="s">
        <v>1859</v>
      </c>
    </row>
    <row r="264" spans="1:2">
      <c r="A264" s="6" t="s">
        <v>1860</v>
      </c>
      <c r="B264" s="180" t="s">
        <v>1861</v>
      </c>
    </row>
    <row r="265" spans="1:2">
      <c r="A265" s="6" t="s">
        <v>1862</v>
      </c>
      <c r="B265" s="180" t="s">
        <v>1863</v>
      </c>
    </row>
    <row r="266" spans="1:2">
      <c r="A266" s="6" t="s">
        <v>1864</v>
      </c>
      <c r="B266" s="180" t="s">
        <v>1865</v>
      </c>
    </row>
    <row r="267" spans="1:2">
      <c r="A267" s="6" t="s">
        <v>1866</v>
      </c>
      <c r="B267" s="180" t="s">
        <v>1867</v>
      </c>
    </row>
    <row r="268" spans="1:2">
      <c r="A268" s="6" t="s">
        <v>1868</v>
      </c>
      <c r="B268" s="180" t="s">
        <v>1869</v>
      </c>
    </row>
    <row r="269" spans="1:2">
      <c r="A269" s="6" t="s">
        <v>1870</v>
      </c>
      <c r="B269" s="180" t="s">
        <v>1871</v>
      </c>
    </row>
    <row r="270" spans="1:2">
      <c r="A270" s="6" t="s">
        <v>1872</v>
      </c>
      <c r="B270" s="180" t="s">
        <v>1873</v>
      </c>
    </row>
    <row r="271" spans="1:2">
      <c r="A271" s="6" t="s">
        <v>1874</v>
      </c>
      <c r="B271" s="180" t="s">
        <v>1875</v>
      </c>
    </row>
    <row r="272" spans="1:2">
      <c r="A272" s="6" t="s">
        <v>1876</v>
      </c>
      <c r="B272" s="180" t="s">
        <v>1877</v>
      </c>
    </row>
    <row r="273" spans="1:2">
      <c r="A273" s="6" t="s">
        <v>1878</v>
      </c>
      <c r="B273" s="180" t="s">
        <v>1879</v>
      </c>
    </row>
    <row r="274" spans="1:2">
      <c r="A274" s="6" t="s">
        <v>1880</v>
      </c>
      <c r="B274" s="180" t="s">
        <v>1881</v>
      </c>
    </row>
    <row r="275" spans="1:2">
      <c r="A275" s="6" t="s">
        <v>1882</v>
      </c>
      <c r="B275" s="180" t="s">
        <v>1883</v>
      </c>
    </row>
    <row r="276" spans="1:2">
      <c r="A276" s="6" t="s">
        <v>1884</v>
      </c>
      <c r="B276" s="180" t="s">
        <v>1885</v>
      </c>
    </row>
    <row r="277" spans="1:2">
      <c r="A277" s="6" t="s">
        <v>1886</v>
      </c>
      <c r="B277" s="180" t="s">
        <v>1887</v>
      </c>
    </row>
    <row r="278" spans="1:2">
      <c r="B278" s="180" t="s">
        <v>1888</v>
      </c>
    </row>
    <row r="279" spans="1:2">
      <c r="B279" s="180" t="s">
        <v>1889</v>
      </c>
    </row>
    <row r="280" spans="1:2">
      <c r="B280" s="180" t="s">
        <v>1890</v>
      </c>
    </row>
    <row r="281" spans="1:2">
      <c r="B281" s="180" t="s">
        <v>1891</v>
      </c>
    </row>
    <row r="282" spans="1:2">
      <c r="B282" s="180" t="s">
        <v>1892</v>
      </c>
    </row>
    <row r="283" spans="1:2">
      <c r="B283" s="180" t="s">
        <v>1893</v>
      </c>
    </row>
    <row r="284" spans="1:2">
      <c r="B284" s="180" t="s">
        <v>1894</v>
      </c>
    </row>
    <row r="285" spans="1:2">
      <c r="B285" s="180" t="s">
        <v>1895</v>
      </c>
    </row>
    <row r="286" spans="1:2">
      <c r="B286" s="180" t="s">
        <v>1896</v>
      </c>
    </row>
    <row r="287" spans="1:2">
      <c r="B287" s="180" t="s">
        <v>1897</v>
      </c>
    </row>
    <row r="288" spans="1:2">
      <c r="B288" s="180" t="s">
        <v>1898</v>
      </c>
    </row>
    <row r="289" spans="2:2">
      <c r="B289" s="180" t="s">
        <v>1899</v>
      </c>
    </row>
    <row r="290" spans="2:2">
      <c r="B290" s="180" t="s">
        <v>1900</v>
      </c>
    </row>
    <row r="291" spans="2:2">
      <c r="B291" s="180" t="s">
        <v>1901</v>
      </c>
    </row>
    <row r="292" spans="2:2">
      <c r="B292" s="180" t="s">
        <v>1902</v>
      </c>
    </row>
    <row r="293" spans="2:2">
      <c r="B293" s="180" t="s">
        <v>1903</v>
      </c>
    </row>
    <row r="294" spans="2:2">
      <c r="B294" s="180" t="s">
        <v>1904</v>
      </c>
    </row>
    <row r="295" spans="2:2">
      <c r="B295" s="180" t="s">
        <v>1905</v>
      </c>
    </row>
    <row r="296" spans="2:2">
      <c r="B296" s="180" t="s">
        <v>1906</v>
      </c>
    </row>
    <row r="297" spans="2:2">
      <c r="B297" s="180" t="s">
        <v>1907</v>
      </c>
    </row>
    <row r="298" spans="2:2">
      <c r="B298" s="180" t="s">
        <v>1908</v>
      </c>
    </row>
    <row r="299" spans="2:2">
      <c r="B299" s="180" t="s">
        <v>1909</v>
      </c>
    </row>
    <row r="300" spans="2:2">
      <c r="B300" s="180" t="s">
        <v>1910</v>
      </c>
    </row>
    <row r="301" spans="2:2">
      <c r="B301" s="180" t="s">
        <v>1911</v>
      </c>
    </row>
    <row r="302" spans="2:2">
      <c r="B302" s="180" t="s">
        <v>1912</v>
      </c>
    </row>
    <row r="303" spans="2:2">
      <c r="B303" s="6" t="s">
        <v>1913</v>
      </c>
    </row>
    <row r="304" spans="2:2">
      <c r="B304" s="6" t="s">
        <v>1914</v>
      </c>
    </row>
    <row r="305" spans="2:2">
      <c r="B305" s="6" t="s">
        <v>1915</v>
      </c>
    </row>
    <row r="306" spans="2:2">
      <c r="B306" s="6" t="s">
        <v>1916</v>
      </c>
    </row>
    <row r="307" spans="2:2">
      <c r="B307" s="6" t="s">
        <v>1917</v>
      </c>
    </row>
    <row r="308" spans="2:2">
      <c r="B308" s="6" t="s">
        <v>1918</v>
      </c>
    </row>
    <row r="309" spans="2:2">
      <c r="B309" s="6" t="s">
        <v>1919</v>
      </c>
    </row>
    <row r="310" spans="2:2">
      <c r="B310" s="6" t="s">
        <v>1920</v>
      </c>
    </row>
    <row r="311" spans="2:2">
      <c r="B311" s="6" t="s">
        <v>1921</v>
      </c>
    </row>
    <row r="312" spans="2:2">
      <c r="B312" s="6" t="s">
        <v>1922</v>
      </c>
    </row>
    <row r="313" spans="2:2">
      <c r="B313" s="6" t="s">
        <v>1923</v>
      </c>
    </row>
    <row r="314" spans="2:2">
      <c r="B314" s="6" t="s">
        <v>1924</v>
      </c>
    </row>
    <row r="315" spans="2:2">
      <c r="B315" s="6" t="s">
        <v>1925</v>
      </c>
    </row>
    <row r="316" spans="2:2">
      <c r="B316" s="6" t="s">
        <v>1926</v>
      </c>
    </row>
    <row r="317" spans="2:2">
      <c r="B317" s="6" t="s">
        <v>1927</v>
      </c>
    </row>
    <row r="318" spans="2:2">
      <c r="B318" s="6" t="s">
        <v>1928</v>
      </c>
    </row>
    <row r="319" spans="2:2">
      <c r="B319" s="6" t="s">
        <v>1929</v>
      </c>
    </row>
    <row r="320" spans="2:2">
      <c r="B320" s="6" t="s">
        <v>1930</v>
      </c>
    </row>
    <row r="321" spans="2:2">
      <c r="B321" s="6" t="s">
        <v>1931</v>
      </c>
    </row>
    <row r="322" spans="2:2">
      <c r="B322" s="6" t="s">
        <v>1932</v>
      </c>
    </row>
    <row r="323" spans="2:2">
      <c r="B323" s="6" t="s">
        <v>1933</v>
      </c>
    </row>
    <row r="324" spans="2:2">
      <c r="B324" s="6" t="s">
        <v>1934</v>
      </c>
    </row>
    <row r="325" spans="2:2">
      <c r="B325" s="6" t="s">
        <v>1935</v>
      </c>
    </row>
    <row r="326" spans="2:2">
      <c r="B326" s="6" t="s">
        <v>1936</v>
      </c>
    </row>
    <row r="327" spans="2:2">
      <c r="B327" s="6" t="s">
        <v>1937</v>
      </c>
    </row>
    <row r="328" spans="2:2">
      <c r="B328" s="6" t="s">
        <v>1938</v>
      </c>
    </row>
    <row r="329" spans="2:2">
      <c r="B329" s="6" t="s">
        <v>1939</v>
      </c>
    </row>
    <row r="330" spans="2:2">
      <c r="B330" s="6" t="s">
        <v>1940</v>
      </c>
    </row>
    <row r="331" spans="2:2">
      <c r="B331" s="6" t="s">
        <v>1941</v>
      </c>
    </row>
    <row r="332" spans="2:2">
      <c r="B332" s="6" t="s">
        <v>1942</v>
      </c>
    </row>
    <row r="333" spans="2:2">
      <c r="B333" s="6" t="s">
        <v>1943</v>
      </c>
    </row>
    <row r="334" spans="2:2">
      <c r="B334" s="6" t="s">
        <v>1944</v>
      </c>
    </row>
    <row r="335" spans="2:2">
      <c r="B335" s="6" t="s">
        <v>1945</v>
      </c>
    </row>
    <row r="336" spans="2:2">
      <c r="B336" s="6" t="s">
        <v>1946</v>
      </c>
    </row>
    <row r="337" spans="2:2">
      <c r="B337" s="6" t="s">
        <v>1947</v>
      </c>
    </row>
    <row r="338" spans="2:2">
      <c r="B338" s="6" t="s">
        <v>1948</v>
      </c>
    </row>
    <row r="339" spans="2:2">
      <c r="B339" s="6" t="s">
        <v>1949</v>
      </c>
    </row>
    <row r="340" spans="2:2">
      <c r="B340" s="6" t="s">
        <v>1950</v>
      </c>
    </row>
    <row r="341" spans="2:2">
      <c r="B341" s="6" t="s">
        <v>1951</v>
      </c>
    </row>
    <row r="342" spans="2:2">
      <c r="B342" s="6" t="s">
        <v>1952</v>
      </c>
    </row>
    <row r="343" spans="2:2">
      <c r="B343" s="6" t="s">
        <v>1953</v>
      </c>
    </row>
    <row r="344" spans="2:2">
      <c r="B344" s="6" t="s">
        <v>1954</v>
      </c>
    </row>
    <row r="345" spans="2:2">
      <c r="B345" s="6" t="s">
        <v>1955</v>
      </c>
    </row>
    <row r="346" spans="2:2">
      <c r="B346" s="6" t="s">
        <v>1956</v>
      </c>
    </row>
    <row r="347" spans="2:2">
      <c r="B347" s="6" t="s">
        <v>1957</v>
      </c>
    </row>
    <row r="348" spans="2:2">
      <c r="B348" s="6" t="s">
        <v>1958</v>
      </c>
    </row>
    <row r="349" spans="2:2">
      <c r="B349" s="6" t="s">
        <v>1959</v>
      </c>
    </row>
    <row r="350" spans="2:2">
      <c r="B350" s="6" t="s">
        <v>1960</v>
      </c>
    </row>
    <row r="351" spans="2:2">
      <c r="B351" s="180" t="s">
        <v>1961</v>
      </c>
    </row>
    <row r="352" spans="2:2">
      <c r="B352" s="180" t="s">
        <v>1962</v>
      </c>
    </row>
    <row r="353" spans="2:2">
      <c r="B353" s="180" t="s">
        <v>1963</v>
      </c>
    </row>
    <row r="354" spans="2:2">
      <c r="B354" s="180" t="s">
        <v>1964</v>
      </c>
    </row>
    <row r="355" spans="2:2">
      <c r="B355" s="180" t="s">
        <v>1965</v>
      </c>
    </row>
    <row r="356" spans="2:2">
      <c r="B356" s="180" t="s">
        <v>1966</v>
      </c>
    </row>
    <row r="357" spans="2:2">
      <c r="B357" s="180" t="s">
        <v>1967</v>
      </c>
    </row>
    <row r="358" spans="2:2">
      <c r="B358" s="180" t="s">
        <v>1968</v>
      </c>
    </row>
    <row r="359" spans="2:2">
      <c r="B359" s="180" t="s">
        <v>1969</v>
      </c>
    </row>
    <row r="360" spans="2:2">
      <c r="B360" s="180" t="s">
        <v>1970</v>
      </c>
    </row>
    <row r="361" spans="2:2">
      <c r="B361" s="180" t="s">
        <v>1971</v>
      </c>
    </row>
    <row r="362" spans="2:2">
      <c r="B362" s="6" t="s">
        <v>1972</v>
      </c>
    </row>
    <row r="363" spans="2:2">
      <c r="B363" s="6" t="s">
        <v>1973</v>
      </c>
    </row>
    <row r="364" spans="2:2">
      <c r="B364" s="6" t="s">
        <v>1974</v>
      </c>
    </row>
    <row r="365" spans="2:2">
      <c r="B365" s="6" t="s">
        <v>1975</v>
      </c>
    </row>
    <row r="366" spans="2:2">
      <c r="B366" s="6" t="s">
        <v>1976</v>
      </c>
    </row>
    <row r="367" spans="2:2">
      <c r="B367" s="6" t="s">
        <v>1977</v>
      </c>
    </row>
    <row r="368" spans="2:2">
      <c r="B368" s="6" t="s">
        <v>1978</v>
      </c>
    </row>
    <row r="369" spans="2:2">
      <c r="B369" s="6" t="s">
        <v>1979</v>
      </c>
    </row>
    <row r="370" spans="2:2">
      <c r="B370" s="6" t="s">
        <v>1980</v>
      </c>
    </row>
    <row r="371" spans="2:2">
      <c r="B371" s="6" t="s">
        <v>1981</v>
      </c>
    </row>
    <row r="372" spans="2:2">
      <c r="B372" s="6" t="s">
        <v>1982</v>
      </c>
    </row>
    <row r="373" spans="2:2">
      <c r="B373" s="6" t="s">
        <v>1983</v>
      </c>
    </row>
    <row r="374" spans="2:2">
      <c r="B374" s="6" t="s">
        <v>1984</v>
      </c>
    </row>
    <row r="375" spans="2:2">
      <c r="B375" s="6" t="s">
        <v>1985</v>
      </c>
    </row>
    <row r="376" spans="2:2">
      <c r="B376" s="6" t="s">
        <v>1986</v>
      </c>
    </row>
    <row r="377" spans="2:2">
      <c r="B377" s="6" t="s">
        <v>1987</v>
      </c>
    </row>
    <row r="378" spans="2:2">
      <c r="B378" s="6" t="s">
        <v>1988</v>
      </c>
    </row>
    <row r="379" spans="2:2">
      <c r="B379" s="6" t="s">
        <v>1989</v>
      </c>
    </row>
    <row r="380" spans="2:2">
      <c r="B380" s="6" t="s">
        <v>1990</v>
      </c>
    </row>
    <row r="381" spans="2:2">
      <c r="B381" s="6" t="s">
        <v>1991</v>
      </c>
    </row>
    <row r="382" spans="2:2">
      <c r="B382" s="6" t="s">
        <v>1992</v>
      </c>
    </row>
    <row r="383" spans="2:2">
      <c r="B383" s="6" t="s">
        <v>1993</v>
      </c>
    </row>
    <row r="384" spans="2:2">
      <c r="B384" s="6" t="s">
        <v>1994</v>
      </c>
    </row>
    <row r="385" spans="2:2">
      <c r="B385" s="6" t="s">
        <v>1995</v>
      </c>
    </row>
    <row r="386" spans="2:2">
      <c r="B386" s="6" t="s">
        <v>1996</v>
      </c>
    </row>
    <row r="387" spans="2:2">
      <c r="B387" s="6" t="s">
        <v>1997</v>
      </c>
    </row>
    <row r="388" spans="2:2">
      <c r="B388" s="6" t="s">
        <v>1998</v>
      </c>
    </row>
    <row r="389" spans="2:2">
      <c r="B389" s="6" t="s">
        <v>1999</v>
      </c>
    </row>
    <row r="390" spans="2:2">
      <c r="B390" s="6" t="s">
        <v>2000</v>
      </c>
    </row>
    <row r="391" spans="2:2">
      <c r="B391" s="6" t="s">
        <v>2001</v>
      </c>
    </row>
    <row r="392" spans="2:2">
      <c r="B392" s="6" t="s">
        <v>2002</v>
      </c>
    </row>
    <row r="393" spans="2:2">
      <c r="B393" s="6" t="s">
        <v>2003</v>
      </c>
    </row>
    <row r="394" spans="2:2">
      <c r="B394" s="6" t="s">
        <v>2004</v>
      </c>
    </row>
    <row r="395" spans="2:2">
      <c r="B395" s="6" t="s">
        <v>2005</v>
      </c>
    </row>
    <row r="396" spans="2:2">
      <c r="B396" s="6" t="s">
        <v>2006</v>
      </c>
    </row>
    <row r="397" spans="2:2">
      <c r="B397" s="6" t="s">
        <v>2007</v>
      </c>
    </row>
    <row r="398" spans="2:2">
      <c r="B398" s="6" t="s">
        <v>2008</v>
      </c>
    </row>
    <row r="399" spans="2:2">
      <c r="B399" s="6" t="s">
        <v>2009</v>
      </c>
    </row>
    <row r="400" spans="2:2">
      <c r="B400" s="6" t="s">
        <v>2010</v>
      </c>
    </row>
    <row r="401" spans="2:2">
      <c r="B401" s="6" t="s">
        <v>2011</v>
      </c>
    </row>
    <row r="402" spans="2:2">
      <c r="B402" s="6" t="s">
        <v>2012</v>
      </c>
    </row>
    <row r="403" spans="2:2">
      <c r="B403" s="6" t="s">
        <v>2013</v>
      </c>
    </row>
    <row r="404" spans="2:2">
      <c r="B404" s="6" t="s">
        <v>2014</v>
      </c>
    </row>
    <row r="405" spans="2:2">
      <c r="B405" s="6" t="s">
        <v>2015</v>
      </c>
    </row>
    <row r="406" spans="2:2">
      <c r="B406" s="6" t="s">
        <v>2016</v>
      </c>
    </row>
    <row r="407" spans="2:2">
      <c r="B407" s="6" t="s">
        <v>2017</v>
      </c>
    </row>
    <row r="408" spans="2:2">
      <c r="B408" s="6" t="s">
        <v>2018</v>
      </c>
    </row>
    <row r="409" spans="2:2">
      <c r="B409" s="6" t="s">
        <v>2019</v>
      </c>
    </row>
    <row r="410" spans="2:2">
      <c r="B410" s="6" t="s">
        <v>2020</v>
      </c>
    </row>
    <row r="411" spans="2:2">
      <c r="B411" s="6" t="s">
        <v>2021</v>
      </c>
    </row>
    <row r="412" spans="2:2">
      <c r="B412" s="6" t="s">
        <v>2022</v>
      </c>
    </row>
    <row r="413" spans="2:2">
      <c r="B413" s="6" t="s">
        <v>2023</v>
      </c>
    </row>
    <row r="414" spans="2:2">
      <c r="B414" s="6" t="s">
        <v>2024</v>
      </c>
    </row>
    <row r="415" spans="2:2">
      <c r="B415" s="6" t="s">
        <v>2025</v>
      </c>
    </row>
    <row r="416" spans="2:2">
      <c r="B416" s="6" t="s">
        <v>2026</v>
      </c>
    </row>
    <row r="417" spans="2:2">
      <c r="B417" s="6" t="s">
        <v>2027</v>
      </c>
    </row>
    <row r="418" spans="2:2">
      <c r="B418" s="6" t="s">
        <v>2028</v>
      </c>
    </row>
    <row r="419" spans="2:2">
      <c r="B419" s="6" t="s">
        <v>2029</v>
      </c>
    </row>
    <row r="420" spans="2:2">
      <c r="B420" s="6" t="s">
        <v>2030</v>
      </c>
    </row>
    <row r="421" spans="2:2">
      <c r="B421" s="6" t="s">
        <v>2031</v>
      </c>
    </row>
    <row r="422" spans="2:2">
      <c r="B422" s="6" t="s">
        <v>2032</v>
      </c>
    </row>
    <row r="423" spans="2:2">
      <c r="B423" s="6" t="s">
        <v>2033</v>
      </c>
    </row>
    <row r="424" spans="2:2">
      <c r="B424" s="6" t="s">
        <v>2034</v>
      </c>
    </row>
    <row r="425" spans="2:2">
      <c r="B425" s="6" t="s">
        <v>2035</v>
      </c>
    </row>
    <row r="426" spans="2:2">
      <c r="B426" s="6" t="s">
        <v>2036</v>
      </c>
    </row>
    <row r="427" spans="2:2">
      <c r="B427" s="6" t="s">
        <v>2037</v>
      </c>
    </row>
    <row r="428" spans="2:2">
      <c r="B428" s="6" t="s">
        <v>2038</v>
      </c>
    </row>
    <row r="429" spans="2:2">
      <c r="B429" s="6" t="s">
        <v>2039</v>
      </c>
    </row>
    <row r="430" spans="2:2">
      <c r="B430" s="6" t="s">
        <v>2040</v>
      </c>
    </row>
    <row r="431" spans="2:2">
      <c r="B431" s="6" t="s">
        <v>2041</v>
      </c>
    </row>
    <row r="432" spans="2:2">
      <c r="B432" s="6" t="s">
        <v>2042</v>
      </c>
    </row>
    <row r="433" spans="2:2">
      <c r="B433" s="6" t="s">
        <v>2043</v>
      </c>
    </row>
    <row r="434" spans="2:2">
      <c r="B434" s="6" t="s">
        <v>2044</v>
      </c>
    </row>
    <row r="435" spans="2:2">
      <c r="B435" s="6" t="s">
        <v>2045</v>
      </c>
    </row>
    <row r="436" spans="2:2">
      <c r="B436" s="6" t="s">
        <v>2046</v>
      </c>
    </row>
    <row r="437" spans="2:2">
      <c r="B437" s="6" t="s">
        <v>2047</v>
      </c>
    </row>
    <row r="438" spans="2:2">
      <c r="B438" s="6" t="s">
        <v>2048</v>
      </c>
    </row>
    <row r="439" spans="2:2">
      <c r="B439" s="6" t="s">
        <v>2049</v>
      </c>
    </row>
    <row r="440" spans="2:2">
      <c r="B440" s="6" t="s">
        <v>2050</v>
      </c>
    </row>
    <row r="441" spans="2:2">
      <c r="B441" s="6" t="s">
        <v>2051</v>
      </c>
    </row>
    <row r="442" spans="2:2">
      <c r="B442" s="6" t="s">
        <v>2052</v>
      </c>
    </row>
    <row r="443" spans="2:2">
      <c r="B443" s="6" t="s">
        <v>2053</v>
      </c>
    </row>
    <row r="444" spans="2:2">
      <c r="B444" s="6" t="s">
        <v>2054</v>
      </c>
    </row>
    <row r="445" spans="2:2">
      <c r="B445" s="6" t="s">
        <v>2055</v>
      </c>
    </row>
    <row r="446" spans="2:2">
      <c r="B446" s="6" t="s">
        <v>2056</v>
      </c>
    </row>
    <row r="447" spans="2:2">
      <c r="B447" s="6" t="s">
        <v>2057</v>
      </c>
    </row>
    <row r="448" spans="2:2">
      <c r="B448" s="6" t="s">
        <v>2058</v>
      </c>
    </row>
    <row r="449" spans="2:2">
      <c r="B449" s="6" t="s">
        <v>2059</v>
      </c>
    </row>
    <row r="450" spans="2:2">
      <c r="B450" s="6" t="s">
        <v>2060</v>
      </c>
    </row>
    <row r="451" spans="2:2">
      <c r="B451" s="6" t="s">
        <v>2061</v>
      </c>
    </row>
    <row r="452" spans="2:2">
      <c r="B452" s="6" t="s">
        <v>2062</v>
      </c>
    </row>
    <row r="453" spans="2:2">
      <c r="B453" s="6" t="s">
        <v>2063</v>
      </c>
    </row>
    <row r="454" spans="2:2">
      <c r="B454" s="6" t="s">
        <v>2064</v>
      </c>
    </row>
    <row r="455" spans="2:2">
      <c r="B455" s="6" t="s">
        <v>2065</v>
      </c>
    </row>
    <row r="456" spans="2:2">
      <c r="B456" s="6" t="s">
        <v>2066</v>
      </c>
    </row>
    <row r="457" spans="2:2">
      <c r="B457" s="6" t="s">
        <v>2067</v>
      </c>
    </row>
    <row r="458" spans="2:2">
      <c r="B458" s="6" t="s">
        <v>2068</v>
      </c>
    </row>
    <row r="459" spans="2:2">
      <c r="B459" s="6" t="s">
        <v>2069</v>
      </c>
    </row>
    <row r="460" spans="2:2">
      <c r="B460" s="6" t="s">
        <v>2070</v>
      </c>
    </row>
    <row r="461" spans="2:2">
      <c r="B461" s="6" t="s">
        <v>2071</v>
      </c>
    </row>
    <row r="462" spans="2:2">
      <c r="B462" s="6" t="s">
        <v>2072</v>
      </c>
    </row>
    <row r="463" spans="2:2">
      <c r="B463" s="6" t="s">
        <v>2073</v>
      </c>
    </row>
    <row r="464" spans="2:2">
      <c r="B464" s="6" t="s">
        <v>2074</v>
      </c>
    </row>
    <row r="465" spans="2:2">
      <c r="B465" s="6" t="s">
        <v>2075</v>
      </c>
    </row>
    <row r="466" spans="2:2">
      <c r="B466" s="6" t="s">
        <v>2076</v>
      </c>
    </row>
    <row r="467" spans="2:2">
      <c r="B467" s="6" t="s">
        <v>2077</v>
      </c>
    </row>
    <row r="468" spans="2:2">
      <c r="B468" s="6" t="s">
        <v>2078</v>
      </c>
    </row>
    <row r="469" spans="2:2">
      <c r="B469" s="6" t="s">
        <v>2079</v>
      </c>
    </row>
    <row r="470" spans="2:2">
      <c r="B470" s="6" t="s">
        <v>2080</v>
      </c>
    </row>
    <row r="471" spans="2:2">
      <c r="B471" s="6" t="s">
        <v>2081</v>
      </c>
    </row>
    <row r="472" spans="2:2">
      <c r="B472" s="6" t="s">
        <v>2082</v>
      </c>
    </row>
    <row r="473" spans="2:2">
      <c r="B473" s="6" t="s">
        <v>2083</v>
      </c>
    </row>
    <row r="474" spans="2:2">
      <c r="B474" s="6" t="s">
        <v>2084</v>
      </c>
    </row>
    <row r="475" spans="2:2">
      <c r="B475" s="6" t="s">
        <v>2085</v>
      </c>
    </row>
    <row r="476" spans="2:2">
      <c r="B476" s="6" t="s">
        <v>2086</v>
      </c>
    </row>
    <row r="477" spans="2:2">
      <c r="B477" s="6" t="s">
        <v>2087</v>
      </c>
    </row>
    <row r="478" spans="2:2">
      <c r="B478" s="6" t="s">
        <v>2088</v>
      </c>
    </row>
    <row r="479" spans="2:2">
      <c r="B479" s="6" t="s">
        <v>2089</v>
      </c>
    </row>
    <row r="480" spans="2:2">
      <c r="B480" s="6" t="s">
        <v>2090</v>
      </c>
    </row>
    <row r="481" spans="2:2">
      <c r="B481" s="6" t="s">
        <v>2091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C7E9-A51B-0848-B2C9-AA40960FD6B7}">
  <dimension ref="A1:H10"/>
  <sheetViews>
    <sheetView zoomScale="90" zoomScaleNormal="90" workbookViewId="0">
      <selection activeCell="H13" sqref="H13"/>
    </sheetView>
  </sheetViews>
  <sheetFormatPr defaultColWidth="8.875" defaultRowHeight="15"/>
  <cols>
    <col min="1" max="2" width="12.625" style="6" customWidth="1"/>
    <col min="3" max="3" width="11.625" style="6" customWidth="1"/>
    <col min="4" max="4" width="14.5" style="6" bestFit="1" customWidth="1"/>
    <col min="5" max="5" width="18.5" style="6" bestFit="1" customWidth="1"/>
    <col min="6" max="6" width="70.875" style="6" customWidth="1"/>
    <col min="7" max="7" width="10" style="6" bestFit="1" customWidth="1"/>
    <col min="8" max="8" width="55.875" style="6" customWidth="1"/>
    <col min="9" max="16384" width="8.875" style="6"/>
  </cols>
  <sheetData>
    <row r="1" spans="1:8" ht="39.75" customHeight="1">
      <c r="A1" s="76" t="s">
        <v>0</v>
      </c>
      <c r="B1" s="76" t="s">
        <v>181</v>
      </c>
      <c r="C1" s="77" t="s">
        <v>182</v>
      </c>
      <c r="D1" s="76" t="s">
        <v>3</v>
      </c>
      <c r="E1" s="76" t="s">
        <v>5</v>
      </c>
      <c r="F1" s="42" t="s">
        <v>6</v>
      </c>
      <c r="G1" s="42" t="s">
        <v>7</v>
      </c>
      <c r="H1" s="77" t="s">
        <v>183</v>
      </c>
    </row>
    <row r="2" spans="1:8" ht="30.75" customHeight="1">
      <c r="A2" s="261" t="s">
        <v>220</v>
      </c>
      <c r="B2" s="261"/>
      <c r="C2" s="261"/>
      <c r="D2" s="261"/>
      <c r="E2" s="261"/>
      <c r="F2" s="261"/>
      <c r="G2" s="261"/>
      <c r="H2" s="261"/>
    </row>
    <row r="3" spans="1:8" s="84" customFormat="1" ht="23.25">
      <c r="A3" s="78" t="s">
        <v>193</v>
      </c>
      <c r="B3" s="78"/>
      <c r="C3" s="79" t="s">
        <v>185</v>
      </c>
      <c r="D3" s="78" t="s">
        <v>221</v>
      </c>
      <c r="E3" s="80" t="s">
        <v>222</v>
      </c>
      <c r="F3" s="81" t="s">
        <v>223</v>
      </c>
      <c r="G3" s="82">
        <f>(SUM(G4)/SUM(G5))</f>
        <v>5</v>
      </c>
      <c r="H3" s="83"/>
    </row>
    <row r="4" spans="1:8" s="84" customFormat="1" ht="47.25">
      <c r="A4" s="85" t="s">
        <v>193</v>
      </c>
      <c r="B4" s="85"/>
      <c r="C4" s="86" t="s">
        <v>193</v>
      </c>
      <c r="D4" s="85" t="s">
        <v>221</v>
      </c>
      <c r="E4" s="87" t="s">
        <v>224</v>
      </c>
      <c r="F4" s="88" t="s">
        <v>225</v>
      </c>
      <c r="G4" s="89">
        <v>10</v>
      </c>
      <c r="H4" s="90"/>
    </row>
    <row r="5" spans="1:8" s="84" customFormat="1" ht="65.25" customHeight="1">
      <c r="A5" s="85" t="s">
        <v>193</v>
      </c>
      <c r="B5" s="85"/>
      <c r="C5" s="86" t="s">
        <v>193</v>
      </c>
      <c r="D5" s="85" t="s">
        <v>221</v>
      </c>
      <c r="E5" s="87" t="s">
        <v>226</v>
      </c>
      <c r="F5" s="88" t="s">
        <v>227</v>
      </c>
      <c r="G5" s="89">
        <v>2</v>
      </c>
      <c r="H5" s="90"/>
    </row>
    <row r="6" spans="1:8" s="84" customFormat="1" ht="94.5">
      <c r="A6" s="78" t="s">
        <v>193</v>
      </c>
      <c r="B6" s="78"/>
      <c r="C6" s="78" t="s">
        <v>185</v>
      </c>
      <c r="D6" s="78" t="s">
        <v>228</v>
      </c>
      <c r="E6" s="91" t="s">
        <v>218</v>
      </c>
      <c r="F6" s="92" t="s">
        <v>219</v>
      </c>
      <c r="G6" s="82">
        <f>IF(AND(G3&gt;4,G3&lt;=10),((G7*G8)/1000),0)</f>
        <v>500</v>
      </c>
      <c r="H6" s="81" t="s">
        <v>229</v>
      </c>
    </row>
    <row r="7" spans="1:8" s="84" customFormat="1" ht="31.5">
      <c r="A7" s="85" t="s">
        <v>193</v>
      </c>
      <c r="B7" s="85"/>
      <c r="C7" s="85" t="s">
        <v>193</v>
      </c>
      <c r="D7" s="85" t="s">
        <v>221</v>
      </c>
      <c r="E7" s="93" t="s">
        <v>230</v>
      </c>
      <c r="F7" s="88" t="s">
        <v>231</v>
      </c>
      <c r="G7" s="89">
        <v>20</v>
      </c>
    </row>
    <row r="8" spans="1:8" s="84" customFormat="1" ht="47.25" customHeight="1">
      <c r="A8" s="85" t="s">
        <v>193</v>
      </c>
      <c r="B8" s="85"/>
      <c r="C8" s="85" t="s">
        <v>193</v>
      </c>
      <c r="D8" s="85" t="s">
        <v>221</v>
      </c>
      <c r="E8" s="93" t="s">
        <v>232</v>
      </c>
      <c r="F8" s="88" t="s">
        <v>233</v>
      </c>
      <c r="G8" s="89">
        <v>25000</v>
      </c>
    </row>
    <row r="9" spans="1:8" ht="26.25">
      <c r="A9" s="94"/>
      <c r="B9" s="94"/>
      <c r="C9" s="43"/>
      <c r="D9" s="94"/>
      <c r="E9" s="95"/>
      <c r="F9" s="96"/>
      <c r="G9" s="8"/>
    </row>
    <row r="10" spans="1:8" ht="26.25">
      <c r="A10" s="94"/>
      <c r="B10" s="94"/>
      <c r="C10" s="43"/>
      <c r="D10" s="94"/>
      <c r="E10" s="95"/>
      <c r="F10" s="96"/>
      <c r="G10" s="8"/>
    </row>
  </sheetData>
  <mergeCells count="1">
    <mergeCell ref="A2:H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334C0-6385-194D-8511-AA4811FADFBB}">
  <dimension ref="A1:Q26"/>
  <sheetViews>
    <sheetView workbookViewId="0">
      <selection activeCell="K30" sqref="K30"/>
    </sheetView>
  </sheetViews>
  <sheetFormatPr defaultColWidth="8.875" defaultRowHeight="15"/>
  <cols>
    <col min="1" max="1" width="17.625" style="6" bestFit="1" customWidth="1"/>
    <col min="2" max="2" width="22.875" style="6" customWidth="1"/>
    <col min="3" max="3" width="21.375" style="6" customWidth="1"/>
    <col min="4" max="4" width="22.5" style="6" customWidth="1"/>
    <col min="5" max="16384" width="8.875" style="6"/>
  </cols>
  <sheetData>
    <row r="1" spans="1:17" s="5" customFormat="1" ht="18.75">
      <c r="A1" s="262" t="s">
        <v>234</v>
      </c>
      <c r="B1" s="262"/>
      <c r="C1" s="262"/>
      <c r="D1" s="262"/>
      <c r="E1" s="262"/>
      <c r="F1" s="262"/>
      <c r="G1" s="262"/>
      <c r="H1" s="262"/>
      <c r="I1" s="262"/>
      <c r="J1" s="262"/>
      <c r="K1" s="262"/>
      <c r="L1" s="262"/>
      <c r="M1" s="262"/>
      <c r="N1" s="262"/>
      <c r="O1" s="262"/>
      <c r="P1" s="262"/>
      <c r="Q1" s="262"/>
    </row>
    <row r="2" spans="1:17" ht="19.5" thickBot="1">
      <c r="A2" s="19" t="s">
        <v>235</v>
      </c>
      <c r="B2" s="19"/>
      <c r="C2" s="19"/>
      <c r="D2" s="19"/>
      <c r="E2" s="19"/>
      <c r="F2" s="19"/>
      <c r="G2" s="19"/>
      <c r="H2" s="19"/>
      <c r="I2" s="19"/>
      <c r="J2" s="19"/>
      <c r="K2" s="19"/>
      <c r="L2" s="19"/>
      <c r="M2" s="19"/>
      <c r="N2" s="19"/>
      <c r="O2" s="19"/>
      <c r="P2" s="19"/>
      <c r="Q2" s="19"/>
    </row>
    <row r="3" spans="1:17" ht="93" customHeight="1" thickBot="1">
      <c r="A3" s="20" t="s">
        <v>236</v>
      </c>
      <c r="B3" s="21" t="s">
        <v>237</v>
      </c>
      <c r="C3" s="21" t="s">
        <v>238</v>
      </c>
      <c r="D3" s="22" t="s">
        <v>239</v>
      </c>
    </row>
    <row r="4" spans="1:17" ht="15.75" thickBot="1">
      <c r="A4" s="23"/>
      <c r="B4" s="263" t="s">
        <v>240</v>
      </c>
      <c r="C4" s="264"/>
      <c r="D4" s="265"/>
    </row>
    <row r="5" spans="1:17" ht="15.75" thickBot="1">
      <c r="A5" s="24" t="s">
        <v>241</v>
      </c>
      <c r="B5" s="25">
        <v>0.25</v>
      </c>
      <c r="C5" s="26">
        <v>0.5</v>
      </c>
      <c r="D5" s="27">
        <v>1</v>
      </c>
    </row>
    <row r="6" spans="1:17">
      <c r="A6" s="28" t="s">
        <v>242</v>
      </c>
      <c r="B6" s="29">
        <v>1</v>
      </c>
      <c r="C6" s="30">
        <v>0.9</v>
      </c>
      <c r="D6" s="31">
        <v>0.8</v>
      </c>
    </row>
    <row r="7" spans="1:17">
      <c r="A7" s="32" t="s">
        <v>243</v>
      </c>
      <c r="B7" s="33">
        <v>1</v>
      </c>
      <c r="C7" s="34">
        <v>0.8</v>
      </c>
      <c r="D7" s="35">
        <v>0.8</v>
      </c>
    </row>
    <row r="8" spans="1:17">
      <c r="A8" s="32" t="s">
        <v>244</v>
      </c>
      <c r="B8" s="33">
        <v>1</v>
      </c>
      <c r="C8" s="34">
        <v>0.8</v>
      </c>
      <c r="D8" s="35">
        <v>0.8</v>
      </c>
    </row>
    <row r="9" spans="1:17">
      <c r="A9" s="32" t="s">
        <v>245</v>
      </c>
      <c r="B9" s="33">
        <v>0.9</v>
      </c>
      <c r="C9" s="34">
        <v>0.8</v>
      </c>
      <c r="D9" s="35">
        <v>0.8</v>
      </c>
    </row>
    <row r="10" spans="1:17" ht="15.75" thickBot="1">
      <c r="A10" s="36" t="s">
        <v>246</v>
      </c>
      <c r="B10" s="37">
        <v>0.8</v>
      </c>
      <c r="C10" s="38">
        <v>0.8</v>
      </c>
      <c r="D10" s="39">
        <v>0.8</v>
      </c>
    </row>
    <row r="13" spans="1:17" s="5" customFormat="1" ht="18.75">
      <c r="A13" s="262" t="s">
        <v>247</v>
      </c>
      <c r="B13" s="262"/>
      <c r="C13" s="262"/>
      <c r="D13" s="262"/>
      <c r="E13" s="262"/>
      <c r="F13" s="262"/>
      <c r="G13" s="262"/>
      <c r="H13" s="262"/>
      <c r="I13" s="262"/>
      <c r="J13" s="262"/>
      <c r="K13" s="262"/>
      <c r="L13" s="262"/>
      <c r="M13" s="262"/>
      <c r="N13" s="262"/>
      <c r="O13" s="262"/>
      <c r="P13" s="262"/>
      <c r="Q13" s="262"/>
    </row>
    <row r="14" spans="1:17" ht="76.5" customHeight="1">
      <c r="A14" s="7" t="s">
        <v>91</v>
      </c>
      <c r="B14" s="40" t="s">
        <v>248</v>
      </c>
      <c r="C14" s="41" t="s">
        <v>249</v>
      </c>
    </row>
    <row r="15" spans="1:17" ht="30">
      <c r="A15" s="6" t="s">
        <v>91</v>
      </c>
      <c r="B15" s="7" t="s">
        <v>250</v>
      </c>
      <c r="C15" s="41" t="s">
        <v>251</v>
      </c>
    </row>
    <row r="17" spans="1:17" s="5" customFormat="1" ht="18.75">
      <c r="A17" s="262" t="s">
        <v>252</v>
      </c>
      <c r="B17" s="262"/>
      <c r="C17" s="262"/>
      <c r="D17" s="262"/>
      <c r="E17" s="262"/>
      <c r="F17" s="262"/>
      <c r="G17" s="262"/>
      <c r="H17" s="262"/>
      <c r="I17" s="262"/>
      <c r="J17" s="262"/>
      <c r="K17" s="262"/>
      <c r="L17" s="262"/>
      <c r="M17" s="262"/>
      <c r="N17" s="262"/>
      <c r="O17" s="262"/>
      <c r="P17" s="262"/>
      <c r="Q17" s="262"/>
    </row>
    <row r="18" spans="1:17" ht="75">
      <c r="A18" s="6" t="s">
        <v>91</v>
      </c>
      <c r="B18" s="7" t="s">
        <v>253</v>
      </c>
      <c r="C18" s="41">
        <v>4</v>
      </c>
    </row>
    <row r="20" spans="1:17" s="5" customFormat="1" ht="18.75">
      <c r="A20" s="262" t="s">
        <v>254</v>
      </c>
      <c r="B20" s="262"/>
      <c r="C20" s="262"/>
      <c r="D20" s="262"/>
      <c r="E20" s="262"/>
      <c r="F20" s="262"/>
      <c r="G20" s="262"/>
      <c r="H20" s="262"/>
      <c r="I20" s="262"/>
      <c r="J20" s="262"/>
      <c r="K20" s="262"/>
      <c r="L20" s="262"/>
      <c r="M20" s="262"/>
      <c r="N20" s="262"/>
      <c r="O20" s="262"/>
      <c r="P20" s="262"/>
      <c r="Q20" s="262"/>
    </row>
    <row r="21" spans="1:17" ht="30">
      <c r="A21" s="6" t="s">
        <v>91</v>
      </c>
      <c r="B21" s="7" t="s">
        <v>255</v>
      </c>
      <c r="C21" s="41">
        <v>0.3</v>
      </c>
    </row>
    <row r="23" spans="1:17" s="5" customFormat="1" ht="18.75">
      <c r="A23" s="262" t="s">
        <v>256</v>
      </c>
      <c r="B23" s="262"/>
      <c r="C23" s="262"/>
      <c r="D23" s="262"/>
      <c r="E23" s="262"/>
      <c r="F23" s="262"/>
      <c r="G23" s="262"/>
      <c r="H23" s="262"/>
      <c r="I23" s="262"/>
      <c r="J23" s="262"/>
      <c r="K23" s="262"/>
      <c r="L23" s="262"/>
      <c r="M23" s="262"/>
      <c r="N23" s="262"/>
      <c r="O23" s="262"/>
      <c r="P23" s="262"/>
      <c r="Q23" s="262"/>
    </row>
    <row r="24" spans="1:17" ht="30">
      <c r="A24" s="6" t="s">
        <v>91</v>
      </c>
      <c r="B24" s="7" t="s">
        <v>257</v>
      </c>
      <c r="C24" s="41">
        <v>0.15</v>
      </c>
    </row>
    <row r="25" spans="1:17" ht="60">
      <c r="A25" s="6" t="s">
        <v>91</v>
      </c>
      <c r="B25" s="40" t="s">
        <v>258</v>
      </c>
      <c r="C25" s="41">
        <v>0.15</v>
      </c>
    </row>
    <row r="26" spans="1:17">
      <c r="A26" s="6" t="s">
        <v>91</v>
      </c>
      <c r="B26" s="6" t="s">
        <v>259</v>
      </c>
      <c r="C26" s="41">
        <v>0.25</v>
      </c>
    </row>
  </sheetData>
  <mergeCells count="6">
    <mergeCell ref="A23:Q23"/>
    <mergeCell ref="A1:Q1"/>
    <mergeCell ref="B4:D4"/>
    <mergeCell ref="A13:Q13"/>
    <mergeCell ref="A17:Q17"/>
    <mergeCell ref="A20:Q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52C-9A5D-3948-9E75-6057BAE868B2}">
  <dimension ref="A1:H39"/>
  <sheetViews>
    <sheetView zoomScale="80" zoomScaleNormal="80" workbookViewId="0">
      <selection activeCell="G3" sqref="G3"/>
    </sheetView>
  </sheetViews>
  <sheetFormatPr defaultColWidth="8.875" defaultRowHeight="15"/>
  <cols>
    <col min="1" max="1" width="12.5" style="6" bestFit="1" customWidth="1"/>
    <col min="2" max="2" width="12.625" style="6" customWidth="1"/>
    <col min="3" max="3" width="15" style="6" customWidth="1"/>
    <col min="4" max="4" width="17" style="6" bestFit="1" customWidth="1"/>
    <col min="5" max="5" width="13.5" style="6" bestFit="1" customWidth="1"/>
    <col min="6" max="6" width="59" style="6" customWidth="1"/>
    <col min="7" max="7" width="25.5" style="6" customWidth="1"/>
    <col min="8" max="8" width="97.375" style="6" customWidth="1"/>
    <col min="9" max="16384" width="8.875" style="6"/>
  </cols>
  <sheetData>
    <row r="1" spans="1:8" ht="39.75" customHeight="1">
      <c r="A1" s="76" t="s">
        <v>0</v>
      </c>
      <c r="B1" s="76" t="s">
        <v>181</v>
      </c>
      <c r="C1" s="77" t="s">
        <v>182</v>
      </c>
      <c r="D1" s="76" t="s">
        <v>3</v>
      </c>
      <c r="E1" s="76" t="s">
        <v>5</v>
      </c>
      <c r="F1" s="42" t="s">
        <v>6</v>
      </c>
      <c r="G1" s="42" t="s">
        <v>7</v>
      </c>
      <c r="H1" s="77" t="s">
        <v>183</v>
      </c>
    </row>
    <row r="2" spans="1:8" ht="30" customHeight="1">
      <c r="A2" s="261" t="s">
        <v>260</v>
      </c>
      <c r="B2" s="261"/>
      <c r="C2" s="261"/>
      <c r="D2" s="261"/>
      <c r="E2" s="261"/>
      <c r="F2" s="261"/>
      <c r="G2" s="261"/>
      <c r="H2" s="261"/>
    </row>
    <row r="3" spans="1:8" ht="30">
      <c r="A3" s="9" t="s">
        <v>11</v>
      </c>
      <c r="B3" s="9"/>
      <c r="C3" s="9" t="s">
        <v>11</v>
      </c>
      <c r="D3" s="9" t="s">
        <v>261</v>
      </c>
      <c r="E3" s="91" t="s">
        <v>262</v>
      </c>
      <c r="F3" s="103" t="s">
        <v>263</v>
      </c>
      <c r="G3" s="16">
        <f>SUM((G11*G12),(G29*G30))</f>
        <v>73.333333333333329</v>
      </c>
      <c r="H3" s="16" t="s">
        <v>264</v>
      </c>
    </row>
    <row r="4" spans="1:8" ht="46.5" customHeight="1">
      <c r="A4" s="261" t="s">
        <v>265</v>
      </c>
      <c r="B4" s="261"/>
      <c r="C4" s="261"/>
      <c r="D4" s="261"/>
      <c r="E4" s="261"/>
      <c r="F4" s="261"/>
      <c r="G4" s="261"/>
      <c r="H4" s="261"/>
    </row>
    <row r="5" spans="1:8" ht="33" customHeight="1">
      <c r="A5" s="6" t="s">
        <v>10</v>
      </c>
      <c r="C5" s="6" t="s">
        <v>10</v>
      </c>
      <c r="D5" s="6" t="s">
        <v>12</v>
      </c>
      <c r="E5" s="104" t="s">
        <v>266</v>
      </c>
      <c r="F5" s="105" t="s">
        <v>267</v>
      </c>
      <c r="G5" s="6" t="s">
        <v>268</v>
      </c>
    </row>
    <row r="6" spans="1:8">
      <c r="A6" s="6" t="s">
        <v>10</v>
      </c>
      <c r="C6" s="6" t="s">
        <v>10</v>
      </c>
      <c r="D6" s="6" t="s">
        <v>12</v>
      </c>
      <c r="F6" s="105" t="s">
        <v>269</v>
      </c>
      <c r="G6" s="6" t="s">
        <v>270</v>
      </c>
    </row>
    <row r="7" spans="1:8" ht="60">
      <c r="A7" s="45" t="s">
        <v>10</v>
      </c>
      <c r="B7" s="45"/>
      <c r="C7" s="45" t="s">
        <v>10</v>
      </c>
      <c r="D7" s="45" t="s">
        <v>271</v>
      </c>
      <c r="E7" s="45"/>
      <c r="F7" s="106" t="s">
        <v>272</v>
      </c>
      <c r="G7" s="45" t="s">
        <v>273</v>
      </c>
      <c r="H7" s="107" t="s">
        <v>274</v>
      </c>
    </row>
    <row r="8" spans="1:8" ht="30">
      <c r="A8" s="45" t="s">
        <v>10</v>
      </c>
      <c r="B8" s="45"/>
      <c r="C8" s="45" t="s">
        <v>10</v>
      </c>
      <c r="D8" s="45" t="s">
        <v>271</v>
      </c>
      <c r="E8" s="45"/>
      <c r="F8" s="106" t="s">
        <v>275</v>
      </c>
      <c r="G8" s="45" t="s">
        <v>276</v>
      </c>
      <c r="H8" s="46" t="s">
        <v>277</v>
      </c>
    </row>
    <row r="9" spans="1:8" ht="21">
      <c r="A9" s="266" t="s">
        <v>278</v>
      </c>
      <c r="B9" s="266"/>
      <c r="C9" s="266"/>
      <c r="D9" s="266"/>
      <c r="E9" s="266"/>
      <c r="F9" s="266"/>
      <c r="G9" s="266"/>
      <c r="H9" s="266"/>
    </row>
    <row r="10" spans="1:8" ht="30">
      <c r="A10" s="9" t="s">
        <v>11</v>
      </c>
      <c r="B10" s="9"/>
      <c r="C10" s="9" t="s">
        <v>11</v>
      </c>
      <c r="D10" s="9" t="s">
        <v>261</v>
      </c>
      <c r="E10" s="91" t="s">
        <v>262</v>
      </c>
      <c r="F10" s="103" t="s">
        <v>279</v>
      </c>
      <c r="G10" s="16">
        <f>G11*G12</f>
        <v>36.666666666666664</v>
      </c>
      <c r="H10" s="16"/>
    </row>
    <row r="11" spans="1:8" ht="30">
      <c r="A11" s="6" t="s">
        <v>10</v>
      </c>
      <c r="C11" s="6" t="s">
        <v>10</v>
      </c>
      <c r="D11" s="6" t="s">
        <v>194</v>
      </c>
      <c r="E11" s="93" t="s">
        <v>280</v>
      </c>
      <c r="F11" s="105" t="s">
        <v>281</v>
      </c>
      <c r="G11" s="8">
        <v>20</v>
      </c>
      <c r="H11" s="8"/>
    </row>
    <row r="12" spans="1:8" ht="30">
      <c r="A12" s="9" t="s">
        <v>10</v>
      </c>
      <c r="B12" s="9"/>
      <c r="C12" s="9" t="s">
        <v>11</v>
      </c>
      <c r="D12" s="9" t="s">
        <v>261</v>
      </c>
      <c r="E12" s="108" t="s">
        <v>282</v>
      </c>
      <c r="F12" s="103" t="s">
        <v>283</v>
      </c>
      <c r="G12" s="16">
        <f>G14</f>
        <v>1.8333333333333333</v>
      </c>
      <c r="H12" s="109" t="s">
        <v>284</v>
      </c>
    </row>
    <row r="13" spans="1:8" ht="21">
      <c r="A13" s="266" t="s">
        <v>285</v>
      </c>
      <c r="B13" s="266"/>
      <c r="C13" s="266"/>
      <c r="D13" s="266"/>
      <c r="E13" s="266"/>
      <c r="F13" s="266"/>
      <c r="G13" s="266"/>
      <c r="H13" s="266"/>
    </row>
    <row r="14" spans="1:8" ht="26.25">
      <c r="A14" s="9" t="s">
        <v>11</v>
      </c>
      <c r="B14" s="9"/>
      <c r="C14" s="9" t="s">
        <v>11</v>
      </c>
      <c r="D14" s="9" t="s">
        <v>261</v>
      </c>
      <c r="E14" s="91" t="s">
        <v>282</v>
      </c>
      <c r="F14" s="103" t="s">
        <v>286</v>
      </c>
      <c r="G14" s="16">
        <f>G16*(44/12)</f>
        <v>1.8333333333333333</v>
      </c>
      <c r="H14" s="16" t="s">
        <v>287</v>
      </c>
    </row>
    <row r="15" spans="1:8" ht="26.25">
      <c r="A15" s="9" t="s">
        <v>11</v>
      </c>
      <c r="B15" s="9"/>
      <c r="C15" s="9" t="s">
        <v>11</v>
      </c>
      <c r="D15" s="9" t="s">
        <v>261</v>
      </c>
      <c r="E15" s="91" t="s">
        <v>282</v>
      </c>
      <c r="F15" s="103" t="s">
        <v>288</v>
      </c>
      <c r="G15" s="16">
        <f>G16*G17*(44/12)</f>
        <v>3.6666666666666665</v>
      </c>
      <c r="H15" s="16" t="s">
        <v>289</v>
      </c>
    </row>
    <row r="16" spans="1:8" ht="30">
      <c r="A16" s="6" t="s">
        <v>10</v>
      </c>
      <c r="C16" s="6" t="s">
        <v>10</v>
      </c>
      <c r="D16" s="6" t="s">
        <v>194</v>
      </c>
      <c r="E16" s="93" t="s">
        <v>290</v>
      </c>
      <c r="F16" s="105" t="s">
        <v>291</v>
      </c>
      <c r="G16" s="8">
        <v>0.5</v>
      </c>
      <c r="H16" s="8"/>
    </row>
    <row r="17" spans="1:8" ht="30">
      <c r="A17" s="6" t="s">
        <v>10</v>
      </c>
      <c r="C17" s="6" t="s">
        <v>10</v>
      </c>
      <c r="D17" s="6" t="s">
        <v>194</v>
      </c>
      <c r="E17" s="93" t="s">
        <v>292</v>
      </c>
      <c r="F17" s="105" t="s">
        <v>293</v>
      </c>
      <c r="G17" s="8">
        <v>2</v>
      </c>
      <c r="H17" s="8"/>
    </row>
    <row r="18" spans="1:8" ht="21">
      <c r="A18" s="266" t="s">
        <v>294</v>
      </c>
      <c r="B18" s="266"/>
      <c r="C18" s="266"/>
      <c r="D18" s="266"/>
      <c r="E18" s="266"/>
      <c r="F18" s="266"/>
      <c r="G18" s="266"/>
      <c r="H18" s="266"/>
    </row>
    <row r="19" spans="1:8" ht="30">
      <c r="A19" s="9" t="s">
        <v>11</v>
      </c>
      <c r="B19" s="9"/>
      <c r="C19" s="9" t="s">
        <v>11</v>
      </c>
      <c r="D19" s="9" t="s">
        <v>261</v>
      </c>
      <c r="E19" s="91" t="s">
        <v>282</v>
      </c>
      <c r="F19" s="109" t="s">
        <v>283</v>
      </c>
      <c r="G19" s="16">
        <f>G20*G21</f>
        <v>11.15</v>
      </c>
      <c r="H19" s="16"/>
    </row>
    <row r="20" spans="1:8" ht="30">
      <c r="A20" s="6" t="s">
        <v>10</v>
      </c>
      <c r="C20" s="6" t="s">
        <v>10</v>
      </c>
      <c r="D20" s="6" t="s">
        <v>194</v>
      </c>
      <c r="E20" s="93" t="s">
        <v>295</v>
      </c>
      <c r="F20" s="7" t="s">
        <v>296</v>
      </c>
      <c r="G20" s="8">
        <v>0.5</v>
      </c>
      <c r="H20" s="8"/>
    </row>
    <row r="21" spans="1:8" ht="26.25">
      <c r="A21" s="6" t="s">
        <v>10</v>
      </c>
      <c r="C21" s="6" t="s">
        <v>10</v>
      </c>
      <c r="D21" s="6" t="s">
        <v>194</v>
      </c>
      <c r="E21" s="93" t="s">
        <v>297</v>
      </c>
      <c r="F21" s="7" t="s">
        <v>298</v>
      </c>
      <c r="G21" s="8">
        <v>22.3</v>
      </c>
      <c r="H21" s="8"/>
    </row>
    <row r="22" spans="1:8" ht="46.5" customHeight="1">
      <c r="A22" s="261" t="s">
        <v>299</v>
      </c>
      <c r="B22" s="261"/>
      <c r="C22" s="261"/>
      <c r="D22" s="261"/>
      <c r="E22" s="261"/>
      <c r="F22" s="261"/>
      <c r="G22" s="261"/>
      <c r="H22" s="261"/>
    </row>
    <row r="23" spans="1:8" ht="33" customHeight="1">
      <c r="A23" s="6" t="s">
        <v>10</v>
      </c>
      <c r="C23" s="6" t="s">
        <v>10</v>
      </c>
      <c r="D23" s="6" t="s">
        <v>12</v>
      </c>
      <c r="E23" s="93" t="s">
        <v>266</v>
      </c>
      <c r="F23" s="105" t="s">
        <v>267</v>
      </c>
      <c r="G23" s="6" t="s">
        <v>268</v>
      </c>
    </row>
    <row r="24" spans="1:8">
      <c r="A24" s="6" t="s">
        <v>10</v>
      </c>
      <c r="C24" s="6" t="s">
        <v>10</v>
      </c>
      <c r="D24" s="6" t="s">
        <v>12</v>
      </c>
      <c r="E24" s="110"/>
      <c r="F24" s="105" t="s">
        <v>269</v>
      </c>
      <c r="G24" s="6" t="s">
        <v>270</v>
      </c>
    </row>
    <row r="25" spans="1:8" ht="60">
      <c r="A25" s="45" t="s">
        <v>10</v>
      </c>
      <c r="B25" s="45"/>
      <c r="C25" s="45" t="s">
        <v>10</v>
      </c>
      <c r="D25" s="45" t="s">
        <v>300</v>
      </c>
      <c r="E25" s="111"/>
      <c r="F25" s="106" t="s">
        <v>272</v>
      </c>
      <c r="G25" s="45" t="s">
        <v>301</v>
      </c>
      <c r="H25" s="107" t="s">
        <v>274</v>
      </c>
    </row>
    <row r="26" spans="1:8" ht="30">
      <c r="A26" s="45" t="s">
        <v>10</v>
      </c>
      <c r="B26" s="45"/>
      <c r="C26" s="45" t="s">
        <v>10</v>
      </c>
      <c r="D26" s="45" t="s">
        <v>300</v>
      </c>
      <c r="E26" s="111"/>
      <c r="F26" s="106" t="s">
        <v>275</v>
      </c>
      <c r="G26" s="45" t="s">
        <v>302</v>
      </c>
      <c r="H26" s="46" t="s">
        <v>277</v>
      </c>
    </row>
    <row r="27" spans="1:8" ht="21">
      <c r="A27" s="266" t="s">
        <v>278</v>
      </c>
      <c r="B27" s="266"/>
      <c r="C27" s="266"/>
      <c r="D27" s="266"/>
      <c r="E27" s="266"/>
      <c r="F27" s="266"/>
      <c r="G27" s="266"/>
      <c r="H27" s="266"/>
    </row>
    <row r="28" spans="1:8" ht="30">
      <c r="A28" s="9" t="s">
        <v>11</v>
      </c>
      <c r="B28" s="9"/>
      <c r="C28" s="9" t="s">
        <v>11</v>
      </c>
      <c r="D28" s="9" t="s">
        <v>261</v>
      </c>
      <c r="E28" s="91" t="s">
        <v>262</v>
      </c>
      <c r="F28" s="103" t="s">
        <v>279</v>
      </c>
      <c r="G28" s="16">
        <f>G29*G30</f>
        <v>36.666666666666664</v>
      </c>
      <c r="H28" s="16"/>
    </row>
    <row r="29" spans="1:8" ht="30">
      <c r="A29" s="6" t="s">
        <v>10</v>
      </c>
      <c r="C29" s="6" t="s">
        <v>10</v>
      </c>
      <c r="D29" s="6" t="s">
        <v>194</v>
      </c>
      <c r="E29" s="93" t="s">
        <v>280</v>
      </c>
      <c r="F29" s="105" t="s">
        <v>281</v>
      </c>
      <c r="G29" s="8">
        <v>10</v>
      </c>
      <c r="H29" s="8"/>
    </row>
    <row r="30" spans="1:8" ht="30">
      <c r="A30" s="9" t="s">
        <v>10</v>
      </c>
      <c r="B30" s="9"/>
      <c r="C30" s="9" t="s">
        <v>10</v>
      </c>
      <c r="D30" s="9" t="s">
        <v>261</v>
      </c>
      <c r="E30" s="108" t="s">
        <v>282</v>
      </c>
      <c r="F30" s="103" t="s">
        <v>283</v>
      </c>
      <c r="G30" s="16">
        <f>G33</f>
        <v>3.6666666666666665</v>
      </c>
      <c r="H30" s="109" t="s">
        <v>303</v>
      </c>
    </row>
    <row r="31" spans="1:8" ht="21">
      <c r="A31" s="266" t="s">
        <v>285</v>
      </c>
      <c r="B31" s="266"/>
      <c r="C31" s="266"/>
      <c r="D31" s="266"/>
      <c r="E31" s="266"/>
      <c r="F31" s="266"/>
      <c r="G31" s="266"/>
      <c r="H31" s="266"/>
    </row>
    <row r="32" spans="1:8" ht="26.25">
      <c r="A32" s="9" t="s">
        <v>11</v>
      </c>
      <c r="B32" s="9"/>
      <c r="C32" s="9" t="s">
        <v>11</v>
      </c>
      <c r="D32" s="9" t="s">
        <v>261</v>
      </c>
      <c r="E32" s="91" t="s">
        <v>282</v>
      </c>
      <c r="F32" s="103" t="s">
        <v>286</v>
      </c>
      <c r="G32" s="16">
        <f>G34*(44/12)</f>
        <v>1.8333333333333333</v>
      </c>
      <c r="H32" s="16" t="s">
        <v>287</v>
      </c>
    </row>
    <row r="33" spans="1:8" ht="26.25">
      <c r="A33" s="9" t="s">
        <v>11</v>
      </c>
      <c r="B33" s="9"/>
      <c r="C33" s="9" t="s">
        <v>11</v>
      </c>
      <c r="D33" s="9" t="s">
        <v>261</v>
      </c>
      <c r="E33" s="91" t="s">
        <v>282</v>
      </c>
      <c r="F33" s="103" t="s">
        <v>288</v>
      </c>
      <c r="G33" s="16">
        <f>G34*G35*(44/12)</f>
        <v>3.6666666666666665</v>
      </c>
      <c r="H33" s="16" t="s">
        <v>289</v>
      </c>
    </row>
    <row r="34" spans="1:8" ht="30">
      <c r="A34" s="6" t="s">
        <v>10</v>
      </c>
      <c r="C34" s="6" t="s">
        <v>10</v>
      </c>
      <c r="D34" s="6" t="s">
        <v>194</v>
      </c>
      <c r="E34" s="93" t="s">
        <v>290</v>
      </c>
      <c r="F34" s="105" t="s">
        <v>291</v>
      </c>
      <c r="G34" s="8">
        <v>0.5</v>
      </c>
      <c r="H34" s="8"/>
    </row>
    <row r="35" spans="1:8" ht="30">
      <c r="A35" s="6" t="s">
        <v>10</v>
      </c>
      <c r="C35" s="6" t="s">
        <v>10</v>
      </c>
      <c r="D35" s="6" t="s">
        <v>194</v>
      </c>
      <c r="E35" s="93" t="s">
        <v>292</v>
      </c>
      <c r="F35" s="105" t="s">
        <v>293</v>
      </c>
      <c r="G35" s="8">
        <v>2</v>
      </c>
      <c r="H35" s="8"/>
    </row>
    <row r="36" spans="1:8" ht="21">
      <c r="A36" s="266" t="s">
        <v>294</v>
      </c>
      <c r="B36" s="266"/>
      <c r="C36" s="266"/>
      <c r="D36" s="266"/>
      <c r="E36" s="266"/>
      <c r="F36" s="266"/>
      <c r="G36" s="266"/>
      <c r="H36" s="266"/>
    </row>
    <row r="37" spans="1:8" ht="30">
      <c r="A37" s="9" t="s">
        <v>11</v>
      </c>
      <c r="B37" s="9"/>
      <c r="C37" s="9" t="s">
        <v>11</v>
      </c>
      <c r="D37" s="9" t="s">
        <v>261</v>
      </c>
      <c r="E37" s="91" t="s">
        <v>282</v>
      </c>
      <c r="F37" s="103" t="s">
        <v>283</v>
      </c>
      <c r="G37" s="16">
        <f>G38*G39</f>
        <v>11.15</v>
      </c>
      <c r="H37" s="16"/>
    </row>
    <row r="38" spans="1:8" ht="30">
      <c r="A38" s="6" t="s">
        <v>10</v>
      </c>
      <c r="C38" s="6" t="s">
        <v>10</v>
      </c>
      <c r="D38" s="6" t="s">
        <v>194</v>
      </c>
      <c r="E38" s="93" t="s">
        <v>295</v>
      </c>
      <c r="F38" s="105" t="s">
        <v>296</v>
      </c>
      <c r="G38" s="8">
        <v>0.5</v>
      </c>
      <c r="H38" s="8"/>
    </row>
    <row r="39" spans="1:8" ht="26.25">
      <c r="A39" s="6" t="s">
        <v>10</v>
      </c>
      <c r="C39" s="6" t="s">
        <v>10</v>
      </c>
      <c r="D39" s="6" t="s">
        <v>194</v>
      </c>
      <c r="E39" s="93" t="s">
        <v>297</v>
      </c>
      <c r="F39" s="105" t="s">
        <v>298</v>
      </c>
      <c r="G39" s="8">
        <v>22.3</v>
      </c>
      <c r="H39" s="8"/>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7 G25" xr:uid="{E45BBB7C-2097-974C-B169-CCA708852AAB}">
      <formula1>"Option A,Option B"</formula1>
    </dataValidation>
    <dataValidation type="list" allowBlank="1" showInputMessage="1" showErrorMessage="1" sqref="G8 G26" xr:uid="{E8F87FE6-D686-234C-90D5-F72C92537B1B}">
      <formula1>"Mass,Volume"</formula1>
    </dataValidation>
  </dataValidations>
  <pageMargins left="0.7" right="0.7" top="0.75" bottom="0.75" header="0.3" footer="0.3"/>
  <pageSetup scale="34"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702D-F68B-CA4D-AFEF-7F3320CE913A}">
  <dimension ref="A1:I87"/>
  <sheetViews>
    <sheetView workbookViewId="0">
      <pane xSplit="2" ySplit="23" topLeftCell="C80" activePane="bottomRight" state="frozen"/>
      <selection pane="bottomRight" activeCell="B33" sqref="B33"/>
      <selection pane="bottomLeft" activeCell="A19" sqref="A19"/>
      <selection pane="topRight" activeCell="B1" sqref="B1"/>
    </sheetView>
  </sheetViews>
  <sheetFormatPr defaultColWidth="8.875" defaultRowHeight="15"/>
  <cols>
    <col min="1" max="1" width="20.125" style="6" customWidth="1"/>
    <col min="2" max="2" width="122.5" style="6" customWidth="1"/>
    <col min="3" max="3" width="20.625" style="6" customWidth="1"/>
    <col min="4" max="4" width="8.875" style="6"/>
    <col min="5" max="5" width="12.875" style="6" customWidth="1"/>
    <col min="6" max="6" width="12.625" style="6" customWidth="1"/>
    <col min="7" max="7" width="16.125" style="6" customWidth="1"/>
    <col min="8" max="8" width="19" style="6" customWidth="1"/>
    <col min="9" max="16384" width="8.875" style="6"/>
  </cols>
  <sheetData>
    <row r="1" spans="1:8">
      <c r="A1" s="6" t="s">
        <v>5</v>
      </c>
      <c r="B1" s="6" t="s">
        <v>6</v>
      </c>
      <c r="C1" s="6" t="s">
        <v>7</v>
      </c>
      <c r="D1" s="6" t="s">
        <v>304</v>
      </c>
      <c r="E1" s="6" t="s">
        <v>3</v>
      </c>
      <c r="F1" s="6" t="s">
        <v>183</v>
      </c>
      <c r="G1" s="6" t="s">
        <v>182</v>
      </c>
      <c r="H1" s="6" t="s">
        <v>181</v>
      </c>
    </row>
    <row r="2" spans="1:8" s="112" customFormat="1">
      <c r="B2" s="112" t="s">
        <v>305</v>
      </c>
    </row>
    <row r="3" spans="1:8">
      <c r="B3" s="6" t="s">
        <v>306</v>
      </c>
      <c r="C3" s="6" t="s">
        <v>307</v>
      </c>
      <c r="D3" s="6" t="s">
        <v>10</v>
      </c>
      <c r="E3" s="6" t="s">
        <v>308</v>
      </c>
      <c r="G3" s="6" t="s">
        <v>11</v>
      </c>
    </row>
    <row r="4" spans="1:8">
      <c r="B4" s="6" t="s">
        <v>309</v>
      </c>
      <c r="C4" s="6" t="s">
        <v>310</v>
      </c>
      <c r="D4" s="6" t="s">
        <v>10</v>
      </c>
      <c r="E4" s="6" t="s">
        <v>308</v>
      </c>
      <c r="F4" s="6" t="s">
        <v>311</v>
      </c>
      <c r="G4" s="6" t="s">
        <v>11</v>
      </c>
    </row>
    <row r="5" spans="1:8" ht="30">
      <c r="B5" s="7" t="s">
        <v>312</v>
      </c>
      <c r="C5" s="6" t="s">
        <v>11</v>
      </c>
      <c r="D5" s="6" t="s">
        <v>10</v>
      </c>
      <c r="E5" s="6" t="s">
        <v>308</v>
      </c>
      <c r="G5" s="6" t="s">
        <v>11</v>
      </c>
    </row>
    <row r="6" spans="1:8">
      <c r="B6" s="7" t="s">
        <v>313</v>
      </c>
      <c r="C6" s="6" t="s">
        <v>11</v>
      </c>
      <c r="D6" s="6" t="s">
        <v>10</v>
      </c>
      <c r="E6" s="6" t="s">
        <v>308</v>
      </c>
      <c r="G6" s="6" t="s">
        <v>11</v>
      </c>
    </row>
    <row r="7" spans="1:8">
      <c r="B7" s="7" t="s">
        <v>314</v>
      </c>
      <c r="C7" s="6" t="s">
        <v>10</v>
      </c>
      <c r="D7" s="6" t="s">
        <v>10</v>
      </c>
      <c r="E7" s="6" t="s">
        <v>308</v>
      </c>
      <c r="G7" s="6" t="s">
        <v>11</v>
      </c>
    </row>
    <row r="8" spans="1:8">
      <c r="B8" s="6" t="s">
        <v>315</v>
      </c>
      <c r="C8" s="6" t="s">
        <v>316</v>
      </c>
      <c r="D8" s="6" t="s">
        <v>10</v>
      </c>
      <c r="E8" s="6" t="s">
        <v>308</v>
      </c>
      <c r="G8" s="6" t="s">
        <v>11</v>
      </c>
    </row>
    <row r="9" spans="1:8">
      <c r="B9" s="6" t="s">
        <v>317</v>
      </c>
      <c r="C9" s="6" t="s">
        <v>318</v>
      </c>
      <c r="D9" s="6" t="s">
        <v>10</v>
      </c>
      <c r="E9" s="6" t="s">
        <v>308</v>
      </c>
      <c r="G9" s="6" t="s">
        <v>11</v>
      </c>
    </row>
    <row r="10" spans="1:8">
      <c r="B10" s="6" t="s">
        <v>319</v>
      </c>
      <c r="C10" s="6" t="s">
        <v>320</v>
      </c>
      <c r="D10" s="6" t="s">
        <v>10</v>
      </c>
      <c r="E10" s="6" t="s">
        <v>308</v>
      </c>
      <c r="G10" s="6" t="s">
        <v>11</v>
      </c>
    </row>
    <row r="11" spans="1:8" ht="30">
      <c r="B11" s="18" t="s">
        <v>321</v>
      </c>
      <c r="C11" s="6" t="s">
        <v>322</v>
      </c>
      <c r="D11" s="6" t="str">
        <f>IF(C8="Option 2 (Estimated)","Yes","NA")</f>
        <v>NA</v>
      </c>
      <c r="E11" s="6" t="s">
        <v>308</v>
      </c>
      <c r="G11" s="6" t="s">
        <v>11</v>
      </c>
    </row>
    <row r="12" spans="1:8">
      <c r="B12" s="18" t="s">
        <v>323</v>
      </c>
      <c r="C12" s="6" t="s">
        <v>11</v>
      </c>
      <c r="D12" s="6" t="str">
        <f>IF(C8="Option 2 (Estimated)","Yes","NA")</f>
        <v>NA</v>
      </c>
      <c r="E12" s="6" t="s">
        <v>308</v>
      </c>
      <c r="G12" s="6" t="s">
        <v>11</v>
      </c>
    </row>
    <row r="13" spans="1:8">
      <c r="B13" s="18" t="s">
        <v>324</v>
      </c>
      <c r="C13" s="6" t="s">
        <v>10</v>
      </c>
      <c r="D13" s="6" t="str">
        <f>IF(C8="Option 2 (Estimated)","Yes","NA")</f>
        <v>NA</v>
      </c>
      <c r="E13" s="6" t="s">
        <v>308</v>
      </c>
      <c r="G13" s="6" t="s">
        <v>11</v>
      </c>
    </row>
    <row r="14" spans="1:8">
      <c r="B14" s="18" t="s">
        <v>325</v>
      </c>
      <c r="C14" s="6" t="s">
        <v>326</v>
      </c>
      <c r="D14" s="6" t="str">
        <f>IF(C8="Option 2 (Estimated)","Yes","NA")</f>
        <v>NA</v>
      </c>
      <c r="E14" s="6" t="s">
        <v>308</v>
      </c>
      <c r="G14" s="6" t="s">
        <v>11</v>
      </c>
    </row>
    <row r="15" spans="1:8">
      <c r="B15" s="18" t="s">
        <v>327</v>
      </c>
      <c r="C15" s="6" t="s">
        <v>10</v>
      </c>
      <c r="D15" s="6" t="str">
        <f>IF(C8="Option 2 (Estimated)","Yes","NA")</f>
        <v>NA</v>
      </c>
      <c r="E15" s="6" t="s">
        <v>308</v>
      </c>
      <c r="G15" s="6" t="s">
        <v>11</v>
      </c>
    </row>
    <row r="16" spans="1:8">
      <c r="B16" s="18" t="s">
        <v>328</v>
      </c>
      <c r="C16" s="6" t="s">
        <v>11</v>
      </c>
      <c r="D16" s="6" t="str">
        <f>IF(C8="Option 2 (Estimated)","Yes","NA")</f>
        <v>NA</v>
      </c>
      <c r="E16" s="6" t="s">
        <v>308</v>
      </c>
      <c r="G16" s="6" t="s">
        <v>11</v>
      </c>
    </row>
    <row r="17" spans="2:7">
      <c r="B17" s="18" t="s">
        <v>329</v>
      </c>
      <c r="C17" s="6" t="s">
        <v>330</v>
      </c>
      <c r="D17" s="6" t="str">
        <f>IF(AND(C4="Application B",C6="Yes"),"Yes","No")</f>
        <v>No</v>
      </c>
      <c r="E17" s="6" t="s">
        <v>308</v>
      </c>
      <c r="G17" s="6" t="s">
        <v>11</v>
      </c>
    </row>
    <row r="18" spans="2:7">
      <c r="B18" s="18" t="s">
        <v>331</v>
      </c>
      <c r="C18" s="6" t="s">
        <v>11</v>
      </c>
      <c r="D18" s="6" t="str">
        <f>IF(C4="Application B","Yes","NA")</f>
        <v>Yes</v>
      </c>
      <c r="E18" s="6" t="s">
        <v>308</v>
      </c>
      <c r="G18" s="6" t="s">
        <v>11</v>
      </c>
    </row>
    <row r="19" spans="2:7">
      <c r="B19" s="18" t="s">
        <v>332</v>
      </c>
      <c r="C19" s="6" t="s">
        <v>333</v>
      </c>
      <c r="D19" s="6" t="str">
        <f>IF(AND(C4="Application B",C18="Yes"),"NA","Yes")</f>
        <v>Yes</v>
      </c>
      <c r="E19" s="6" t="s">
        <v>308</v>
      </c>
      <c r="G19" s="6" t="s">
        <v>11</v>
      </c>
    </row>
    <row r="20" spans="2:7">
      <c r="B20" s="6" t="s">
        <v>334</v>
      </c>
      <c r="C20" s="6" t="s">
        <v>335</v>
      </c>
      <c r="D20" s="6" t="s">
        <v>10</v>
      </c>
      <c r="E20" s="6" t="s">
        <v>308</v>
      </c>
      <c r="F20" s="6" t="s">
        <v>336</v>
      </c>
      <c r="G20" s="6" t="s">
        <v>11</v>
      </c>
    </row>
    <row r="21" spans="2:7">
      <c r="B21" s="18" t="s">
        <v>337</v>
      </c>
      <c r="C21" s="6" t="s">
        <v>338</v>
      </c>
      <c r="D21" s="6" t="str">
        <f>IF(C20="Default","Yes","NA")</f>
        <v>Yes</v>
      </c>
      <c r="E21" s="6" t="s">
        <v>308</v>
      </c>
      <c r="G21" s="6" t="s">
        <v>11</v>
      </c>
    </row>
    <row r="22" spans="2:7">
      <c r="B22" s="18" t="s">
        <v>339</v>
      </c>
      <c r="D22" s="6" t="str">
        <f>IF(C21="Other","Yes","NA")</f>
        <v>NA</v>
      </c>
      <c r="E22" s="6" t="s">
        <v>308</v>
      </c>
      <c r="G22" s="6" t="s">
        <v>11</v>
      </c>
    </row>
    <row r="23" spans="2:7">
      <c r="B23" s="18" t="s">
        <v>340</v>
      </c>
      <c r="C23" s="6" t="s">
        <v>11</v>
      </c>
      <c r="D23" s="6" t="s">
        <v>10</v>
      </c>
      <c r="E23" s="6" t="s">
        <v>308</v>
      </c>
      <c r="G23" s="6" t="s">
        <v>11</v>
      </c>
    </row>
    <row r="24" spans="2:7" s="112" customFormat="1">
      <c r="B24" s="112" t="s">
        <v>341</v>
      </c>
    </row>
    <row r="25" spans="2:7">
      <c r="B25" s="102" t="s">
        <v>342</v>
      </c>
    </row>
    <row r="26" spans="2:7">
      <c r="B26" s="6" t="s">
        <v>343</v>
      </c>
      <c r="C26" s="9">
        <f>IF(C8="Option 2 (Estimated)","NA",IF(C4="Application A",0.75,IF(AND(C4="Application B",C9="Humid/wet conditions"),0.85,IF(AND(C4="Application B",C9="Dry conditions"),0.8,))))</f>
        <v>0.85</v>
      </c>
      <c r="D26" s="6" t="str">
        <f>IF(C8="Option 1 (Default)","Yes","NA")</f>
        <v>Yes</v>
      </c>
      <c r="E26" s="6" t="s">
        <v>344</v>
      </c>
      <c r="G26" s="6" t="s">
        <v>11</v>
      </c>
    </row>
    <row r="27" spans="2:7">
      <c r="B27" s="102" t="s">
        <v>345</v>
      </c>
    </row>
    <row r="28" spans="2:7">
      <c r="B28" s="6" t="s">
        <v>346</v>
      </c>
      <c r="C28" s="113" t="str">
        <f>IF(C8="Option 1 (Default)","NA",IF(C11="Weighed",0.02,IF(C11="Estimated",0.1)))</f>
        <v>NA</v>
      </c>
      <c r="D28" s="6" t="str">
        <f>IF(C8="Option 2 (Estimated)","Yes","NA")</f>
        <v>NA</v>
      </c>
      <c r="E28" s="6" t="s">
        <v>344</v>
      </c>
      <c r="G28" s="6" t="s">
        <v>11</v>
      </c>
    </row>
    <row r="29" spans="2:7">
      <c r="B29" s="6" t="s">
        <v>347</v>
      </c>
      <c r="C29" s="113" t="str">
        <f>IF(C8="Option 1 (Default)","NA",IF(C20="Measure",0.05,IF(C20="Default",0.1)))</f>
        <v>NA</v>
      </c>
      <c r="D29" s="6" t="str">
        <f>IF(C8="Option 2 (Estimated)","Yes","NA")</f>
        <v>NA</v>
      </c>
      <c r="E29" s="6" t="s">
        <v>344</v>
      </c>
      <c r="G29" s="6" t="s">
        <v>11</v>
      </c>
    </row>
    <row r="30" spans="2:7">
      <c r="B30" s="6" t="s">
        <v>348</v>
      </c>
      <c r="C30" s="113" t="str">
        <f>IF(C8="Option 1 (Default)","NA",IF(OR(C12="Yes",C13="Yes"),0.05,0.15))</f>
        <v>NA</v>
      </c>
      <c r="D30" s="6" t="str">
        <f>IF(C8="Option 2 (Estimated)","Yes","NA")</f>
        <v>NA</v>
      </c>
      <c r="E30" s="6" t="s">
        <v>344</v>
      </c>
      <c r="G30" s="6" t="s">
        <v>11</v>
      </c>
    </row>
    <row r="31" spans="2:7">
      <c r="B31" s="6" t="s">
        <v>349</v>
      </c>
      <c r="C31" s="113" t="str">
        <f>IF(C8="Option 1 (Default)","NA",IF(C12="Yes",0,0.05))</f>
        <v>NA</v>
      </c>
      <c r="D31" s="6" t="str">
        <f>IF(C8="Option 2 (Estimated)","Yes","NA")</f>
        <v>NA</v>
      </c>
      <c r="E31" s="6" t="s">
        <v>344</v>
      </c>
      <c r="G31" s="6" t="s">
        <v>11</v>
      </c>
    </row>
    <row r="32" spans="2:7">
      <c r="B32" s="6" t="s">
        <v>350</v>
      </c>
      <c r="C32" s="113" t="str">
        <f>IF(C8="Option 1 (Default)","NA",IF(C14="Managed",0,IF(C14="Unmanaged",0.5)))</f>
        <v>NA</v>
      </c>
      <c r="D32" s="6" t="str">
        <f>IF(C8="Option 2 (Estimated)","Yes","NA")</f>
        <v>NA</v>
      </c>
      <c r="E32" s="6" t="s">
        <v>344</v>
      </c>
      <c r="G32" s="6" t="s">
        <v>11</v>
      </c>
    </row>
    <row r="33" spans="1:7" ht="17.25">
      <c r="B33" s="6" t="s">
        <v>351</v>
      </c>
      <c r="C33" s="113" t="str">
        <f>IF(C8="Option 1 (Default)","NA",IF(AND(C4="Application B",C15="Yes",C84&gt;0.2),0.05,IF(AND(C4="Application A",C16="Yes"),0.05,0.2)))</f>
        <v>NA</v>
      </c>
      <c r="D33" s="6" t="str">
        <f>IF(C8="Option 2 (Estimated)","Yes","NA")</f>
        <v>NA</v>
      </c>
      <c r="E33" s="6" t="s">
        <v>344</v>
      </c>
      <c r="G33" s="6" t="s">
        <v>11</v>
      </c>
    </row>
    <row r="34" spans="1:7">
      <c r="A34" s="6" t="s">
        <v>352</v>
      </c>
      <c r="B34" s="6" t="s">
        <v>353</v>
      </c>
      <c r="C34" s="9" t="str">
        <f>IF(C8="Option 1 (Default)","NA",SQRT(C28^2+C29^2+C30^2+C31^2+C32^2+C33^2))</f>
        <v>NA</v>
      </c>
      <c r="D34" s="6" t="str">
        <f>IF(C8="Option 2 (Estimated)","Yes","NA")</f>
        <v>NA</v>
      </c>
      <c r="E34" s="6" t="s">
        <v>344</v>
      </c>
      <c r="G34" s="6" t="s">
        <v>11</v>
      </c>
    </row>
    <row r="35" spans="1:7">
      <c r="A35" s="6" t="s">
        <v>354</v>
      </c>
      <c r="B35" s="6" t="s">
        <v>355</v>
      </c>
      <c r="C35" s="9" t="str">
        <f>IF(C8="Option 1 (Default)","NA",1/(1+C34))</f>
        <v>NA</v>
      </c>
      <c r="D35" s="6" t="str">
        <f>IF(C8="Option 2 (Estimated)","Yes","NA")</f>
        <v>NA</v>
      </c>
      <c r="E35" s="6" t="s">
        <v>344</v>
      </c>
      <c r="G35" s="6" t="s">
        <v>11</v>
      </c>
    </row>
    <row r="36" spans="1:7" s="112" customFormat="1">
      <c r="B36" s="112" t="s">
        <v>356</v>
      </c>
    </row>
    <row r="37" spans="1:7">
      <c r="B37" s="102" t="s">
        <v>357</v>
      </c>
    </row>
    <row r="38" spans="1:7">
      <c r="A38" s="6" t="s">
        <v>358</v>
      </c>
      <c r="B38" s="6" t="s">
        <v>359</v>
      </c>
      <c r="D38" s="6" t="str">
        <f>IF(C4="Application A","Yes","NA")</f>
        <v>NA</v>
      </c>
      <c r="E38" s="6" t="s">
        <v>194</v>
      </c>
      <c r="G38" s="6" t="s">
        <v>11</v>
      </c>
    </row>
    <row r="39" spans="1:7">
      <c r="B39" s="102" t="s">
        <v>310</v>
      </c>
    </row>
    <row r="40" spans="1:7">
      <c r="A40" s="6" t="s">
        <v>360</v>
      </c>
      <c r="B40" s="7" t="s">
        <v>361</v>
      </c>
      <c r="D40" s="6" t="str">
        <f>IF(AND(C4="Application B",C23="No"),"Yes","NA")</f>
        <v>Yes</v>
      </c>
      <c r="E40" s="6" t="s">
        <v>194</v>
      </c>
      <c r="G40" s="6" t="s">
        <v>10</v>
      </c>
    </row>
    <row r="41" spans="1:7">
      <c r="B41" s="114" t="s">
        <v>362</v>
      </c>
    </row>
    <row r="42" spans="1:7">
      <c r="A42" s="6" t="s">
        <v>363</v>
      </c>
      <c r="B42" s="7" t="s">
        <v>364</v>
      </c>
      <c r="D42" s="6" t="str">
        <f>IF(AND(C4="Application B",C23="No"),"Yes","NA")</f>
        <v>Yes</v>
      </c>
      <c r="E42" s="6" t="s">
        <v>194</v>
      </c>
      <c r="G42" s="6" t="s">
        <v>11</v>
      </c>
    </row>
    <row r="43" spans="1:7">
      <c r="A43" s="6" t="s">
        <v>365</v>
      </c>
      <c r="B43" s="6" t="s">
        <v>366</v>
      </c>
      <c r="D43" s="6" t="str">
        <f>IF(C4="Application B","Yes","NA")</f>
        <v>Yes</v>
      </c>
      <c r="E43" s="6" t="s">
        <v>194</v>
      </c>
      <c r="G43" s="6" t="s">
        <v>11</v>
      </c>
    </row>
    <row r="44" spans="1:7">
      <c r="A44" s="6" t="s">
        <v>367</v>
      </c>
      <c r="B44" s="6" t="s">
        <v>368</v>
      </c>
      <c r="C44" s="9" t="e">
        <f>IF(C4="Application A","NA",C40/C42)</f>
        <v>#DIV/0!</v>
      </c>
      <c r="D44" s="6" t="str">
        <f>IF(AND(C4="Application B",C23="No"),"Yes","NA")</f>
        <v>Yes</v>
      </c>
      <c r="E44" s="6" t="s">
        <v>344</v>
      </c>
      <c r="G44" s="6" t="s">
        <v>11</v>
      </c>
    </row>
    <row r="45" spans="1:7">
      <c r="A45" s="6" t="s">
        <v>369</v>
      </c>
      <c r="B45" s="6" t="s">
        <v>370</v>
      </c>
      <c r="C45" s="9" t="e">
        <f>IF(C4="Application A","NA",C43*C44)</f>
        <v>#DIV/0!</v>
      </c>
      <c r="D45" s="6" t="str">
        <f>IF(AND(C4="Application B",C23="No"),"Yes","NA")</f>
        <v>Yes</v>
      </c>
      <c r="E45" s="6" t="s">
        <v>344</v>
      </c>
      <c r="G45" s="6" t="s">
        <v>11</v>
      </c>
    </row>
    <row r="46" spans="1:7" s="112" customFormat="1">
      <c r="B46" s="112" t="s">
        <v>371</v>
      </c>
    </row>
    <row r="47" spans="1:7">
      <c r="B47" s="102" t="s">
        <v>335</v>
      </c>
    </row>
    <row r="48" spans="1:7">
      <c r="A48" s="6" t="s">
        <v>372</v>
      </c>
      <c r="B48" s="6" t="s">
        <v>373</v>
      </c>
      <c r="C48" s="9" t="str">
        <f>IF(AND(C4="Application B",C6="Yes",C17="Default"),0.05,IF((C4="Application A"),0.05,"NA"))</f>
        <v>NA</v>
      </c>
      <c r="D48" s="6" t="str">
        <f>IF(AND(C4="Application B",C6="Yes",C17="Default"),"Yes",IF((C4="Application A"),"Yes","NA"))</f>
        <v>NA</v>
      </c>
      <c r="E48" s="6" t="s">
        <v>344</v>
      </c>
      <c r="G48" s="6" t="s">
        <v>11</v>
      </c>
    </row>
    <row r="49" spans="1:9">
      <c r="B49" s="102" t="s">
        <v>374</v>
      </c>
    </row>
    <row r="50" spans="1:9">
      <c r="A50" s="6" t="s">
        <v>375</v>
      </c>
      <c r="B50" s="8" t="s">
        <v>376</v>
      </c>
      <c r="D50" s="6" t="str">
        <f>IF(AND(C4="Application B",C6="yes",C17="Measure"),"Yes","NA")</f>
        <v>NA</v>
      </c>
      <c r="E50" s="6" t="s">
        <v>194</v>
      </c>
      <c r="G50" s="6" t="s">
        <v>11</v>
      </c>
    </row>
    <row r="51" spans="1:9">
      <c r="A51" s="6" t="s">
        <v>377</v>
      </c>
      <c r="B51" s="6" t="s">
        <v>378</v>
      </c>
      <c r="D51" s="6" t="str">
        <f>IF(AND(C4="Application B",C6="yes",C17="Measure"),"Yes","NA")</f>
        <v>NA</v>
      </c>
      <c r="E51" s="6" t="s">
        <v>194</v>
      </c>
      <c r="G51" s="6" t="s">
        <v>11</v>
      </c>
    </row>
    <row r="52" spans="1:9">
      <c r="A52" s="6" t="s">
        <v>379</v>
      </c>
      <c r="B52" s="6" t="s">
        <v>380</v>
      </c>
      <c r="D52" s="6" t="str">
        <f>IF(AND(C4="Application B",C6="yes",C17="Measure"),"Yes","NA")</f>
        <v>NA</v>
      </c>
      <c r="E52" s="6" t="s">
        <v>194</v>
      </c>
      <c r="G52" s="6" t="s">
        <v>11</v>
      </c>
    </row>
    <row r="53" spans="1:9">
      <c r="A53" s="6" t="s">
        <v>381</v>
      </c>
      <c r="B53" s="6" t="s">
        <v>382</v>
      </c>
      <c r="D53" s="6" t="str">
        <f>IF(AND(C4="Application B",C6="yes",C17="Measure"),"Yes","NA")</f>
        <v>NA</v>
      </c>
      <c r="E53" s="6" t="s">
        <v>194</v>
      </c>
      <c r="G53" s="6" t="s">
        <v>11</v>
      </c>
    </row>
    <row r="54" spans="1:9">
      <c r="A54" s="6" t="s">
        <v>383</v>
      </c>
      <c r="B54" s="6" t="s">
        <v>373</v>
      </c>
      <c r="C54" s="9" t="str">
        <f>IF(AND(C4="Application B",C6="Yes",C17="Measure"),0.7*(12/16)*C50/C51*(C52*C53),"NA")</f>
        <v>NA</v>
      </c>
      <c r="D54" s="6" t="str">
        <f>IF(AND(C4="Application B",C6="yes",C17="Measure"),"Yes","NA")</f>
        <v>NA</v>
      </c>
      <c r="E54" s="6" t="s">
        <v>344</v>
      </c>
      <c r="G54" s="6" t="s">
        <v>11</v>
      </c>
    </row>
    <row r="55" spans="1:9">
      <c r="B55" s="102" t="s">
        <v>384</v>
      </c>
    </row>
    <row r="56" spans="1:9">
      <c r="A56" s="6" t="s">
        <v>385</v>
      </c>
      <c r="B56" s="18" t="s">
        <v>386</v>
      </c>
      <c r="D56" s="6" t="str">
        <f>IF(AND(C4="Application B",C7="yes"),"Yes","NA")</f>
        <v>Yes</v>
      </c>
      <c r="E56" s="6" t="s">
        <v>194</v>
      </c>
      <c r="G56" s="6" t="s">
        <v>11</v>
      </c>
    </row>
    <row r="57" spans="1:9">
      <c r="A57" s="6" t="s">
        <v>377</v>
      </c>
      <c r="B57" s="6" t="s">
        <v>378</v>
      </c>
      <c r="D57" s="6" t="str">
        <f>IF(AND(C4="Application B",C7="yes"),"Yes","NA")</f>
        <v>Yes</v>
      </c>
      <c r="E57" s="6" t="s">
        <v>194</v>
      </c>
      <c r="G57" s="6" t="s">
        <v>11</v>
      </c>
      <c r="I57" s="8"/>
    </row>
    <row r="58" spans="1:9">
      <c r="A58" s="6" t="s">
        <v>381</v>
      </c>
      <c r="B58" s="6" t="s">
        <v>382</v>
      </c>
      <c r="D58" s="6" t="str">
        <f>IF(AND(C4="Application B",C7="yes"),"Yes","NA")</f>
        <v>Yes</v>
      </c>
      <c r="E58" s="6" t="s">
        <v>194</v>
      </c>
      <c r="G58" s="6" t="s">
        <v>11</v>
      </c>
    </row>
    <row r="59" spans="1:9">
      <c r="A59" s="6" t="s">
        <v>383</v>
      </c>
      <c r="B59" s="8" t="s">
        <v>373</v>
      </c>
      <c r="C59" s="9" t="e">
        <f>IF(AND(C4="Application B",C7="Yes"),0.7*(12/16)*C56/(C57*C58),"NA")</f>
        <v>#DIV/0!</v>
      </c>
      <c r="D59" s="6" t="str">
        <f>IF(AND(C4="Application B",C7="yes"),"Yes","NA")</f>
        <v>Yes</v>
      </c>
      <c r="E59" s="6" t="s">
        <v>344</v>
      </c>
      <c r="G59" s="6" t="s">
        <v>11</v>
      </c>
    </row>
    <row r="60" spans="1:9" s="112" customFormat="1">
      <c r="B60" s="112" t="s">
        <v>387</v>
      </c>
    </row>
    <row r="61" spans="1:9">
      <c r="B61" s="102" t="s">
        <v>335</v>
      </c>
    </row>
    <row r="62" spans="1:9">
      <c r="A62" s="6" t="s">
        <v>388</v>
      </c>
      <c r="B62" s="6" t="s">
        <v>389</v>
      </c>
      <c r="C62" s="9">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s="6" t="str">
        <f>IF(AND(C4="Application B",C18="Yes"),"NA","Yes")</f>
        <v>Yes</v>
      </c>
      <c r="E62" s="6" t="s">
        <v>344</v>
      </c>
      <c r="G62" s="6" t="s">
        <v>11</v>
      </c>
    </row>
    <row r="63" spans="1:9">
      <c r="B63" s="102" t="s">
        <v>390</v>
      </c>
    </row>
    <row r="64" spans="1:9">
      <c r="A64" s="6" t="s">
        <v>391</v>
      </c>
      <c r="B64" s="6" t="s">
        <v>392</v>
      </c>
      <c r="D64" s="6" t="str">
        <f>IF(AND(C4="Application B",C18="Yes"),"Yes","NA")</f>
        <v>NA</v>
      </c>
      <c r="E64" s="6" t="s">
        <v>194</v>
      </c>
      <c r="G64" s="6" t="s">
        <v>11</v>
      </c>
    </row>
    <row r="65" spans="1:7">
      <c r="A65" s="6" t="s">
        <v>393</v>
      </c>
      <c r="B65" s="6" t="s">
        <v>394</v>
      </c>
      <c r="D65" s="6" t="str">
        <f>IF(AND(C4="Application B",C18="Yes"),"Yes","NA")</f>
        <v>NA</v>
      </c>
      <c r="E65" s="6" t="s">
        <v>194</v>
      </c>
      <c r="G65" s="6" t="s">
        <v>11</v>
      </c>
    </row>
    <row r="66" spans="1:7">
      <c r="A66" s="6" t="s">
        <v>395</v>
      </c>
      <c r="B66" s="6" t="s">
        <v>389</v>
      </c>
      <c r="C66" s="9" t="str">
        <f>IF(AND(C4="Application B",C18="yes"),MAX((1-2/C65),C64/C65), "NA")</f>
        <v>NA</v>
      </c>
      <c r="D66" s="6" t="str">
        <f>IF(AND(C4="Application B",C18="Yes"),"Yes","NA")</f>
        <v>NA</v>
      </c>
      <c r="E66" s="6" t="s">
        <v>344</v>
      </c>
      <c r="G66" s="6" t="s">
        <v>11</v>
      </c>
    </row>
    <row r="67" spans="1:7" s="112" customFormat="1">
      <c r="B67" s="112" t="s">
        <v>396</v>
      </c>
    </row>
    <row r="68" spans="1:7">
      <c r="B68" s="102" t="s">
        <v>335</v>
      </c>
    </row>
    <row r="69" spans="1:7">
      <c r="A69" s="6" t="s">
        <v>397</v>
      </c>
      <c r="B69" s="6" t="s">
        <v>382</v>
      </c>
      <c r="C69" s="113">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s="6" t="str">
        <f>IF(AND(C4="Application B",C20="Measure"),"NA","Yes")</f>
        <v>Yes</v>
      </c>
      <c r="E69" s="6" t="s">
        <v>344</v>
      </c>
      <c r="G69" s="6" t="s">
        <v>11</v>
      </c>
    </row>
    <row r="70" spans="1:7">
      <c r="B70" s="102" t="s">
        <v>398</v>
      </c>
    </row>
    <row r="71" spans="1:7">
      <c r="A71" s="6" t="s">
        <v>399</v>
      </c>
      <c r="B71" s="6" t="s">
        <v>382</v>
      </c>
      <c r="D71" s="6" t="str">
        <f>IF(AND(C4="Application B",C20="Measure"),"Yes","NA")</f>
        <v>NA</v>
      </c>
      <c r="E71" s="6" t="s">
        <v>194</v>
      </c>
      <c r="G71" s="6" t="s">
        <v>11</v>
      </c>
    </row>
    <row r="72" spans="1:7" s="112" customFormat="1" ht="18.75">
      <c r="B72" s="115" t="s">
        <v>400</v>
      </c>
    </row>
    <row r="73" spans="1:7">
      <c r="A73" s="6" t="s">
        <v>401</v>
      </c>
      <c r="B73" s="7" t="s">
        <v>402</v>
      </c>
      <c r="D73" s="6" t="s">
        <v>10</v>
      </c>
      <c r="E73" s="6" t="s">
        <v>194</v>
      </c>
      <c r="G73" s="6" t="s">
        <v>11</v>
      </c>
    </row>
    <row r="74" spans="1:7">
      <c r="A74" s="6" t="s">
        <v>403</v>
      </c>
      <c r="B74" s="6" t="s">
        <v>404</v>
      </c>
      <c r="D74" s="6" t="s">
        <v>10</v>
      </c>
      <c r="E74" s="6" t="s">
        <v>194</v>
      </c>
      <c r="G74" s="6" t="s">
        <v>11</v>
      </c>
    </row>
    <row r="75" spans="1:7">
      <c r="A75" s="6" t="s">
        <v>383</v>
      </c>
      <c r="B75" s="6" t="s">
        <v>373</v>
      </c>
      <c r="C75" s="9" t="e">
        <f>IF(C4="Application A",C48,IF(AND(C4="Application B",C6="Yes",C17="Default"),C48,IF(AND(C4="Application B",C6="Yes",C17="Measure"),C54, IF(AND(C4="Application B",C7="Yes",C17="Measure"),C59))))</f>
        <v>#DIV/0!</v>
      </c>
      <c r="D75" s="6" t="s">
        <v>10</v>
      </c>
      <c r="E75" s="6" t="s">
        <v>344</v>
      </c>
      <c r="G75" s="6" t="s">
        <v>11</v>
      </c>
    </row>
    <row r="76" spans="1:7">
      <c r="A76" s="6" t="s">
        <v>405</v>
      </c>
      <c r="B76" s="6" t="s">
        <v>370</v>
      </c>
      <c r="C76" s="9" t="e">
        <f>IF(C4="Application A",C38,IF(AND(C4="Application B",C23="No"),C45,IF(AND(C4="Application B",C23="Yes"),C43)))</f>
        <v>#DIV/0!</v>
      </c>
      <c r="D76" s="6" t="s">
        <v>10</v>
      </c>
      <c r="E76" s="6" t="s">
        <v>344</v>
      </c>
      <c r="G76" s="6" t="s">
        <v>11</v>
      </c>
    </row>
    <row r="77" spans="1:7">
      <c r="A77" s="6" t="s">
        <v>354</v>
      </c>
      <c r="B77" s="6" t="s">
        <v>355</v>
      </c>
      <c r="C77" s="9">
        <f>IF(C8="Option 1 (Default)",C26,C35)</f>
        <v>0.85</v>
      </c>
      <c r="D77" s="6" t="s">
        <v>10</v>
      </c>
      <c r="E77" s="6" t="s">
        <v>344</v>
      </c>
      <c r="G77" s="6" t="s">
        <v>11</v>
      </c>
    </row>
    <row r="78" spans="1:7" ht="15.75" thickBot="1">
      <c r="A78" s="6" t="s">
        <v>406</v>
      </c>
      <c r="B78" s="6" t="s">
        <v>407</v>
      </c>
      <c r="D78" s="6" t="s">
        <v>10</v>
      </c>
      <c r="E78" s="6" t="s">
        <v>194</v>
      </c>
      <c r="G78" s="6" t="s">
        <v>11</v>
      </c>
    </row>
    <row r="79" spans="1:7" ht="15.75" thickBot="1">
      <c r="A79" s="6" t="s">
        <v>408</v>
      </c>
      <c r="B79" s="6" t="s">
        <v>409</v>
      </c>
      <c r="C79" s="97">
        <v>28</v>
      </c>
      <c r="D79" s="6" t="s">
        <v>10</v>
      </c>
      <c r="E79" s="6" t="s">
        <v>410</v>
      </c>
      <c r="G79" s="6" t="s">
        <v>11</v>
      </c>
    </row>
    <row r="80" spans="1:7" ht="15.75" thickBot="1">
      <c r="A80" s="6" t="s">
        <v>411</v>
      </c>
      <c r="B80" s="6" t="s">
        <v>412</v>
      </c>
      <c r="C80" s="97">
        <v>0.1</v>
      </c>
      <c r="D80" s="6" t="s">
        <v>10</v>
      </c>
      <c r="E80" s="6" t="s">
        <v>410</v>
      </c>
      <c r="G80" s="6" t="s">
        <v>11</v>
      </c>
    </row>
    <row r="81" spans="1:7" ht="15.75" thickBot="1">
      <c r="A81" s="6" t="s">
        <v>377</v>
      </c>
      <c r="B81" s="6" t="s">
        <v>378</v>
      </c>
      <c r="C81" s="97">
        <v>0.5</v>
      </c>
      <c r="D81" s="6" t="s">
        <v>10</v>
      </c>
      <c r="E81" s="6" t="s">
        <v>410</v>
      </c>
      <c r="G81" s="6" t="s">
        <v>11</v>
      </c>
    </row>
    <row r="82" spans="1:7">
      <c r="A82" s="6" t="s">
        <v>413</v>
      </c>
      <c r="B82" s="6" t="s">
        <v>389</v>
      </c>
      <c r="C82" s="9">
        <f>IF(AND(C4="Application B",C18="Yes"),C66,C62)</f>
        <v>0.8</v>
      </c>
      <c r="D82" s="6" t="s">
        <v>10</v>
      </c>
      <c r="E82" s="6" t="s">
        <v>344</v>
      </c>
      <c r="G82" s="6" t="s">
        <v>11</v>
      </c>
    </row>
    <row r="83" spans="1:7">
      <c r="A83" s="6" t="s">
        <v>399</v>
      </c>
      <c r="B83" s="6" t="s">
        <v>382</v>
      </c>
      <c r="C83" s="113">
        <f>IF(C20="Default",C69,C71)</f>
        <v>0.4</v>
      </c>
      <c r="D83" s="6" t="s">
        <v>10</v>
      </c>
      <c r="E83" s="6" t="s">
        <v>344</v>
      </c>
      <c r="G83" s="6" t="s">
        <v>11</v>
      </c>
    </row>
    <row r="84" spans="1:7">
      <c r="A84" s="6" t="s">
        <v>414</v>
      </c>
      <c r="B84" s="6" t="s">
        <v>415</v>
      </c>
      <c r="C84" s="9">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s="6" t="s">
        <v>10</v>
      </c>
      <c r="E84" s="6" t="s">
        <v>344</v>
      </c>
      <c r="F84" s="6" t="s">
        <v>416</v>
      </c>
      <c r="G84" s="6" t="s">
        <v>11</v>
      </c>
    </row>
    <row r="85" spans="1:7">
      <c r="A85" s="6" t="s">
        <v>136</v>
      </c>
      <c r="B85" s="6" t="s">
        <v>417</v>
      </c>
      <c r="C85" s="9" t="str">
        <f>IF(C21="Other",C22,C21)</f>
        <v>Pulp, paper and cardboard (other than sludge)</v>
      </c>
      <c r="D85" s="6" t="s">
        <v>10</v>
      </c>
      <c r="E85" s="6" t="s">
        <v>344</v>
      </c>
      <c r="G85" s="6" t="s">
        <v>11</v>
      </c>
    </row>
    <row r="86" spans="1:7">
      <c r="A86" s="6" t="s">
        <v>418</v>
      </c>
      <c r="B86" s="6" t="s">
        <v>419</v>
      </c>
      <c r="C86" s="9" t="e">
        <f>C77*(1-C78)*C79*(1-C80)*(16/12)*C81*C75*C82*(C76*C83*EXP(-C84*(C74-C73))*(1-EXP(-C84)))</f>
        <v>#DIV/0!</v>
      </c>
      <c r="D86" s="6" t="s">
        <v>10</v>
      </c>
      <c r="E86" s="6" t="s">
        <v>344</v>
      </c>
      <c r="G86" s="6" t="s">
        <v>11</v>
      </c>
    </row>
    <row r="87" spans="1:7">
      <c r="B87" s="116" t="s">
        <v>420</v>
      </c>
      <c r="F87" s="6" t="s">
        <v>421</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48451-E758-6948-BD06-7127B9C0D37B}">
  <dimension ref="A1:D8"/>
  <sheetViews>
    <sheetView workbookViewId="0">
      <selection activeCell="F24" sqref="F24"/>
    </sheetView>
  </sheetViews>
  <sheetFormatPr defaultColWidth="8.875" defaultRowHeight="15"/>
  <cols>
    <col min="1" max="1" width="14.5" style="98" customWidth="1"/>
    <col min="2" max="2" width="26.5" style="6" customWidth="1"/>
    <col min="3" max="3" width="23.625" style="6" customWidth="1"/>
    <col min="4" max="4" width="25.125" style="6" customWidth="1"/>
    <col min="5" max="16384" width="8.875" style="6"/>
  </cols>
  <sheetData>
    <row r="1" spans="1:4" s="98" customFormat="1">
      <c r="B1" s="98" t="s">
        <v>307</v>
      </c>
      <c r="C1" s="98" t="s">
        <v>422</v>
      </c>
      <c r="D1" s="98" t="s">
        <v>423</v>
      </c>
    </row>
    <row r="2" spans="1:4">
      <c r="A2" s="98" t="s">
        <v>424</v>
      </c>
      <c r="B2" s="6" t="e">
        <f>IF('[2]Tool 04-SWDS-Yearly'!C3="Baseline Emissions (BE)",'[2]Tool 04-SWDS-Yearly'!C86)</f>
        <v>#DIV/0!</v>
      </c>
      <c r="C2" s="6" t="b">
        <f>IF('[2]Tool 04-SWDS-Yearly'!C3="Project Emissions (PE)",'[2]Tool 04-SWDS-Yearly'!C86)</f>
        <v>0</v>
      </c>
      <c r="D2" s="6" t="b">
        <f>IF('[2]Tool 04-SWDS-Yearly'!C3="Leakage Emissions (LE)",'[2]Tool 04-SWDS-Yearly'!C86)</f>
        <v>0</v>
      </c>
    </row>
    <row r="3" spans="1:4">
      <c r="A3" s="117" t="s">
        <v>424</v>
      </c>
      <c r="B3" s="17"/>
      <c r="C3" s="17"/>
      <c r="D3" s="17"/>
    </row>
    <row r="4" spans="1:4">
      <c r="A4" s="117" t="s">
        <v>424</v>
      </c>
      <c r="B4" s="17"/>
      <c r="C4" s="17"/>
      <c r="D4" s="17"/>
    </row>
    <row r="5" spans="1:4">
      <c r="A5" s="117" t="s">
        <v>424</v>
      </c>
      <c r="B5" s="17"/>
      <c r="C5" s="17"/>
      <c r="D5" s="17"/>
    </row>
    <row r="6" spans="1:4">
      <c r="A6" s="117" t="s">
        <v>424</v>
      </c>
      <c r="B6" s="17"/>
      <c r="C6" s="17"/>
      <c r="D6" s="17"/>
    </row>
    <row r="7" spans="1:4">
      <c r="A7" s="117" t="s">
        <v>424</v>
      </c>
      <c r="B7" s="17"/>
      <c r="C7" s="17"/>
      <c r="D7" s="17"/>
    </row>
    <row r="8" spans="1:4" s="98" customFormat="1">
      <c r="A8" s="98" t="s">
        <v>425</v>
      </c>
      <c r="B8" s="98" t="e">
        <f>SUM(B2:B7)</f>
        <v>#DIV/0!</v>
      </c>
      <c r="C8" s="98">
        <f t="shared" ref="C8" si="0">SUM(C2:C7)</f>
        <v>0</v>
      </c>
      <c r="D8" s="98">
        <f>SUM(D2:D7)</f>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83BF-EB0E-9C48-8AC6-56A1FF7AC143}">
  <dimension ref="A1:M11"/>
  <sheetViews>
    <sheetView workbookViewId="0">
      <selection activeCell="B26" sqref="B26"/>
    </sheetView>
  </sheetViews>
  <sheetFormatPr defaultColWidth="8.875" defaultRowHeight="15"/>
  <cols>
    <col min="1" max="1" width="22.375" style="6" customWidth="1"/>
    <col min="2" max="2" width="27.375" style="6" customWidth="1"/>
    <col min="3" max="3" width="20.375" style="6" customWidth="1"/>
    <col min="4" max="4" width="19.5" style="6" customWidth="1"/>
    <col min="5" max="5" width="26.375" style="6" customWidth="1"/>
    <col min="6" max="6" width="29.5" style="6" customWidth="1"/>
    <col min="7" max="9" width="31.125" style="6" customWidth="1"/>
    <col min="10" max="10" width="13.5" style="6" customWidth="1"/>
    <col min="11" max="16384" width="8.875" style="6"/>
  </cols>
  <sheetData>
    <row r="1" spans="1:13">
      <c r="A1" s="98" t="s">
        <v>426</v>
      </c>
      <c r="B1" s="98" t="s">
        <v>427</v>
      </c>
      <c r="C1" s="98" t="s">
        <v>428</v>
      </c>
      <c r="D1" s="98" t="s">
        <v>429</v>
      </c>
      <c r="E1" s="98" t="s">
        <v>430</v>
      </c>
      <c r="F1" s="98" t="s">
        <v>431</v>
      </c>
      <c r="G1" s="98" t="s">
        <v>432</v>
      </c>
      <c r="H1" s="98" t="s">
        <v>433</v>
      </c>
      <c r="I1" s="98" t="s">
        <v>434</v>
      </c>
    </row>
    <row r="2" spans="1:13">
      <c r="A2" s="6" t="s">
        <v>307</v>
      </c>
      <c r="B2" s="6" t="s">
        <v>357</v>
      </c>
      <c r="C2" s="6" t="s">
        <v>435</v>
      </c>
      <c r="D2" s="6" t="s">
        <v>10</v>
      </c>
      <c r="E2" s="6" t="s">
        <v>316</v>
      </c>
      <c r="F2" s="6" t="s">
        <v>335</v>
      </c>
      <c r="G2" s="6" t="s">
        <v>318</v>
      </c>
      <c r="H2" s="6" t="s">
        <v>436</v>
      </c>
      <c r="I2" s="6" t="s">
        <v>437</v>
      </c>
      <c r="J2" s="6" t="s">
        <v>438</v>
      </c>
      <c r="K2" s="6" t="s">
        <v>330</v>
      </c>
      <c r="L2" s="6" t="s">
        <v>326</v>
      </c>
      <c r="M2" s="6" t="s">
        <v>439</v>
      </c>
    </row>
    <row r="3" spans="1:13" ht="30">
      <c r="A3" s="6" t="s">
        <v>422</v>
      </c>
      <c r="B3" s="6" t="s">
        <v>310</v>
      </c>
      <c r="C3" s="6" t="s">
        <v>440</v>
      </c>
      <c r="D3" s="6" t="s">
        <v>11</v>
      </c>
      <c r="E3" s="6" t="s">
        <v>441</v>
      </c>
      <c r="F3" s="6" t="s">
        <v>330</v>
      </c>
      <c r="G3" s="6" t="s">
        <v>442</v>
      </c>
      <c r="H3" s="6" t="s">
        <v>320</v>
      </c>
      <c r="I3" s="7" t="s">
        <v>338</v>
      </c>
      <c r="J3" s="6" t="s">
        <v>322</v>
      </c>
      <c r="K3" s="6" t="s">
        <v>335</v>
      </c>
      <c r="L3" s="6" t="s">
        <v>443</v>
      </c>
      <c r="M3" s="6" t="s">
        <v>444</v>
      </c>
    </row>
    <row r="4" spans="1:13">
      <c r="A4" s="6" t="s">
        <v>423</v>
      </c>
      <c r="I4" s="6" t="s">
        <v>445</v>
      </c>
      <c r="M4" s="6" t="s">
        <v>333</v>
      </c>
    </row>
    <row r="5" spans="1:13">
      <c r="I5" s="6" t="s">
        <v>446</v>
      </c>
      <c r="M5" s="6" t="s">
        <v>447</v>
      </c>
    </row>
    <row r="6" spans="1:13">
      <c r="I6" s="6" t="s">
        <v>448</v>
      </c>
    </row>
    <row r="7" spans="1:13">
      <c r="I7" s="6" t="s">
        <v>449</v>
      </c>
    </row>
    <row r="8" spans="1:13">
      <c r="I8" s="6" t="s">
        <v>450</v>
      </c>
    </row>
    <row r="9" spans="1:13">
      <c r="I9" s="6" t="s">
        <v>451</v>
      </c>
    </row>
    <row r="10" spans="1:13">
      <c r="I10" s="6" t="s">
        <v>452</v>
      </c>
    </row>
    <row r="11" spans="1:13">
      <c r="I11" s="6" t="s">
        <v>453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C77EA-080F-0742-AE76-4CD637257EA1}">
  <dimension ref="A1:H24"/>
  <sheetViews>
    <sheetView workbookViewId="0">
      <selection activeCell="B22" sqref="B22"/>
    </sheetView>
  </sheetViews>
  <sheetFormatPr defaultColWidth="8.875" defaultRowHeight="15"/>
  <cols>
    <col min="1" max="1" width="12.125" style="6" customWidth="1"/>
    <col min="2" max="2" width="65.625" style="7" customWidth="1"/>
    <col min="3" max="3" width="38.375" style="8" customWidth="1"/>
    <col min="4" max="4" width="31.125" style="6" customWidth="1"/>
    <col min="5" max="5" width="20.125" style="6" customWidth="1"/>
    <col min="6" max="6" width="8.875" style="6"/>
    <col min="7" max="7" width="17.875" style="6" customWidth="1"/>
    <col min="8" max="8" width="21" style="6" customWidth="1"/>
    <col min="9" max="16384" width="8.875" style="6"/>
  </cols>
  <sheetData>
    <row r="1" spans="1:8">
      <c r="A1" s="6" t="s">
        <v>5</v>
      </c>
      <c r="B1" s="7" t="s">
        <v>454</v>
      </c>
      <c r="C1" s="8" t="s">
        <v>455</v>
      </c>
      <c r="D1" s="6" t="s">
        <v>304</v>
      </c>
      <c r="E1" s="6" t="s">
        <v>3</v>
      </c>
      <c r="F1" s="6" t="s">
        <v>183</v>
      </c>
      <c r="G1" s="6" t="s">
        <v>456</v>
      </c>
      <c r="H1" s="6" t="s">
        <v>1</v>
      </c>
    </row>
    <row r="2" spans="1:8" s="5" customFormat="1">
      <c r="B2" s="118" t="s">
        <v>305</v>
      </c>
      <c r="C2" s="119"/>
    </row>
    <row r="3" spans="1:8">
      <c r="B3" s="7" t="s">
        <v>457</v>
      </c>
      <c r="C3" s="8" t="s">
        <v>98</v>
      </c>
      <c r="D3" s="6" t="s">
        <v>10</v>
      </c>
      <c r="E3" s="6" t="s">
        <v>458</v>
      </c>
      <c r="G3" s="6" t="s">
        <v>11</v>
      </c>
    </row>
    <row r="4" spans="1:8" ht="30">
      <c r="B4" s="7" t="s">
        <v>459</v>
      </c>
      <c r="C4" s="8" t="s">
        <v>460</v>
      </c>
      <c r="D4" s="6" t="s">
        <v>10</v>
      </c>
      <c r="E4" s="6" t="s">
        <v>458</v>
      </c>
      <c r="G4" s="6" t="s">
        <v>11</v>
      </c>
    </row>
    <row r="5" spans="1:8">
      <c r="A5" s="6" t="s">
        <v>461</v>
      </c>
      <c r="B5" s="7" t="s">
        <v>462</v>
      </c>
      <c r="C5" s="8" t="s">
        <v>463</v>
      </c>
      <c r="D5" s="6" t="s">
        <v>10</v>
      </c>
      <c r="E5" s="6" t="s">
        <v>12</v>
      </c>
      <c r="G5" s="6" t="s">
        <v>11</v>
      </c>
    </row>
    <row r="6" spans="1:8" ht="15.75">
      <c r="B6" s="267" t="s">
        <v>464</v>
      </c>
      <c r="C6" s="267"/>
      <c r="D6" s="267"/>
      <c r="E6" s="120"/>
      <c r="F6" s="6" t="s">
        <v>465</v>
      </c>
    </row>
    <row r="7" spans="1:8" ht="30">
      <c r="B7" s="7" t="s">
        <v>466</v>
      </c>
      <c r="C7" s="8" t="s">
        <v>467</v>
      </c>
      <c r="D7" s="6" t="s">
        <v>10</v>
      </c>
      <c r="E7" s="6" t="s">
        <v>12</v>
      </c>
      <c r="G7" s="6" t="s">
        <v>11</v>
      </c>
    </row>
    <row r="8" spans="1:8" ht="30">
      <c r="B8" s="7" t="s">
        <v>468</v>
      </c>
      <c r="C8" s="8" t="s">
        <v>469</v>
      </c>
      <c r="D8" s="6" t="s">
        <v>10</v>
      </c>
      <c r="E8" s="6" t="s">
        <v>12</v>
      </c>
      <c r="G8" s="6" t="s">
        <v>11</v>
      </c>
    </row>
    <row r="9" spans="1:8" ht="30">
      <c r="B9" s="7" t="s">
        <v>470</v>
      </c>
      <c r="C9" s="8" t="s">
        <v>471</v>
      </c>
      <c r="D9" s="6" t="s">
        <v>10</v>
      </c>
      <c r="E9" s="6" t="s">
        <v>12</v>
      </c>
      <c r="G9" s="6" t="s">
        <v>11</v>
      </c>
    </row>
    <row r="10" spans="1:8">
      <c r="B10" s="7" t="s">
        <v>472</v>
      </c>
      <c r="C10" s="8">
        <v>1</v>
      </c>
      <c r="D10" s="6" t="s">
        <v>10</v>
      </c>
      <c r="E10" s="6" t="s">
        <v>194</v>
      </c>
      <c r="G10" s="6" t="s">
        <v>11</v>
      </c>
    </row>
    <row r="11" spans="1:8" ht="30">
      <c r="A11" s="6" t="s">
        <v>473</v>
      </c>
      <c r="B11" s="7" t="s">
        <v>474</v>
      </c>
      <c r="C11" s="8">
        <v>2</v>
      </c>
      <c r="D11" s="6" t="s">
        <v>10</v>
      </c>
      <c r="E11" s="6" t="s">
        <v>194</v>
      </c>
      <c r="F11" s="6" t="s">
        <v>475</v>
      </c>
      <c r="G11" s="6" t="s">
        <v>11</v>
      </c>
    </row>
    <row r="12" spans="1:8" ht="30">
      <c r="B12" s="7" t="s">
        <v>476</v>
      </c>
      <c r="C12" s="8" t="s">
        <v>477</v>
      </c>
      <c r="D12" s="6" t="s">
        <v>10</v>
      </c>
      <c r="E12" s="6" t="s">
        <v>458</v>
      </c>
      <c r="G12" s="6" t="s">
        <v>11</v>
      </c>
    </row>
    <row r="13" spans="1:8" ht="29.1" customHeight="1">
      <c r="B13" s="7" t="s">
        <v>478</v>
      </c>
      <c r="C13" s="8" t="s">
        <v>479</v>
      </c>
      <c r="D13" s="6" t="s">
        <v>10</v>
      </c>
      <c r="E13" s="6" t="s">
        <v>458</v>
      </c>
      <c r="G13" s="6" t="s">
        <v>11</v>
      </c>
    </row>
    <row r="14" spans="1:8">
      <c r="B14" s="7" t="s">
        <v>480</v>
      </c>
      <c r="C14" s="8" t="s">
        <v>481</v>
      </c>
      <c r="D14" s="6" t="str">
        <f>IF(C13="Road Vehicle","Yes","No")</f>
        <v>Yes</v>
      </c>
      <c r="E14" s="6" t="s">
        <v>458</v>
      </c>
      <c r="G14" s="6" t="s">
        <v>11</v>
      </c>
    </row>
    <row r="15" spans="1:8" s="5" customFormat="1">
      <c r="B15" s="118" t="s">
        <v>477</v>
      </c>
      <c r="C15" s="119"/>
      <c r="D15" s="5" t="str">
        <f>IF(C3="Yes","NA",IF(C13="Rail","NA",IF(C12="Option A: Monitoring fuel consumption","Yes","NA")))</f>
        <v>Yes</v>
      </c>
    </row>
    <row r="16" spans="1:8" ht="30">
      <c r="B16" s="7" t="s">
        <v>482</v>
      </c>
      <c r="D16" s="6" t="str">
        <f>IF(C3="Yes","NA",IF(C13="Rail","NA",IF(C12="Option A: Monitoring fuel consumption","Yes","NA")))</f>
        <v>Yes</v>
      </c>
      <c r="E16" s="6" t="s">
        <v>12</v>
      </c>
      <c r="F16" s="6" t="s">
        <v>483</v>
      </c>
    </row>
    <row r="17" spans="1:7" ht="30">
      <c r="A17" s="6" t="s">
        <v>484</v>
      </c>
      <c r="B17" s="7" t="s">
        <v>485</v>
      </c>
      <c r="C17" s="8">
        <f>'Tool 03'!G3</f>
        <v>73.333333333333329</v>
      </c>
      <c r="D17" s="6" t="str">
        <f>IF(C3="Yes","NA",IF(C13="Rail","NA",IF(C12="Option A: Monitoring fuel consumption","Yes","NA")))</f>
        <v>Yes</v>
      </c>
      <c r="E17" s="6" t="s">
        <v>486</v>
      </c>
      <c r="F17" s="6" t="s">
        <v>487</v>
      </c>
      <c r="G17" s="6" t="s">
        <v>11</v>
      </c>
    </row>
    <row r="18" spans="1:7" s="5" customFormat="1">
      <c r="B18" s="118" t="s">
        <v>488</v>
      </c>
      <c r="C18" s="119"/>
      <c r="D18" s="5" t="str">
        <f>IF(C3="Yes","NA",IF(OR(C12="Option B: Using conservative default values",C13="Rail"),"Yes","NA"))</f>
        <v>NA</v>
      </c>
    </row>
    <row r="19" spans="1:7">
      <c r="A19" s="6" t="s">
        <v>489</v>
      </c>
      <c r="B19" s="7" t="s">
        <v>490</v>
      </c>
      <c r="C19" s="8">
        <v>100</v>
      </c>
      <c r="D19" s="6" t="str">
        <f>IF(C3="Yes","NA",IF(OR(C12="Option B: Using conservative default values",C13="Rail"),"Yes","NA"))</f>
        <v>NA</v>
      </c>
      <c r="E19" s="6" t="s">
        <v>194</v>
      </c>
      <c r="F19" s="6" t="s">
        <v>491</v>
      </c>
      <c r="G19" s="6" t="s">
        <v>11</v>
      </c>
    </row>
    <row r="20" spans="1:7" ht="30">
      <c r="A20" s="6" t="s">
        <v>492</v>
      </c>
      <c r="B20" s="7" t="s">
        <v>493</v>
      </c>
      <c r="C20" s="121" t="str">
        <f>IF(OR(C14="Heavy",C13="Rail"),"129","245")</f>
        <v>129</v>
      </c>
      <c r="D20" s="6" t="str">
        <f>IF(C3="Yes","NA",IF(OR(C12="Option B: Using conservative default values",C13="Rail"),"Yes","NA"))</f>
        <v>NA</v>
      </c>
      <c r="E20" s="6" t="s">
        <v>494</v>
      </c>
      <c r="G20" s="6" t="s">
        <v>11</v>
      </c>
    </row>
    <row r="21" spans="1:7" ht="30">
      <c r="A21" s="6" t="s">
        <v>484</v>
      </c>
      <c r="B21" s="7" t="s">
        <v>495</v>
      </c>
      <c r="C21" s="121">
        <f>C19*C11*C20*(10^-6)</f>
        <v>2.58E-2</v>
      </c>
      <c r="D21" s="6" t="str">
        <f>IF(C3="Yes","NA",IF(OR(C12="Option B: Using conservative default values",C13="Rail"),"Yes","NA"))</f>
        <v>NA</v>
      </c>
      <c r="E21" s="6" t="s">
        <v>494</v>
      </c>
      <c r="G21" s="6" t="s">
        <v>11</v>
      </c>
    </row>
    <row r="24" spans="1:7">
      <c r="C24" s="122"/>
    </row>
  </sheetData>
  <mergeCells count="1">
    <mergeCell ref="B6:D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4" ma:contentTypeDescription="Create a new document." ma:contentTypeScope="" ma:versionID="ca3cab8b0fad4a8cc11179bbc72a9d6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8704e392ffcbbae8f264f3297d7e21b0"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Props1.xml><?xml version="1.0" encoding="utf-8"?>
<ds:datastoreItem xmlns:ds="http://schemas.openxmlformats.org/officeDocument/2006/customXml" ds:itemID="{94DECEFA-B49B-4EED-9AED-CC0AD9290CF1}"/>
</file>

<file path=customXml/itemProps2.xml><?xml version="1.0" encoding="utf-8"?>
<ds:datastoreItem xmlns:ds="http://schemas.openxmlformats.org/officeDocument/2006/customXml" ds:itemID="{873BDBC7-A95D-474F-AC62-233D46F815DC}"/>
</file>

<file path=customXml/itemProps3.xml><?xml version="1.0" encoding="utf-8"?>
<ds:datastoreItem xmlns:ds="http://schemas.openxmlformats.org/officeDocument/2006/customXml" ds:itemID="{1C3A7D7A-2F3F-44A0-A4E0-89FDC3F6258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Dalís Rae De La Mora</dc:creator>
  <cp:keywords/>
  <dc:description/>
  <cp:lastModifiedBy>Гость</cp:lastModifiedBy>
  <cp:revision/>
  <dcterms:created xsi:type="dcterms:W3CDTF">2023-09-26T23:25:59Z</dcterms:created>
  <dcterms:modified xsi:type="dcterms:W3CDTF">2024-01-11T13:41:35Z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