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envisionblockchain-my.sharepoint.com/personal/jailine_molina_envisionblockchain_com/Documents/"/>
    </mc:Choice>
  </mc:AlternateContent>
  <xr:revisionPtr revIDLastSave="308" documentId="8_{79930F3E-48AA-41F2-913E-77E4723B12C8}" xr6:coauthVersionLast="47" xr6:coauthVersionMax="47" xr10:uidLastSave="{2F17B136-F1C2-4F2A-853F-21B4CFC17325}"/>
  <bookViews>
    <workbookView xWindow="28680" yWindow="-120" windowWidth="29040" windowHeight="15840" firstSheet="16" xr2:uid="{2E0DC2C8-2D52-4657-9EDA-B486E5809E08}"/>
  </bookViews>
  <sheets>
    <sheet name="AMS-III.D" sheetId="1" r:id="rId1"/>
    <sheet name="Storage Device Registration" sheetId="14" r:id="rId2"/>
    <sheet name="Partial BE Based on LT 17a" sheetId="12" r:id="rId3"/>
    <sheet name="Partial BE Based on LT 17b" sheetId="13" r:id="rId4"/>
    <sheet name="PE Due to Leakage of Biogas 17a" sheetId="10" r:id="rId5"/>
    <sheet name="PE Due to Leakage of Biogas 17b" sheetId="11" r:id="rId6"/>
    <sheet name="Tool 03" sheetId="16" r:id="rId7"/>
    <sheet name="Tool 04-SWDS-Yearly" sheetId="21" r:id="rId8"/>
    <sheet name="SWDS Emissions Summary Tab " sheetId="22" r:id="rId9"/>
    <sheet name="Dropdown Items" sheetId="23" r:id="rId10"/>
    <sheet name="Tool 05.1" sheetId="17" r:id="rId11"/>
    <sheet name="Tool 05.2 Power Plants" sheetId="18" r:id="rId12"/>
    <sheet name="Tool 05.3 Default Values" sheetId="19" r:id="rId13"/>
    <sheet name="Tool 06" sheetId="4" r:id="rId14"/>
    <sheet name="Tool 13" sheetId="26" r:id="rId15"/>
    <sheet name="MCF Defaults" sheetId="27" r:id="rId16"/>
    <sheet name="Tool 14" sheetId="20" r:id="rId17"/>
    <sheet name="IWA Properties" sheetId="15" r:id="rId18"/>
  </sheets>
  <externalReferences>
    <externalReference r:id="rId19"/>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0" l="1"/>
  <c r="H47" i="1"/>
  <c r="F63" i="20"/>
  <c r="H66" i="1"/>
  <c r="F57" i="20"/>
  <c r="F16" i="20"/>
  <c r="H64" i="1"/>
  <c r="F13" i="12"/>
  <c r="G73" i="26"/>
  <c r="G70" i="26"/>
  <c r="G63" i="26"/>
  <c r="G62" i="26"/>
  <c r="G61" i="26"/>
  <c r="G59" i="26"/>
  <c r="G58" i="26"/>
  <c r="G57" i="26"/>
  <c r="G42" i="26"/>
  <c r="G41" i="26" s="1"/>
  <c r="G28" i="26"/>
  <c r="G27" i="26" s="1"/>
  <c r="G24" i="26"/>
  <c r="G22" i="26"/>
  <c r="G20" i="26"/>
  <c r="G16" i="26"/>
  <c r="G9" i="26"/>
  <c r="G3" i="26" l="1"/>
  <c r="F67" i="20" s="1"/>
  <c r="F47" i="20"/>
  <c r="C2" i="22" l="1"/>
  <c r="C8" i="22" s="1"/>
  <c r="C85" i="21"/>
  <c r="C84" i="21"/>
  <c r="C75" i="21"/>
  <c r="D71" i="21"/>
  <c r="D69" i="21"/>
  <c r="C69" i="21"/>
  <c r="C83" i="21" s="1"/>
  <c r="D66" i="21"/>
  <c r="C66" i="21"/>
  <c r="D65" i="21"/>
  <c r="D64" i="21"/>
  <c r="D62" i="21"/>
  <c r="C62" i="21"/>
  <c r="C82" i="21" s="1"/>
  <c r="D59" i="21"/>
  <c r="C59" i="21"/>
  <c r="D58" i="21"/>
  <c r="D57" i="21"/>
  <c r="D56" i="21"/>
  <c r="D54" i="21"/>
  <c r="C54" i="21"/>
  <c r="D53" i="21"/>
  <c r="D52" i="21"/>
  <c r="D51" i="21"/>
  <c r="D50" i="21"/>
  <c r="D48" i="21"/>
  <c r="C48" i="21"/>
  <c r="D45" i="21"/>
  <c r="D44" i="21"/>
  <c r="C44" i="21"/>
  <c r="C45" i="21" s="1"/>
  <c r="C76" i="21" s="1"/>
  <c r="D43" i="21"/>
  <c r="D42" i="21"/>
  <c r="D40" i="21"/>
  <c r="D38" i="21"/>
  <c r="D35" i="21"/>
  <c r="C35" i="21"/>
  <c r="D34" i="21"/>
  <c r="C34" i="21"/>
  <c r="D33" i="21"/>
  <c r="C33" i="21"/>
  <c r="D32" i="21"/>
  <c r="C32" i="21"/>
  <c r="D31" i="21"/>
  <c r="C31" i="21"/>
  <c r="D30" i="21"/>
  <c r="C30" i="21"/>
  <c r="D29" i="21"/>
  <c r="C29" i="21"/>
  <c r="D28" i="21"/>
  <c r="C28" i="21"/>
  <c r="D26" i="21"/>
  <c r="C26" i="21"/>
  <c r="C77" i="21" s="1"/>
  <c r="C86" i="21" s="1"/>
  <c r="D22" i="21"/>
  <c r="D21" i="21"/>
  <c r="D19" i="21"/>
  <c r="D18" i="21"/>
  <c r="D17" i="21"/>
  <c r="D16" i="21"/>
  <c r="D15" i="21"/>
  <c r="D14" i="21"/>
  <c r="D13" i="21"/>
  <c r="D12" i="21"/>
  <c r="D11" i="21"/>
  <c r="F85" i="20"/>
  <c r="F83" i="20"/>
  <c r="F79" i="20"/>
  <c r="F77" i="20" s="1"/>
  <c r="F74" i="20"/>
  <c r="F69" i="20" s="1"/>
  <c r="F72" i="20"/>
  <c r="F66" i="20"/>
  <c r="F60" i="20"/>
  <c r="F52" i="20"/>
  <c r="F49" i="20"/>
  <c r="F42" i="20"/>
  <c r="F35" i="20"/>
  <c r="F31" i="20" s="1"/>
  <c r="F34" i="20"/>
  <c r="F33" i="20"/>
  <c r="F32" i="20"/>
  <c r="F26" i="20"/>
  <c r="F24" i="20"/>
  <c r="F23" i="20"/>
  <c r="F19" i="20"/>
  <c r="B2" i="22" l="1"/>
  <c r="B8" i="22" s="1"/>
  <c r="F89" i="20"/>
  <c r="D2" i="22"/>
  <c r="D8" i="22" s="1"/>
  <c r="F65" i="20"/>
  <c r="F37" i="20"/>
  <c r="F29" i="20" s="1"/>
  <c r="F28" i="20" s="1"/>
  <c r="G35" i="18" l="1"/>
  <c r="G34" i="18"/>
  <c r="G32" i="18" s="1"/>
  <c r="G23" i="18"/>
  <c r="G20" i="18" s="1"/>
  <c r="G22" i="18"/>
  <c r="G11" i="18"/>
  <c r="G10" i="18"/>
  <c r="G7" i="18" s="1"/>
  <c r="G8" i="18"/>
  <c r="G23" i="17"/>
  <c r="G22" i="17"/>
  <c r="G17" i="17"/>
  <c r="G16" i="17"/>
  <c r="G12" i="17"/>
  <c r="G11" i="17"/>
  <c r="G7" i="17"/>
  <c r="G6" i="17" s="1"/>
  <c r="G4" i="18" l="1"/>
  <c r="G38" i="17" s="1"/>
  <c r="G31" i="18"/>
  <c r="G19" i="18"/>
  <c r="G3" i="18" s="1"/>
  <c r="G37" i="17" s="1"/>
  <c r="G37" i="16"/>
  <c r="G33" i="16"/>
  <c r="G30" i="16" s="1"/>
  <c r="G32" i="16"/>
  <c r="G19" i="16"/>
  <c r="G15" i="16"/>
  <c r="G14" i="16"/>
  <c r="G12" i="16"/>
  <c r="G10" i="16"/>
  <c r="F31" i="10"/>
  <c r="F12" i="10"/>
  <c r="G28" i="16" l="1"/>
  <c r="G3" i="16"/>
  <c r="F55" i="20" s="1"/>
  <c r="F15" i="20" s="1"/>
  <c r="F33" i="12"/>
  <c r="H48" i="1" l="1"/>
  <c r="F27" i="14"/>
  <c r="F19" i="14" s="1"/>
  <c r="F13" i="14"/>
  <c r="F5" i="14" s="1"/>
  <c r="F12" i="13"/>
  <c r="F5" i="13"/>
  <c r="H43" i="1" s="1"/>
  <c r="F29" i="12"/>
  <c r="F25" i="12" s="1"/>
  <c r="F9" i="12"/>
  <c r="F5" i="12" s="1"/>
  <c r="H38" i="1" s="1"/>
  <c r="H36" i="1" s="1"/>
  <c r="F12" i="11"/>
  <c r="F5" i="11"/>
  <c r="H56" i="1" s="1"/>
  <c r="F27" i="10"/>
  <c r="F24" i="10" s="1"/>
  <c r="F8" i="10"/>
  <c r="F5" i="10" s="1"/>
  <c r="H100" i="1"/>
  <c r="H93" i="1"/>
  <c r="H49" i="1"/>
  <c r="H52" i="1" l="1"/>
  <c r="H46" i="1" s="1"/>
  <c r="H85" i="1"/>
  <c r="H91" i="1"/>
  <c r="H75" i="1"/>
  <c r="H50" i="1" l="1"/>
  <c r="H88" i="1"/>
  <c r="H82" i="1"/>
  <c r="F50" i="4" l="1"/>
  <c r="F48" i="4"/>
  <c r="F67" i="4" l="1"/>
  <c r="F66" i="4"/>
  <c r="F65" i="4"/>
  <c r="F64" i="4"/>
  <c r="F47" i="4"/>
  <c r="F45" i="4" s="1"/>
  <c r="F44" i="4" s="1"/>
  <c r="H90" i="1"/>
  <c r="H84" i="1"/>
  <c r="F62" i="4" l="1"/>
  <c r="F60" i="4"/>
  <c r="F61" i="4" l="1"/>
  <c r="F58" i="4" s="1"/>
  <c r="F59" i="4"/>
  <c r="F57" i="4" s="1"/>
  <c r="F56" i="4" s="1"/>
  <c r="F54" i="4" s="1"/>
  <c r="F52" i="4" s="1"/>
  <c r="F69" i="4" s="1"/>
  <c r="F17" i="20" l="1"/>
  <c r="F13" i="20" s="1"/>
  <c r="H45" i="1"/>
  <c r="H83" i="1" l="1"/>
  <c r="H81" i="1" s="1"/>
  <c r="H79" i="1" s="1"/>
  <c r="H89" i="1"/>
  <c r="H8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tc={A3F62F35-D1DF-4ED2-B272-F72347B786F1}</author>
    <author>tc={CFC778ED-7BDE-461B-A56B-C7B86257DAEB}</author>
    <author>tc={308F7ADB-7057-4DF2-BD0E-84F8E2AD4BB6}</author>
    <author>tc={5B76F69B-3D7A-483D-AA38-216B6BFE7A4B}</author>
    <author>tc={C143401E-D150-4146-847E-BACEE162EB72}</author>
    <author>tc={0DED7565-3F18-4D20-B968-9EAB4DC3C303}</author>
    <author>tc={B7A52B58-3DE2-4D68-B058-A47D562E28AE}</author>
    <author>tc={861744AA-6451-453D-BF2F-BC1FD6CF4419}</author>
    <author>tc={447D40D5-845D-41EE-9585-B381AA0C27C3}</author>
    <author>tc={BB142946-14F9-492F-9D65-E20D0EA87BB8}</author>
    <author>tc={8E0253C1-338F-4DA6-B8EA-92FFE4AFD736}</author>
    <author>tc={66469856-2A16-4425-BB06-ED00B98322EA}</author>
    <author>tc={CE4F5722-2130-490F-B11B-83A7A91F3826}</author>
    <author>tc={5B47BF49-B2F2-4AA3-A6E5-FE4A708335FF}</author>
  </authors>
  <commentList>
    <comment ref="G36" authorId="0" shapeId="0" xr:uid="{A3F62F35-D1DF-4ED2-B272-F72347B786F1}">
      <text>
        <t>[Threaded comment]
Your version of Excel allows you to read this threaded comment; however, any edits to it will get removed if the file is opened in a newer version of Excel. Learn more: https://go.microsoft.com/fwlink/?linkid=870924
Comment:
    Eq 1</t>
      </text>
    </comment>
    <comment ref="G38" authorId="1" shapeId="0" xr:uid="{CFC778ED-7BDE-461B-A56B-C7B86257DAEB}">
      <text>
        <t>[Threaded comment]
Your version of Excel allows you to read this threaded comment; however, any edits to it will get removed if the file is opened in a newer version of Excel. Learn more: https://go.microsoft.com/fwlink/?linkid=870924
Comment:
    Eq 1</t>
      </text>
    </comment>
    <comment ref="G43" authorId="2" shapeId="0" xr:uid="{308F7ADB-7057-4DF2-BD0E-84F8E2AD4BB6}">
      <text>
        <t>[Threaded comment]
Your version of Excel allows you to read this threaded comment; however, any edits to it will get removed if the file is opened in a newer version of Excel. Learn more: https://go.microsoft.com/fwlink/?linkid=870924
Comment:
    Eq 5</t>
      </text>
    </comment>
    <comment ref="G45" authorId="3" shapeId="0" xr:uid="{5B76F69B-3D7A-483D-AA38-216B6BFE7A4B}">
      <text>
        <t>[Threaded comment]
Your version of Excel allows you to read this threaded comment; however, any edits to it will get removed if the file is opened in a newer version of Excel. Learn more: https://go.microsoft.com/fwlink/?linkid=870924
Comment:
    Eq 6</t>
      </text>
    </comment>
    <comment ref="G52" authorId="4" shapeId="0" xr:uid="{C143401E-D150-4146-847E-BACEE162EB72}">
      <text>
        <t>[Threaded comment]
Your version of Excel allows you to read this threaded comment; however, any edits to it will get removed if the file is opened in a newer version of Excel. Learn more: https://go.microsoft.com/fwlink/?linkid=870924
Comment:
    Eq 7</t>
      </text>
    </comment>
    <comment ref="G56" authorId="5" shapeId="0" xr:uid="{0DED7565-3F18-4D20-B968-9EAB4DC3C303}">
      <text>
        <t>[Threaded comment]
Your version of Excel allows you to read this threaded comment; however, any edits to it will get removed if the file is opened in a newer version of Excel. Learn more: https://go.microsoft.com/fwlink/?linkid=870924
Comment:
    Eq 8</t>
      </text>
    </comment>
    <comment ref="G64" authorId="6" shapeId="0" xr:uid="{B7A52B58-3DE2-4D68-B058-A47D562E28AE}">
      <text>
        <t>[Threaded comment]
Your version of Excel allows you to read this threaded comment; however, any edits to it will get removed if the file is opened in a newer version of Excel. Learn more: https://go.microsoft.com/fwlink/?linkid=870924
Comment:
    Eq 8
Reply:
    Option b in paragraph 21. Use of tool 14 to calculate parameter PEPL</t>
      </text>
    </comment>
    <comment ref="G66" authorId="7" shapeId="0" xr:uid="{861744AA-6451-453D-BF2F-BC1FD6CF4419}">
      <text>
        <t>[Threaded comment]
Your version of Excel allows you to read this threaded comment; however, any edits to it will get removed if the file is opened in a newer version of Excel. Learn more: https://go.microsoft.com/fwlink/?linkid=870924
Comment:
    Eq 3 from AMS-III.AO</t>
      </text>
    </comment>
    <comment ref="G75" authorId="8" shapeId="0" xr:uid="{447D40D5-845D-41EE-9585-B381AA0C27C3}">
      <text>
        <t>[Threaded comment]
Your version of Excel allows you to read this threaded comment; however, any edits to it will get removed if the file is opened in a newer version of Excel. Learn more: https://go.microsoft.com/fwlink/?linkid=870924
Comment:
    Eq 9</t>
      </text>
    </comment>
    <comment ref="G79" authorId="9" shapeId="0" xr:uid="{BB142946-14F9-492F-9D65-E20D0EA87BB8}">
      <text>
        <t>[Threaded comment]
Your version of Excel allows you to read this threaded comment; however, any edits to it will get removed if the file is opened in a newer version of Excel. Learn more: https://go.microsoft.com/fwlink/?linkid=870924
Comment:
    Eq 10</t>
      </text>
    </comment>
    <comment ref="G81" authorId="10" shapeId="0" xr:uid="{8E0253C1-338F-4DA6-B8EA-92FFE4AFD736}">
      <text>
        <t>[Threaded comment]
Your version of Excel allows you to read this threaded comment; however, any edits to it will get removed if the file is opened in a newer version of Excel. Learn more: https://go.microsoft.com/fwlink/?linkid=870924
Comment:
    Eq 10</t>
      </text>
    </comment>
    <comment ref="G87" authorId="11" shapeId="0" xr:uid="{66469856-2A16-4425-BB06-ED00B98322EA}">
      <text>
        <t>[Threaded comment]
Your version of Excel allows you to read this threaded comment; however, any edits to it will get removed if the file is opened in a newer version of Excel. Learn more: https://go.microsoft.com/fwlink/?linkid=870924
Comment:
    Eq 10</t>
      </text>
    </comment>
    <comment ref="G93" authorId="12" shapeId="0" xr:uid="{CE4F5722-2130-490F-B11B-83A7A91F3826}">
      <text>
        <t>[Threaded comment]
Your version of Excel allows you to read this threaded comment; however, any edits to it will get removed if the file is opened in a newer version of Excel. Learn more: https://go.microsoft.com/fwlink/?linkid=870924
Comment:
    Eq 11</t>
      </text>
    </comment>
    <comment ref="G100" authorId="13" shapeId="0" xr:uid="{5B47BF49-B2F2-4AA3-A6E5-FE4A708335FF}">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tc={EA6B8B7A-C441-4FD9-8C19-60C87729F9DD}</author>
  </authors>
  <commentList>
    <comment ref="D3" authorId="0" shapeId="0" xr:uid="{EA6B8B7A-C441-4FD9-8C19-60C87729F9DD}">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tc={67AE920D-4546-495C-8C90-39E3B47BEE71}</author>
    <author>tc={9278B7AD-32FB-4819-9A51-49A855A0049D}</author>
    <author>tc={87201927-EFA8-44B9-8475-D94FB4C9B2A1}</author>
    <author>tc={F3DF6DE3-EDD7-4E78-9B2D-3C8C5DC9D344}</author>
    <author>tc={9975357D-0592-4E46-88E6-15039414F0DD}</author>
    <author>tc={0E0320F1-B92B-4A60-9015-824417C92C8F}</author>
    <author>tc={FA09F900-D3F7-4F1F-B366-294923B78A17}</author>
    <author>tc={07841D25-1509-438D-B9B7-E3585C21484C}</author>
    <author>tc={7EA4205B-B3DC-472F-913E-7972767323E3}</author>
    <author>tc={4673A058-533D-4E7F-85B6-62A755C6F9F1}</author>
    <author>tc={183AA168-3E61-40A5-8C9A-AC527E26BA84}</author>
    <author>tc={E9F5C8A3-5AA2-4B3F-BC85-B5C58C48DAA2}</author>
    <author>tc={7AE7B7B6-D1F0-401C-99C0-B7FF7422152E}</author>
    <author>tc={20798707-05DC-4A54-9350-DBF8000D9460}</author>
    <author>tc={C39A13E8-331C-4AD2-BA43-3BEA11FF86C4}</author>
    <author>tc={3FA8AB76-6A93-4C6B-BAF2-4489108685BF}</author>
    <author>tc={C778BD13-697B-4488-8B72-55E09BFF97C2}</author>
    <author>tc={14D7E649-F025-4F91-B969-9E7BE273B214}</author>
    <author>tc={65778340-FEEC-40B9-830B-98A4E22D5ABC}</author>
  </authors>
  <commentList>
    <comment ref="C44" authorId="0" shapeId="0" xr:uid="{67AE920D-4546-495C-8C90-39E3B47BEE71}">
      <text>
        <t>[Threaded comment]
Your version of Excel allows you to read this threaded comment; however, any edits to it will get removed if the file is opened in a newer version of Excel. Learn more: https://go.microsoft.com/fwlink/?linkid=870924
Comment:
    Eq 5</t>
      </text>
    </comment>
    <comment ref="C45" authorId="1" shapeId="0" xr:uid="{9278B7AD-32FB-4819-9A51-49A855A0049D}">
      <text>
        <t>[Threaded comment]
Your version of Excel allows you to read this threaded comment; however, any edits to it will get removed if the file is opened in a newer version of Excel. Learn more: https://go.microsoft.com/fwlink/?linkid=870924
Comment:
    Eq 6</t>
      </text>
    </comment>
    <comment ref="C48" authorId="2" shapeId="0" xr:uid="{87201927-EFA8-44B9-8475-D94FB4C9B2A1}">
      <text>
        <t>[Threaded comment]
Your version of Excel allows you to read this threaded comment; however, any edits to it will get removed if the file is opened in a newer version of Excel. Learn more: https://go.microsoft.com/fwlink/?linkid=870924
Comment:
    Eq 7</t>
      </text>
    </comment>
    <comment ref="C49" authorId="3" shapeId="0" xr:uid="{F3DF6DE3-EDD7-4E78-9B2D-3C8C5DC9D344}">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0" authorId="4" shapeId="0" xr:uid="{9975357D-0592-4E46-88E6-15039414F0DD}">
      <text>
        <t>[Threaded comment]
Your version of Excel allows you to read this threaded comment; however, any edits to it will get removed if the file is opened in a newer version of Excel. Learn more: https://go.microsoft.com/fwlink/?linkid=870924
Comment:
    Eq 5 in tool 08</t>
      </text>
    </comment>
    <comment ref="C51" authorId="5" shapeId="0" xr:uid="{0E0320F1-B92B-4A60-9015-824417C92C8F}">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4" authorId="6" shapeId="0" xr:uid="{FA09F900-D3F7-4F1F-B366-294923B78A17}">
      <text>
        <t>[Threaded comment]
Your version of Excel allows you to read this threaded comment; however, any edits to it will get removed if the file is opened in a newer version of Excel. Learn more: https://go.microsoft.com/fwlink/?linkid=870924
Comment:
    Eq 3</t>
      </text>
    </comment>
    <comment ref="C56" authorId="7" shapeId="0" xr:uid="{07841D25-1509-438D-B9B7-E3585C21484C}">
      <text>
        <t>[Threaded comment]
Your version of Excel allows you to read this threaded comment; however, any edits to it will get removed if the file is opened in a newer version of Excel. Learn more: https://go.microsoft.com/fwlink/?linkid=870924
Comment:
    Eq 4</t>
      </text>
    </comment>
    <comment ref="C57" authorId="8" shapeId="0" xr:uid="{7EA4205B-B3DC-472F-913E-7972767323E3}">
      <text>
        <t>[Threaded comment]
Your version of Excel allows you to read this threaded comment; however, any edits to it will get removed if the file is opened in a newer version of Excel. Learn more: https://go.microsoft.com/fwlink/?linkid=870924
Comment:
    Eq 8</t>
      </text>
    </comment>
    <comment ref="C58" authorId="9" shapeId="0" xr:uid="{4673A058-533D-4E7F-85B6-62A755C6F9F1}">
      <text>
        <t>[Threaded comment]
Your version of Excel allows you to read this threaded comment; however, any edits to it will get removed if the file is opened in a newer version of Excel. Learn more: https://go.microsoft.com/fwlink/?linkid=870924
Comment:
    Eq 9</t>
      </text>
    </comment>
    <comment ref="C59" authorId="10" shapeId="0" xr:uid="{183AA168-3E61-40A5-8C9A-AC527E26BA84}">
      <text>
        <t>[Threaded comment]
Your version of Excel allows you to read this threaded comment; however, any edits to it will get removed if the file is opened in a newer version of Excel. Learn more: https://go.microsoft.com/fwlink/?linkid=870924
Comment:
    Eq 10</t>
      </text>
    </comment>
    <comment ref="C60" authorId="11" shapeId="0" xr:uid="{E9F5C8A3-5AA2-4B3F-BC85-B5C58C48DAA2}">
      <text>
        <t>[Threaded comment]
Your version of Excel allows you to read this threaded comment; however, any edits to it will get removed if the file is opened in a newer version of Excel. Learn more: https://go.microsoft.com/fwlink/?linkid=870924
Comment:
    Eq 11</t>
      </text>
    </comment>
    <comment ref="C61" authorId="12" shapeId="0" xr:uid="{7AE7B7B6-D1F0-401C-99C0-B7FF7422152E}">
      <text>
        <t>[Threaded comment]
Your version of Excel allows you to read this threaded comment; however, any edits to it will get removed if the file is opened in a newer version of Excel. Learn more: https://go.microsoft.com/fwlink/?linkid=870924
Comment:
    Eq 12</t>
      </text>
    </comment>
    <comment ref="C62" authorId="13" shapeId="0" xr:uid="{20798707-05DC-4A54-9350-DBF8000D9460}">
      <text>
        <t>[Threaded comment]
Your version of Excel allows you to read this threaded comment; however, any edits to it will get removed if the file is opened in a newer version of Excel. Learn more: https://go.microsoft.com/fwlink/?linkid=870924
Comment:
    Eq 13</t>
      </text>
    </comment>
    <comment ref="C64" authorId="14" shapeId="0" xr:uid="{C39A13E8-331C-4AD2-BA43-3BEA11FF86C4}">
      <text>
        <t>[Threaded comment]
Your version of Excel allows you to read this threaded comment; however, any edits to it will get removed if the file is opened in a newer version of Excel. Learn more: https://go.microsoft.com/fwlink/?linkid=870924
Comment:
    Eq 14</t>
      </text>
    </comment>
    <comment ref="C65" authorId="15" shapeId="0" xr:uid="{3FA8AB76-6A93-4C6B-BAF2-4489108685BF}">
      <text>
        <t>[Threaded comment]
Your version of Excel allows you to read this threaded comment; however, any edits to it will get removed if the file is opened in a newer version of Excel. Learn more: https://go.microsoft.com/fwlink/?linkid=870924
Comment:
    Eq 14</t>
      </text>
    </comment>
    <comment ref="C66" authorId="16" shapeId="0" xr:uid="{C778BD13-697B-4488-8B72-55E09BFF97C2}">
      <text>
        <t>[Threaded comment]
Your version of Excel allows you to read this threaded comment; however, any edits to it will get removed if the file is opened in a newer version of Excel. Learn more: https://go.microsoft.com/fwlink/?linkid=870924
Comment:
    Eq 14</t>
      </text>
    </comment>
    <comment ref="C67" authorId="17" shapeId="0" xr:uid="{14D7E649-F025-4F91-B969-9E7BE273B214}">
      <text>
        <t>[Threaded comment]
Your version of Excel allows you to read this threaded comment; however, any edits to it will get removed if the file is opened in a newer version of Excel. Learn more: https://go.microsoft.com/fwlink/?linkid=870924
Comment:
    Eq 14</t>
      </text>
    </comment>
    <comment ref="C69" authorId="18" shapeId="0" xr:uid="{65778340-FEEC-40B9-830B-98A4E22D5ABC}">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tc={A66EA3BB-2A3E-4DE5-BA91-70F08ACF619C}</author>
    <author>tc={9CB507C6-77A4-4859-81B1-DDAE5AB08988}</author>
    <author>tc={252F0B19-B0E9-4372-809A-B5DD530CDED0}</author>
    <author>tc={E53EA285-3D09-4672-9C7F-32A543CBC11E}</author>
    <author>tc={98B03C05-3E7B-4540-8A1B-8DA9E5580BFC}</author>
    <author>tc={0EF85A7F-36FE-43D3-AF36-93F1A2EC0A25}</author>
    <author>tc={FCE110FC-1CF8-4D3A-B783-19CA22D3C573}</author>
    <author>tc={BF8BCE45-B745-4625-936D-EA2E0AB095D9}</author>
    <author>tc={31D7AD9A-DDB0-4377-95DC-9FB0809F7CEF}</author>
    <author>tc={34EAE135-9AE6-433E-BE69-B0D03D2870F2}</author>
  </authors>
  <commentList>
    <comment ref="F9" authorId="0" shapeId="0" xr:uid="{A66EA3BB-2A3E-4DE5-BA91-70F08ACF619C}">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9CB507C6-77A4-4859-81B1-DDAE5AB08988}">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252F0B19-B0E9-4372-809A-B5DD530CDED0}">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E53EA285-3D09-4672-9C7F-32A543CBC11E}">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98B03C05-3E7B-4540-8A1B-8DA9E5580BFC}">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0EF85A7F-36FE-43D3-AF36-93F1A2EC0A25}">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1" authorId="6" shapeId="0" xr:uid="{FCE110FC-1CF8-4D3A-B783-19CA22D3C573}">
      <text>
        <t>[Threaded comment]
Your version of Excel allows you to read this threaded comment; however, any edits to it will get removed if the file is opened in a newer version of Excel. Learn more: https://go.microsoft.com/fwlink/?linkid=870924
Comment:
    Eq 7</t>
      </text>
    </comment>
    <comment ref="F42" authorId="7" shapeId="0" xr:uid="{BF8BCE45-B745-4625-936D-EA2E0AB095D9}">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57" authorId="8" shapeId="0" xr:uid="{31D7AD9A-DDB0-4377-95DC-9FB0809F7CEF}">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 ref="I70" authorId="9" shapeId="0" xr:uid="{34EAE135-9AE6-433E-BE69-B0D03D2870F2}">
      <text>
        <t>[Threaded comment]
Your version of Excel allows you to read this threaded comment; however, any edits to it will get removed if the file is opened in a newer version of Excel. Learn more: https://go.microsoft.com/fwlink/?linkid=870924
Comment:
    The calculated value for this is located in row 66 as option 1</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tc={7281CD29-A247-4164-A731-1F7D5D6E1D7E}</author>
    <author>tc={1B8F78A6-4D5E-49BF-8CEA-910767178653}</author>
    <author>tc={C67E2A1A-BFCE-4A79-AA36-F662E816100A}</author>
    <author>tc={C765DB42-0E36-4A9F-ADF2-6E84F725BB8A}</author>
    <author>tc={4524539C-5BD9-4DAB-91A1-DF057EC3DCBF}</author>
    <author>tc={2FF1EDA8-EE1E-422A-93E8-39EE951578FC}</author>
    <author>tc={8178C38C-1C99-476C-8032-DF97B1C84DDC}</author>
    <author>tc={1A01F63D-90E9-4B50-A823-22F90F8A2DFA}</author>
    <author>tc={97F7E44F-2A69-4033-9193-C36B541F3DC9}</author>
    <author>tc={A2EAC5D8-C27A-484B-97AF-16D6FC0DAE6F}</author>
    <author>tc={118A11B6-6038-404C-8546-972A6183B14D}</author>
    <author>tc={361A2569-C973-479B-B4B6-DA5FC2A955F8}</author>
    <author>tc={DF534DC1-2CB2-426A-9443-4D79A4BC0626}</author>
    <author>tc={7A9DDD82-F07F-44CD-80F3-0C8FB1FCAD22}</author>
    <author>tc={531F9218-1355-4FB9-82F7-495A3C12310B}</author>
    <author>tc={FB4CD4B3-DC2C-4AB2-83CD-9FAC548DD3AE}</author>
    <author>tc={886199B8-E2E5-42AA-92FA-3AAD68C7CF9E}</author>
    <author>tc={7BDFEFD9-9590-41C6-B7CF-62DA7982FF01}</author>
    <author>tc={BB159412-79C0-491E-9930-AFFDEB49FFE8}</author>
    <author>tc={A15BBC4C-BC8E-4AE9-BD09-829374718516}</author>
    <author>tc={261A70BC-AF74-4026-930A-7228E6FD2317}</author>
    <author>tc={BF4F94E0-AFC9-4443-9009-B4B6C9F0335C}</author>
    <author>tc={832E33ED-8348-4DD5-A217-8562997FEFED}</author>
    <author>tc={0EC5DB7C-40E3-46B9-A333-5376269FE7D6}</author>
    <author>tc={539DE196-4B6A-4FBB-B978-DDF124AFEA88}</author>
    <author>tc={D87FC3EE-0C61-4380-9194-7706953E00AA}</author>
    <author>tc={53F9E3CB-CAE0-4A2E-A0CA-88C45AF9661E}</author>
  </authors>
  <commentList>
    <comment ref="E13" authorId="0" shapeId="0" xr:uid="{7281CD29-A247-4164-A731-1F7D5D6E1D7E}">
      <text>
        <t>[Threaded comment]
Your version of Excel allows you to read this threaded comment; however, any edits to it will get removed if the file is opened in a newer version of Excel. Learn more: https://go.microsoft.com/fwlink/?linkid=870924
Comment:
    Eq 1</t>
      </text>
    </comment>
    <comment ref="E14" authorId="1" shapeId="0" xr:uid="{1B8F78A6-4D5E-49BF-8CEA-910767178653}">
      <text>
        <t>[Threaded comment]
Your version of Excel allows you to read this threaded comment; however, any edits to it will get removed if the file is opened in a newer version of Excel. Learn more: https://go.microsoft.com/fwlink/?linkid=870924
Comment:
    Eq 3</t>
      </text>
    </comment>
    <comment ref="E15" authorId="2" shapeId="0" xr:uid="{C67E2A1A-BFCE-4A79-AA36-F662E816100A}">
      <text>
        <t>[Threaded comment]
Your version of Excel allows you to read this threaded comment; however, any edits to it will get removed if the file is opened in a newer version of Excel. Learn more: https://go.microsoft.com/fwlink/?linkid=870924
Comment:
    Tool 05</t>
      </text>
    </comment>
    <comment ref="F15" authorId="3" shapeId="0" xr:uid="{C765DB42-0E36-4A9F-ADF2-6E84F725BB8A}">
      <text>
        <t>[Threaded comment]
Your version of Excel allows you to read this threaded comment; however, any edits to it will get removed if the file is opened in a newer version of Excel. Learn more: https://go.microsoft.com/fwlink/?linkid=870924
Comment:
    Comes from tool 03</t>
      </text>
    </comment>
    <comment ref="E16" authorId="4" shapeId="0" xr:uid="{4524539C-5BD9-4DAB-91A1-DF057EC3DCBF}">
      <text>
        <t>[Threaded comment]
Your version of Excel allows you to read this threaded comment; however, any edits to it will get removed if the file is opened in a newer version of Excel. Learn more: https://go.microsoft.com/fwlink/?linkid=870924
Comment:
    Eq 4</t>
      </text>
    </comment>
    <comment ref="E19" authorId="5" shapeId="0" xr:uid="{2FF1EDA8-EE1E-422A-93E8-39EE951578FC}">
      <text>
        <t xml:space="preserve">[Threaded comment]
Your version of Excel allows you to read this threaded comment; however, any edits to it will get removed if the file is opened in a newer version of Excel. Learn more: https://go.microsoft.com/fwlink/?linkid=870924
Comment:
    Eq 4
Reply:
    Tool 8 Tool to determine the mass flow of a greenhouse gas in a gaseous stream </t>
      </text>
    </comment>
    <comment ref="E24" authorId="6" shapeId="0" xr:uid="{8178C38C-1C99-476C-8032-DF97B1C84DDC}">
      <text>
        <t>[Threaded comment]
Your version of Excel allows you to read this threaded comment; however, any edits to it will get removed if the file is opened in a newer version of Excel. Learn more: https://go.microsoft.com/fwlink/?linkid=870924
Comment:
    Eq 3</t>
      </text>
    </comment>
    <comment ref="E28" authorId="7" shapeId="0" xr:uid="{1A01F63D-90E9-4B50-A823-22F90F8A2DFA}">
      <text>
        <t>[Threaded comment]
Your version of Excel allows you to read this threaded comment; however, any edits to it will get removed if the file is opened in a newer version of Excel. Learn more: https://go.microsoft.com/fwlink/?linkid=870924
Comment:
    Eq 9</t>
      </text>
    </comment>
    <comment ref="E29" authorId="8" shapeId="0" xr:uid="{97F7E44F-2A69-4033-9193-C36B541F3DC9}">
      <text>
        <t>[Threaded comment]
Your version of Excel allows you to read this threaded comment; however, any edits to it will get removed if the file is opened in a newer version of Excel. Learn more: https://go.microsoft.com/fwlink/?linkid=870924
Comment:
    Eq 15</t>
      </text>
    </comment>
    <comment ref="E31" authorId="9" shapeId="0" xr:uid="{A2EAC5D8-C27A-484B-97AF-16D6FC0DAE6F}">
      <text>
        <t>[Threaded comment]
Your version of Excel allows you to read this threaded comment; however, any edits to it will get removed if the file is opened in a newer version of Excel. Learn more: https://go.microsoft.com/fwlink/?linkid=870924
Comment:
    Eq 10</t>
      </text>
    </comment>
    <comment ref="F34" authorId="10" shapeId="0" xr:uid="{118A11B6-6038-404C-8546-972A6183B14D}">
      <text>
        <t>[Threaded comment]
Your version of Excel allows you to read this threaded comment; however, any edits to it will get removed if the file is opened in a newer version of Excel. Learn more: https://go.microsoft.com/fwlink/?linkid=870924
Comment:
    Methane</t>
      </text>
    </comment>
    <comment ref="E37" authorId="11" shapeId="0" xr:uid="{361A2569-C973-479B-B4B6-DA5FC2A955F8}">
      <text>
        <t>[Threaded comment]
Your version of Excel allows you to read this threaded comment; however, any edits to it will get removed if the file is opened in a newer version of Excel. Learn more: https://go.microsoft.com/fwlink/?linkid=870924
Comment:
    Eq 16</t>
      </text>
    </comment>
    <comment ref="E38" authorId="12" shapeId="0" xr:uid="{DF534DC1-2CB2-426A-9443-4D79A4BC0626}">
      <text>
        <t>[Threaded comment]
Your version of Excel allows you to read this threaded comment; however, any edits to it will get removed if the file is opened in a newer version of Excel. Learn more: https://go.microsoft.com/fwlink/?linkid=870924
Comment:
    Eq 17</t>
      </text>
    </comment>
    <comment ref="E42" authorId="13" shapeId="0" xr:uid="{7A9DDD82-F07F-44CD-80F3-0C8FB1FCAD22}">
      <text>
        <t>[Threaded comment]
Your version of Excel allows you to read this threaded comment; however, any edits to it will get removed if the file is opened in a newer version of Excel. Learn more: https://go.microsoft.com/fwlink/?linkid=870924
Comment:
    Eq 2</t>
      </text>
    </comment>
    <comment ref="C46" authorId="14" shapeId="0" xr:uid="{531F9218-1355-4FB9-82F7-495A3C12310B}">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47" authorId="15" shapeId="0" xr:uid="{FB4CD4B3-DC2C-4AB2-83CD-9FAC548DD3AE}">
      <text>
        <t>[Threaded comment]
Your version of Excel allows you to read this threaded comment; however, any edits to it will get removed if the file is opened in a newer version of Excel. Learn more: https://go.microsoft.com/fwlink/?linkid=870924
Comment:
    Eq 1
Reply:
    Tool 05</t>
      </text>
    </comment>
    <comment ref="E49" authorId="16" shapeId="0" xr:uid="{886199B8-E2E5-42AA-92FA-3AAD68C7CF9E}">
      <text>
        <t>[Threaded comment]
Your version of Excel allows you to read this threaded comment; however, any edits to it will get removed if the file is opened in a newer version of Excel. Learn more: https://go.microsoft.com/fwlink/?linkid=870924
Comment:
    Eq 3</t>
      </text>
    </comment>
    <comment ref="C54" authorId="17" shapeId="0" xr:uid="{7BDFEFD9-9590-41C6-B7CF-62DA7982FF01}">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55" authorId="18" shapeId="0" xr:uid="{BB159412-79C0-491E-9930-AFFDEB49FFE8}">
      <text>
        <t>[Threaded comment]
Your version of Excel allows you to read this threaded comment; however, any edits to it will get removed if the file is opened in a newer version of Excel. Learn more: https://go.microsoft.com/fwlink/?linkid=870924
Comment:
    Eq 1
Reply:
    Tool 03</t>
      </text>
    </comment>
    <comment ref="E57" authorId="19" shapeId="0" xr:uid="{A15BBC4C-BC8E-4AE9-BD09-829374718516}">
      <text>
        <t>[Threaded comment]
Your version of Excel allows you to read this threaded comment; however, any edits to it will get removed if the file is opened in a newer version of Excel. Learn more: https://go.microsoft.com/fwlink/?linkid=870924
Comment:
    Eq 4</t>
      </text>
    </comment>
    <comment ref="C62" authorId="20" shapeId="0" xr:uid="{261A70BC-AF74-4026-930A-7228E6FD2317}">
      <text>
        <t>[Threaded comment]
Your version of Excel allows you to read this threaded comment; however, any edits to it will get removed if the file is opened in a newer version of Excel. Learn more: https://go.microsoft.com/fwlink/?linkid=870924
Comment:
    Data comes from Tool 06</t>
      </text>
    </comment>
    <comment ref="E63" authorId="21" shapeId="0" xr:uid="{BF4F94E0-AFC9-4443-9009-B4B6C9F0335C}">
      <text>
        <t>[Threaded comment]
Your version of Excel allows you to read this threaded comment; however, any edits to it will get removed if the file is opened in a newer version of Excel. Learn more: https://go.microsoft.com/fwlink/?linkid=870924
Comment:
    Tool 06
Reply:
    Eq 15</t>
      </text>
    </comment>
    <comment ref="E65" authorId="22" shapeId="0" xr:uid="{832E33ED-8348-4DD5-A217-8562997FEFED}">
      <text>
        <t>[Threaded comment]
Your version of Excel allows you to read this threaded comment; however, any edits to it will get removed if the file is opened in a newer version of Excel. Learn more: https://go.microsoft.com/fwlink/?linkid=870924
Comment:
    Eq 5</t>
      </text>
    </comment>
    <comment ref="E69" authorId="23" shapeId="0" xr:uid="{0EC5DB7C-40E3-46B9-A333-5376269FE7D6}">
      <text>
        <t>[Threaded comment]
Your version of Excel allows you to read this threaded comment; however, any edits to it will get removed if the file is opened in a newer version of Excel. Learn more: https://go.microsoft.com/fwlink/?linkid=870924
Comment:
    Eq 6</t>
      </text>
    </comment>
    <comment ref="E77" authorId="24" shapeId="0" xr:uid="{539DE196-4B6A-4FBB-B978-DDF124AFEA88}">
      <text>
        <t>[Threaded comment]
Your version of Excel allows you to read this threaded comment; however, any edits to it will get removed if the file is opened in a newer version of Excel. Learn more: https://go.microsoft.com/fwlink/?linkid=870924
Comment:
    Eq 7</t>
      </text>
    </comment>
    <comment ref="E83" authorId="25" shapeId="0" xr:uid="{D87FC3EE-0C61-4380-9194-7706953E00AA}">
      <text>
        <t>[Threaded comment]
Your version of Excel allows you to read this threaded comment; however, any edits to it will get removed if the file is opened in a newer version of Excel. Learn more: https://go.microsoft.com/fwlink/?linkid=870924
Comment:
    Eq 8</t>
      </text>
    </comment>
    <comment ref="E89" authorId="26" shapeId="0" xr:uid="{53F9E3CB-CAE0-4A2E-A0CA-88C45AF9661E}">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tc={4B790A2D-3756-401F-9FC0-6E0C61B6DB97}</author>
    <author>tc={F39D23E3-2A2D-4E5D-B766-EDC4E00C0FB9}</author>
  </authors>
  <commentList>
    <comment ref="D13" authorId="0" shapeId="0" xr:uid="{4B790A2D-3756-401F-9FC0-6E0C61B6DB97}">
      <text>
        <t>[Threaded comment]
Your version of Excel allows you to read this threaded comment; however, any edits to it will get removed if the file is opened in a newer version of Excel. Learn more: https://go.microsoft.com/fwlink/?linkid=870924
Comment:
    Eq 4</t>
      </text>
    </comment>
    <comment ref="D27" authorId="1" shapeId="0" xr:uid="{F39D23E3-2A2D-4E5D-B766-EDC4E00C0FB9}">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tc={13FD214F-8D66-47A0-BE09-7DA3DC274E2B}</author>
    <author>tc={1F096A44-44EC-42B1-8D7E-CA7428E9FA17}</author>
    <author>tc={E52EC422-9769-402E-ADE5-77AD52F71035}</author>
    <author>tc={68B7EF61-A770-4CE3-A99C-E1A8B6821322}</author>
  </authors>
  <commentList>
    <comment ref="D9" authorId="0" shapeId="0" xr:uid="{13FD214F-8D66-47A0-BE09-7DA3DC274E2B}">
      <text>
        <t>[Threaded comment]
Your version of Excel allows you to read this threaded comment; however, any edits to it will get removed if the file is opened in a newer version of Excel. Learn more: https://go.microsoft.com/fwlink/?linkid=870924
Comment:
    Eq 4</t>
      </text>
    </comment>
    <comment ref="D13" authorId="1" shapeId="0" xr:uid="{1F096A44-44EC-42B1-8D7E-CA7428E9FA17}">
      <text>
        <t>[Threaded comment]
Your version of Excel allows you to read this threaded comment; however, any edits to it will get removed if the file is opened in a newer version of Excel. Learn more: https://go.microsoft.com/fwlink/?linkid=870924
Comment:
    Eq 2 &amp; 3
Reply:
    Default option &amp; Adjusted Default
Reply:
    PP should be able to choose if they want to use the default value (eq 2) or if they want to adjust the default value (eq 3)</t>
      </text>
    </comment>
    <comment ref="D29" authorId="2" shapeId="0" xr:uid="{E52EC422-9769-402E-ADE5-77AD52F71035}">
      <text>
        <t>[Threaded comment]
Your version of Excel allows you to read this threaded comment; however, any edits to it will get removed if the file is opened in a newer version of Excel. Learn more: https://go.microsoft.com/fwlink/?linkid=870924
Comment:
    Eq 4</t>
      </text>
    </comment>
    <comment ref="D33" authorId="3" shapeId="0" xr:uid="{68B7EF61-A770-4CE3-A99C-E1A8B6821322}">
      <text>
        <t>[Threaded comment]
Your version of Excel allows you to read this threaded comment; however, any edits to it will get removed if the file is opened in a newer version of Excel. Learn more: https://go.microsoft.com/fwlink/?linkid=870924
Comment:
    Eq 2
Reply:
    Default option
Reply:
    PP should be able to choose if they want to use the default value (eq 2) or if they want to adjust the default value (eq 3)</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tc={5FA0C20B-C61D-4F66-8E34-FB2D0749042F}</author>
    <author>tc={8E2E7A54-7B90-4D0C-9EFA-9D4149A6FB2E}</author>
    <author>tc={5B19DF32-074F-42C5-A369-F9457D09465F}</author>
    <author>tc={17202CCE-DBAC-4227-88A5-3D9054DCE6B1}</author>
  </authors>
  <commentList>
    <comment ref="D8" authorId="0" shapeId="0" xr:uid="{5FA0C20B-C61D-4F66-8E34-FB2D0749042F}">
      <text>
        <t>[Threaded comment]
Your version of Excel allows you to read this threaded comment; however, any edits to it will get removed if the file is opened in a newer version of Excel. Learn more: https://go.microsoft.com/fwlink/?linkid=870924
Comment:
    Eq 4</t>
      </text>
    </comment>
    <comment ref="D12" authorId="1" shapeId="0" xr:uid="{8E2E7A54-7B90-4D0C-9EFA-9D4149A6FB2E}">
      <text>
        <t>[Threaded comment]
Your version of Excel allows you to read this threaded comment; however, any edits to it will get removed if the file is opened in a newer version of Excel. Learn more: https://go.microsoft.com/fwlink/?linkid=870924
Comment:
    Eq 2
Reply:
    Default option
Reply:
    PP should be able to choose if they want to use the default value (eq 2) or if they want to adjust the default value (eq 3)</t>
      </text>
    </comment>
    <comment ref="D27" authorId="2" shapeId="0" xr:uid="{5B19DF32-074F-42C5-A369-F9457D09465F}">
      <text>
        <t>[Threaded comment]
Your version of Excel allows you to read this threaded comment; however, any edits to it will get removed if the file is opened in a newer version of Excel. Learn more: https://go.microsoft.com/fwlink/?linkid=870924
Comment:
    Eq 4</t>
      </text>
    </comment>
    <comment ref="D31" authorId="3" shapeId="0" xr:uid="{17202CCE-DBAC-4227-88A5-3D9054DCE6B1}">
      <text>
        <t>[Threaded comment]
Your version of Excel allows you to read this threaded comment; however, any edits to it will get removed if the file is opened in a newer version of Excel. Learn more: https://go.microsoft.com/fwlink/?linkid=870924
Comment:
    Eq 2
Reply:
    Default option
Reply:
    PP should be able to choose if they want to use the default value (eq 2) or if they want to adjust the default value (eq 3)</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tc={12BD5197-E606-43E6-8006-B13E8D79484F}</author>
  </authors>
  <commentList>
    <comment ref="F10" authorId="0" shapeId="0" xr:uid="{12BD5197-E606-43E6-8006-B13E8D79484F}">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tc={B11878FC-4AA4-4F1B-A252-C573D20C4214}</author>
    <author>tc={554F833A-BD03-4C87-BE18-61B5F128A468}</author>
    <author>tc={5AA0AAA5-88C8-4AAB-8EB1-B4B624E4F2F4}</author>
    <author>tc={EE985ADA-BE51-4862-A1B0-EA9A98EBC8CF}</author>
    <author>tc={FDC3F480-62A5-4709-9AAD-55221DBE6B39}</author>
    <author>tc={25E58F03-BDBB-4EA1-9A31-563391AF404E}</author>
    <author>tc={C372504D-7CE4-4188-81AE-CE507F2A1296}</author>
    <author>tc={A3247D6C-E3F6-4DAD-8936-5A837389E5DE}</author>
  </authors>
  <commentList>
    <comment ref="B34" authorId="0" shapeId="0" xr:uid="{B11878FC-4AA4-4F1B-A252-C573D20C4214}">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554F833A-BD03-4C87-BE18-61B5F128A468}">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5AA0AAA5-88C8-4AAB-8EB1-B4B624E4F2F4}">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EE985ADA-BE51-4862-A1B0-EA9A98EBC8CF}">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FDC3F480-62A5-4709-9AAD-55221DBE6B39}">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25E58F03-BDBB-4EA1-9A31-563391AF404E}">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C372504D-7CE4-4188-81AE-CE507F2A1296}">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A3247D6C-E3F6-4DAD-8936-5A837389E5DE}">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tc={D1DEEA44-9D92-493D-9065-30CCCD899042}</author>
  </authors>
  <commentList>
    <comment ref="A2" authorId="0" shapeId="0" xr:uid="{D1DEEA44-9D92-493D-9065-30CCCD899042}">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tc={4AB3DC77-651C-4199-A600-91D696611401}</author>
    <author>tc={A325CF59-FA08-4A6D-95F6-D38F02F137A5}</author>
    <author>tc={620CD3E4-BBCA-4EC2-8798-78990016D5BF}</author>
    <author>tc={2A5E9875-BA54-4CB4-A3C8-1C1867F2AB45}</author>
    <author>tc={C986219E-21A2-416E-9953-ECB9199E0F72}</author>
    <author>tc={CB0165BB-542D-4264-B7DE-408C4EB593AD}</author>
    <author>tc={F182919C-5E07-40BD-9378-B2390006A394}</author>
    <author>tc={EEEB1311-3EA1-45C2-B873-87FB7C280C3D}</author>
  </authors>
  <commentList>
    <comment ref="F6" authorId="0" shapeId="0" xr:uid="{4AB3DC77-651C-4199-A600-91D696611401}">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A325CF59-FA08-4A6D-95F6-D38F02F137A5}">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620CD3E4-BBCA-4EC2-8798-78990016D5BF}">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2A5E9875-BA54-4CB4-A3C8-1C1867F2AB45}">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C986219E-21A2-416E-9953-ECB9199E0F72}">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CB0165BB-542D-4264-B7DE-408C4EB593AD}">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F182919C-5E07-40BD-9378-B2390006A394}">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EEEB1311-3EA1-45C2-B873-87FB7C280C3D}">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tc={2D83C2DB-0C58-45DF-B9D2-8CD8851A560B}</author>
    <author>tc={D98D6DC5-C15F-44FF-8FF8-C4E8B90CD76F}</author>
    <author>tc={1968134E-AF4F-45E9-936A-E22D0B2B6B1B}</author>
    <author>tc={5CDAB311-52C0-42BF-BD1D-F27CA372506B}</author>
    <author>tc={94F2BA51-2718-413C-8EC3-537973BC6985}</author>
    <author>tc={45D08D2D-01C6-4C23-90C5-AE0E80351D50}</author>
    <author>tc={4E68F5CF-4EA9-44EA-8F26-CDF783EF9EC0}</author>
    <author>tc={C6F6EF8A-6F79-45AE-A06A-0B3335316702}</author>
    <author>tc={77B6D82A-6A91-4518-8F04-B0F08F945C1A}</author>
    <author>tc={340CE738-7A1F-4263-94CE-60F65EFB9D31}</author>
    <author>tc={C9A9D29C-3606-4433-BBE1-853037A3AC10}</author>
    <author>tc={499FBBDC-733D-4394-B378-8EA9BE19C011}</author>
    <author>tc={295ED880-2BFF-47D4-A383-E46F7A3DDE2E}</author>
    <author>tc={388A6FF4-25D0-4E5B-86EA-7F4547417E07}</author>
    <author>tc={A4AA4F51-C721-4E6E-901F-69770AF46D7A}</author>
    <author>tc={BE6E217A-3D7C-4A6C-96E7-0B11FDD12AAD}</author>
    <author>tc={1DB7A827-6018-44E0-B986-0AF50ED174FB}</author>
    <author>tc={D243AC09-82DF-40B4-9EEF-EC28548C37FF}</author>
    <author>tc={DEC95EB5-F963-4EAD-8DB1-2CAD7CB78DF8}</author>
    <author>tc={B7A4ACED-AD4E-499D-B390-5DE5C642DCB0}</author>
  </authors>
  <commentList>
    <comment ref="F3" authorId="0" shapeId="0" xr:uid="{2D83C2DB-0C58-45DF-B9D2-8CD8851A560B}">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D98D6DC5-C15F-44FF-8FF8-C4E8B90CD76F}">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1968134E-AF4F-45E9-936A-E22D0B2B6B1B}">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5CDAB311-52C0-42BF-BD1D-F27CA372506B}">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94F2BA51-2718-413C-8EC3-537973BC6985}">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45D08D2D-01C6-4C23-90C5-AE0E80351D50}">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4E68F5CF-4EA9-44EA-8F26-CDF783EF9EC0}">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C6F6EF8A-6F79-45AE-A06A-0B3335316702}">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77B6D82A-6A91-4518-8F04-B0F08F945C1A}">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340CE738-7A1F-4263-94CE-60F65EFB9D31}">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C9A9D29C-3606-4433-BBE1-853037A3AC10}">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499FBBDC-733D-4394-B378-8EA9BE19C011}">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295ED880-2BFF-47D4-A383-E46F7A3DDE2E}">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388A6FF4-25D0-4E5B-86EA-7F4547417E07}">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A4AA4F51-C721-4E6E-901F-69770AF46D7A}">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BE6E217A-3D7C-4A6C-96E7-0B11FDD12AAD}">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1DB7A827-6018-44E0-B986-0AF50ED174FB}">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D243AC09-82DF-40B4-9EEF-EC28548C37FF}">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DEC95EB5-F963-4EAD-8DB1-2CAD7CB78DF8}">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B7A4ACED-AD4E-499D-B390-5DE5C642DCB0}">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sharedStrings.xml><?xml version="1.0" encoding="utf-8"?>
<sst xmlns="http://schemas.openxmlformats.org/spreadsheetml/2006/main" count="3986" uniqueCount="1732">
  <si>
    <t>Required Field</t>
  </si>
  <si>
    <t>Selective Disclosure</t>
  </si>
  <si>
    <t>Allow Multiple Answers</t>
  </si>
  <si>
    <t>Schema Type</t>
  </si>
  <si>
    <t>Properties</t>
  </si>
  <si>
    <t>Parameter</t>
  </si>
  <si>
    <t>Question</t>
  </si>
  <si>
    <t>Answer</t>
  </si>
  <si>
    <t>Notes</t>
  </si>
  <si>
    <t>Project Details</t>
  </si>
  <si>
    <t>Yes</t>
  </si>
  <si>
    <t>No</t>
  </si>
  <si>
    <t>String</t>
  </si>
  <si>
    <t>ActivityImpactModule.id</t>
  </si>
  <si>
    <t>N/A</t>
  </si>
  <si>
    <t>Summary Description of the Project</t>
  </si>
  <si>
    <t>The purpose of this project is to mitigate and recover animal effluent related Greenhouse Gas (GHG) by improving the Animal Waste Management System practices in the confined animal feed operations in the different cities located in central Brazil.</t>
  </si>
  <si>
    <t>ActivityImpactModule.projectScope</t>
  </si>
  <si>
    <t>Sectoral Scope</t>
  </si>
  <si>
    <t>Project Scope: 13</t>
  </si>
  <si>
    <t>ActivityImpactModule.projectType</t>
  </si>
  <si>
    <t>Project Type</t>
  </si>
  <si>
    <t>Project Category: GHG destruction</t>
  </si>
  <si>
    <t>Type of Activity</t>
  </si>
  <si>
    <t>Replacement or modification of existing anaerobic manure management systems in livestock farms, or treatment of manure collected from several farms in a centralized plant to achieve methane recovery and destruction by flaring/combustion or energetic use of the recovered methane</t>
  </si>
  <si>
    <t>ActivityImpactModule.projectScale</t>
  </si>
  <si>
    <t>Project Scale</t>
  </si>
  <si>
    <t>Small-scale</t>
  </si>
  <si>
    <t>ActivityImpactModule.GeographicLocation.latitude</t>
  </si>
  <si>
    <t>Project Location Latitude</t>
  </si>
  <si>
    <t>14.2350° S</t>
  </si>
  <si>
    <t>ActivityImpactModule.GeographicLocation.longitude</t>
  </si>
  <si>
    <t>Project Location Longitude</t>
  </si>
  <si>
    <t>51.9253° W</t>
  </si>
  <si>
    <t>GeoJSON</t>
  </si>
  <si>
    <t>ActivityImpactModule.GeographicLocation.geoJsonOrKml</t>
  </si>
  <si>
    <t>Project Location GeoJSON (GeoJSON supports the following geometry types: Point, LineString, Polygon, MultiPoint, MultiLineString, MultiPolygon.)</t>
  </si>
  <si>
    <t>[-14.2350, -51.9253]</t>
  </si>
  <si>
    <t>Project Eligibility</t>
  </si>
  <si>
    <t>The scope of the VCS Program includes: 1) The six Kyoto Protocol greenhouse gases. 2) Ozone-depleting substances. 3) Project activities supported by a methodology approved under the VCS Program through the methodology approval process. 4) Project activities supported by a methodology approved under an approved GHG program, unless explicitly excluded (see the Verra website for exclusions). 5) Jurisdictional REDD+ programs and nested REDD+ projects as set out in the VCS Program document Jurisdictional and Nested REDD+ (JNR) Requirements.</t>
  </si>
  <si>
    <t>AccountableImpactOrganization.name</t>
  </si>
  <si>
    <t>Project Participant Organization Name</t>
  </si>
  <si>
    <t>X Methane Recovery Project</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</si>
  <si>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</si>
  <si>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</si>
  <si>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</si>
  <si>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</si>
  <si>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</si>
  <si>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</si>
  <si>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</si>
  <si>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</si>
  <si>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Brazil</t>
  </si>
  <si>
    <t>Phone Number</t>
  </si>
  <si>
    <t xml:space="preserve">Project Participant Telephone </t>
  </si>
  <si>
    <t>(555) 222-3131</t>
  </si>
  <si>
    <t>Email</t>
  </si>
  <si>
    <t>Project Participant Email</t>
  </si>
  <si>
    <t>JD@gmail.com</t>
  </si>
  <si>
    <t>AccountableImpactOrganization.owners</t>
  </si>
  <si>
    <t>Project Ownership</t>
  </si>
  <si>
    <t>The project ownership is the legal right to control and operate the project activity</t>
  </si>
  <si>
    <t>Participation under other GHG Programs</t>
  </si>
  <si>
    <t>Other Forms of Environmental Credit</t>
  </si>
  <si>
    <t>Projects Rejected by Other GHG Programs</t>
  </si>
  <si>
    <t>Select all that apply</t>
  </si>
  <si>
    <t>QualityStandard.methodologyAndTools</t>
  </si>
  <si>
    <t>Title and Reference of Methodologies</t>
  </si>
  <si>
    <t>CDM - AMS-III.D.</t>
  </si>
  <si>
    <t>Date</t>
  </si>
  <si>
    <t>ActivityImpactModule.projectStartDate</t>
  </si>
  <si>
    <t>Project Start Date</t>
  </si>
  <si>
    <t>Date Range</t>
  </si>
  <si>
    <t>ActivityImpactModule.projectCreditingPeriod</t>
  </si>
  <si>
    <t>Project Crediting Period</t>
  </si>
  <si>
    <t>01/01/2018-01/01/2019</t>
  </si>
  <si>
    <t>ActivityImpactModule.projectMonitoringPeriod</t>
  </si>
  <si>
    <t>Project Monitoring Period</t>
  </si>
  <si>
    <t>Project Monitoring Plan</t>
  </si>
  <si>
    <t>Monitoring plan was structured based on AMS-III.D criteria</t>
  </si>
  <si>
    <t>Compliance with Laws, Statutes and Other Regulatory Frameworks</t>
  </si>
  <si>
    <t>Reliance is compliant with the legal requirements of Brazil</t>
  </si>
  <si>
    <t>Eligibility Criteria</t>
  </si>
  <si>
    <t>Not applicable, this is not a grouped project.</t>
  </si>
  <si>
    <t>CoBenefit.unSdg</t>
  </si>
  <si>
    <t>Sustainable development</t>
  </si>
  <si>
    <t>SDG 13, SDG 4</t>
  </si>
  <si>
    <t>Further Information</t>
  </si>
  <si>
    <t>No further information</t>
  </si>
  <si>
    <t xml:space="preserve">Determination of which approach will be used 17a or 17b </t>
  </si>
  <si>
    <t>If/Then</t>
  </si>
  <si>
    <r>
      <t xml:space="preserve">Please select the option that applies to your project in order to calculate baseline and project emissions:
</t>
    </r>
    <r>
      <rPr>
        <b/>
        <sz val="11"/>
        <color rgb="FF000000"/>
        <rFont val="Calibri"/>
        <family val="2"/>
        <scheme val="minor"/>
      </rPr>
      <t>Option 17a:</t>
    </r>
    <r>
      <rPr>
        <sz val="11"/>
        <color rgb="FF000000"/>
        <rFont val="Calibri"/>
        <family val="2"/>
        <scheme val="minor"/>
      </rPr>
      <t xml:space="preserve"> Using the amount of the waste or raw material that would decay anaerobically in the absence of the project activity, with the most recent IPCC Tier 2 approach. For this calculation, information about the characteristics of the manure and of the management systems in the baseline is required. Manure characteristics include the amount of volatile solids (VS) produced by the livestock and the maximum amount of methane that can be potentially produced from that manure (Bo). 
</t>
    </r>
    <r>
      <rPr>
        <b/>
        <sz val="11"/>
        <color rgb="FF000000"/>
        <rFont val="Calibri"/>
        <family val="2"/>
        <scheme val="minor"/>
      </rPr>
      <t xml:space="preserve">Option 17b: </t>
    </r>
    <r>
      <rPr>
        <sz val="11"/>
        <color rgb="FF000000"/>
        <rFont val="Calibri"/>
        <family val="2"/>
        <scheme val="minor"/>
      </rPr>
      <t>Using the amount of manure that would decay anaerobically in the absence of the project activity based on direct measurement of the quantity of manure treated together with its specific volatile solids (SVS) content.</t>
    </r>
  </si>
  <si>
    <t>Option 17a</t>
  </si>
  <si>
    <t>For Project emissions due to physical leakage of biogas, would you like to use the calculation method based on the AMS-III.D methodology for the calculation method from Methodological tool 14 "Project and leakage emissions from anaerobic digesters"?</t>
  </si>
  <si>
    <t>AMS-III.D</t>
  </si>
  <si>
    <t>For the calculation "Methane captured and destroyed or used gainfully by the project activity" is the biogas flared/combusted or recovered for power generation?</t>
  </si>
  <si>
    <t>Flared/Combusted</t>
  </si>
  <si>
    <t>Baseline Emissions</t>
  </si>
  <si>
    <t>Auto-Calculated</t>
  </si>
  <si>
    <t>ImpactClaimCheckpoint.efBefore</t>
  </si>
  <si>
    <t xml:space="preserve">BEy </t>
  </si>
  <si>
    <t>Baseline emissions in year y (t CO2e)</t>
  </si>
  <si>
    <t>Baseline Emissions 17a</t>
  </si>
  <si>
    <t xml:space="preserve">GWPCH4 </t>
  </si>
  <si>
    <t>Global Warming Potential (GWP) of CH4 applicable to the crediting period (t CO2e/t CH4)</t>
  </si>
  <si>
    <t xml:space="preserve">DCH4 </t>
  </si>
  <si>
    <t>CH4 density</t>
  </si>
  <si>
    <t xml:space="preserve">UFb </t>
  </si>
  <si>
    <t>Model correction factor to account for model uncertainties</t>
  </si>
  <si>
    <t>Baseline Emissions 17b</t>
  </si>
  <si>
    <t xml:space="preserve">Project Activity Emissions </t>
  </si>
  <si>
    <t>ImpactClaimCheckpoint.efAfter</t>
  </si>
  <si>
    <t xml:space="preserve">PEy </t>
  </si>
  <si>
    <t>Project emissions in year y (t CO2e)</t>
  </si>
  <si>
    <t>PEPL,y</t>
  </si>
  <si>
    <t>Emissions due to physical leakage of biogas in year y (t CO2e)</t>
  </si>
  <si>
    <t>PEflare,y</t>
  </si>
  <si>
    <t>Emissions from flaring or combustion of the biogas stream in the year y (t CO2e)</t>
  </si>
  <si>
    <t>Tool 06</t>
  </si>
  <si>
    <t>PEpower,y</t>
  </si>
  <si>
    <t>Emissions from the use of fossil fuel or electricity for the operation of the installed facilities in the year y (t CO2e)</t>
  </si>
  <si>
    <t xml:space="preserve">Tool 14 </t>
  </si>
  <si>
    <t xml:space="preserve">PEtransp,y </t>
  </si>
  <si>
    <t>Emissions from incremental transportation in the year y (t CO2e)</t>
  </si>
  <si>
    <t xml:space="preserve">PEstorage,y </t>
  </si>
  <si>
    <t>Emissions from the storage of manure (t CO2e)</t>
  </si>
  <si>
    <t>Project emissions due to physical leakage of biogas 17a</t>
  </si>
  <si>
    <t xml:space="preserve">PEPL,y </t>
  </si>
  <si>
    <t>Project emissions due to physical leakage of biogas 17b</t>
  </si>
  <si>
    <t>Number</t>
  </si>
  <si>
    <t>𝐵0,𝐿T</t>
  </si>
  <si>
    <t>Maximum methane producing potential of the volatile solid generated for animal type LT (m3 CH4/kg-dm)</t>
  </si>
  <si>
    <t>𝑀𝑆%𝑖,y</t>
  </si>
  <si>
    <t>Fraction of manure handled in system i in year y</t>
  </si>
  <si>
    <t>𝑄𝑚𝑎𝑛𝑢𝑟𝑒,𝐿𝑇,𝑦</t>
  </si>
  <si>
    <t>Quantity of manure treated from livestock type LT and animal manure management system j (tonnes/year, dry basis)</t>
  </si>
  <si>
    <t>𝑆𝑉𝑆𝐿𝑇,y</t>
  </si>
  <si>
    <t>Specific volatile solids content of animal manure from livestock type LT and animal manure management system j in year y (tonnes/tonnes, dry basis)</t>
  </si>
  <si>
    <t>Project emissions due to physical leakage of biogas based on Tool 14</t>
  </si>
  <si>
    <t>Project emissions on account of manure transport (AMS-III.AO)</t>
  </si>
  <si>
    <t>Qy</t>
  </si>
  <si>
    <t>Quantity of raw waste/manure treated and/or wastewater co-digested in the year y (tonnes)</t>
  </si>
  <si>
    <t>Cty</t>
  </si>
  <si>
    <t>Average truck capacity for transportation (tonnes/truck)</t>
  </si>
  <si>
    <t>DAFw</t>
  </si>
  <si>
    <t>Average incremental distance for raw solid waste/manure and/or wastewater transportation (km/truck)</t>
  </si>
  <si>
    <t>EFCO2,transport</t>
  </si>
  <si>
    <t>CO2 emission factor from fuel use due to transportation (kgCO2/km)</t>
  </si>
  <si>
    <t>Qres-waste,y</t>
  </si>
  <si>
    <t>Quantity of residual waste produced in year y (tonnes)</t>
  </si>
  <si>
    <t>Ctres-waste,y</t>
  </si>
  <si>
    <t>Average truck capacity for residual waste transportation (tonnes/truck)</t>
  </si>
  <si>
    <t>DAFres-waste</t>
  </si>
  <si>
    <t>Average distance for residual waste transportation (km/truck)</t>
  </si>
  <si>
    <t xml:space="preserve">Project emissions on account of manure storage </t>
  </si>
  <si>
    <t>PEstorage,y</t>
  </si>
  <si>
    <t>Emission Reductions</t>
  </si>
  <si>
    <t>ImpactClaim.quantity</t>
  </si>
  <si>
    <t xml:space="preserve">ERy,ex post </t>
  </si>
  <si>
    <t>Emission reductions achieved by the project activity based on monitored values for year y (t CO2e)</t>
  </si>
  <si>
    <t>Emission Reductions 17a</t>
  </si>
  <si>
    <t xml:space="preserve">BEy,ex post </t>
  </si>
  <si>
    <t>Baseline emissions calculated using equation 1 (for projects using option in paragraph</t>
  </si>
  <si>
    <t xml:space="preserve">PEy,ex post </t>
  </si>
  <si>
    <t>Project emissions calculated using equation 6 using ex post monitored values</t>
  </si>
  <si>
    <t xml:space="preserve">PEpower,y,ex post </t>
  </si>
  <si>
    <t>Emissions from the use of fossil fuel or electricity for the operation of the
installed facilities based on monitored values in the year y (t CO2e)</t>
  </si>
  <si>
    <t xml:space="preserve">Mdy </t>
  </si>
  <si>
    <t>Methane captured and destroyed or used gainfully by the project activity in year y (t CO2e)</t>
  </si>
  <si>
    <t>Emission Reductions 17b</t>
  </si>
  <si>
    <t xml:space="preserve">Methane captured and destroyed or used gainfully by the project activity (biogas flared or combusted) </t>
  </si>
  <si>
    <t xml:space="preserve">BGburnt,y </t>
  </si>
  <si>
    <t>Biogas flared or combusted in year y (m3 )</t>
  </si>
  <si>
    <t xml:space="preserve">wCH4,Y </t>
  </si>
  <si>
    <t>Methane content in biogas in the year y (volume fraction)</t>
  </si>
  <si>
    <t xml:space="preserve">FE </t>
  </si>
  <si>
    <t>Flare efficiency in the year y (fraction)</t>
  </si>
  <si>
    <t xml:space="preserve">Methane captured and destroyed or used gainfully by the project activity (recovered methane for power generation) </t>
  </si>
  <si>
    <t xml:space="preserve">EGy </t>
  </si>
  <si>
    <t>Total electricity generated from the recovered biogas in year y (MWh)</t>
  </si>
  <si>
    <t>(1MWh=3600 MJ)</t>
  </si>
  <si>
    <t xml:space="preserve">Conversion factor </t>
  </si>
  <si>
    <t xml:space="preserve">NCVCH4 </t>
  </si>
  <si>
    <t>NCV of methane (MJ/Nm3)</t>
  </si>
  <si>
    <t xml:space="preserve">EEY </t>
  </si>
  <si>
    <t>Energy conversion efficiency of the project equipment</t>
  </si>
  <si>
    <t>[Click to Add New Storage Device (Note: Please fill out a new form for each livestock type even if manure is stored in the same device]</t>
  </si>
  <si>
    <t>Project Emissions on Account of Manure Storage in year y</t>
  </si>
  <si>
    <t>LT</t>
  </si>
  <si>
    <t>Type of livestock</t>
  </si>
  <si>
    <t>Cattle</t>
  </si>
  <si>
    <t>Partial PEstorage</t>
  </si>
  <si>
    <t>Partial Project emissions on account of manure storage in year y (t CO2e)</t>
  </si>
  <si>
    <t>AL,l</t>
  </si>
  <si>
    <t>Annual average interval between manure collection and delivery for treatment at a given storage device l (days)</t>
  </si>
  <si>
    <t>VSLT,d</t>
  </si>
  <si>
    <t>Amount of volatile solid production by type of animal LT in a day (kg VS/head/d)</t>
  </si>
  <si>
    <t>MS%L</t>
  </si>
  <si>
    <t>Fraction of volatile solids (%) handled by storage device l</t>
  </si>
  <si>
    <t>k</t>
  </si>
  <si>
    <t xml:space="preserve">Degradation rate constant </t>
  </si>
  <si>
    <t>d</t>
  </si>
  <si>
    <t>Days for which cumulative methane emissions are calculated; d can vary from 1 to 45 and to be run from 1 up to AIl</t>
  </si>
  <si>
    <t>MCFl</t>
  </si>
  <si>
    <t>Annual methane conversion factor for the project manure storage device l</t>
  </si>
  <si>
    <t>Maximum methane producing potential of the volatile solid generated for defined animal type (m3 CH4/kg-dm)</t>
  </si>
  <si>
    <t xml:space="preserve">NLT,y </t>
  </si>
  <si>
    <t>Annual average number of animals of defined type in year y (numbers)</t>
  </si>
  <si>
    <t xml:space="preserve">Nda,y </t>
  </si>
  <si>
    <t>Number of days animal is alive in the farm in the year y (numbers)</t>
  </si>
  <si>
    <t xml:space="preserve">Np,y </t>
  </si>
  <si>
    <t>Number of animals produced annually of defined type for the year y (numbers)</t>
  </si>
  <si>
    <t>n/a</t>
  </si>
  <si>
    <t>[Click to Add New Livestock Type to Calculate Baseline Emissions]</t>
  </si>
  <si>
    <t>Partial Equation for Baseline Emissions year y (17a Option)</t>
  </si>
  <si>
    <t>Partial BEy</t>
  </si>
  <si>
    <t>Partial Equation for baseline emissions in year y (t CO2e) (17a option)</t>
  </si>
  <si>
    <t>MCFj</t>
  </si>
  <si>
    <t>Annual methane conversion factor (MCF) for the baseline animal manure management system j</t>
  </si>
  <si>
    <t xml:space="preserve">MS%Bl,j </t>
  </si>
  <si>
    <t>Fraction of manure handled in baseline animal manure management system j</t>
  </si>
  <si>
    <t>Annual average number of animals of type LT in year y (numbers)</t>
  </si>
  <si>
    <t>Number of animals produced annually of type LT for the year y (numbers)</t>
  </si>
  <si>
    <t>PP must choose between E9 or E10 Question: Do you want to use a default value for "Annual volatile solid excretions for livestock entering all animal waste management systems on a dry matter weight basis" or would you like to adjust the default value?</t>
  </si>
  <si>
    <t>Adjusted Default Value</t>
  </si>
  <si>
    <t xml:space="preserve">VSLT,y </t>
  </si>
  <si>
    <t>Annual volatile solid excretions for livestock LT entering all animal waste management systems on a dry matter weight basis (kgdm/animal/yr)</t>
  </si>
  <si>
    <t>GELT</t>
  </si>
  <si>
    <t>Daily average gross energy intake (MJ/animal/day)</t>
  </si>
  <si>
    <t xml:space="preserve">DELT </t>
  </si>
  <si>
    <t>Digestible energy of the feed (per cent)</t>
  </si>
  <si>
    <t xml:space="preserve">UE </t>
  </si>
  <si>
    <t>Urinary energy (fraction of GELT)</t>
  </si>
  <si>
    <t xml:space="preserve">ASH </t>
  </si>
  <si>
    <t>Ash content of manure (fraction of the dry matter feed intake)</t>
  </si>
  <si>
    <t>EDLT</t>
  </si>
  <si>
    <t>Energy density of the feed fed to livestock type LT (MJ/kg-dm)</t>
  </si>
  <si>
    <t xml:space="preserve">ndy </t>
  </si>
  <si>
    <t>Number of days treatment plant was operational in year y</t>
  </si>
  <si>
    <t>𝑊𝑠𝑖𝑡e</t>
  </si>
  <si>
    <t>Average animal weight of a defined livestock population at the project site (kg)</t>
  </si>
  <si>
    <t>𝑊𝑑𝑒𝑓𝑎𝑢𝑙t</t>
  </si>
  <si>
    <t>Default average animal weight of a defined population, this data is sourced from IPCC 2006 (kg)</t>
  </si>
  <si>
    <t>𝑉𝑆𝑑𝑒𝑓𝑎𝑢𝑙t</t>
  </si>
  <si>
    <t>Default value for the volatile solid excretion rate per day on a dry-matter basis for a defined livestock population (kg-dm/animal/day)</t>
  </si>
  <si>
    <t>Partial Bey</t>
  </si>
  <si>
    <t>Default Value</t>
  </si>
  <si>
    <t>Partial Equation for Baseline Emissions year y (17b Option)</t>
  </si>
  <si>
    <t>Partial Equation for baseline emissions in year y (t CO2e) (17b option)</t>
  </si>
  <si>
    <t>Swine</t>
  </si>
  <si>
    <t>[Click to Add New Livestock Type to Calculate Project Emissions from Physical Leakage of Biogas]</t>
  </si>
  <si>
    <t>Partial Equation for Emissions due to physical leakage of biogas in year y (17a option)</t>
  </si>
  <si>
    <t>Partial PEPL,y</t>
  </si>
  <si>
    <t>Partial Equation for Emissions due to physical leakage of biogas in year y (t CO2e) (17a option)</t>
  </si>
  <si>
    <t xml:space="preserve">Default Value: Annual volatile solid excretions for defined livestock entering all animal waste management systems on a dry matter weight basis (kgdm/animal/yr) </t>
  </si>
  <si>
    <t>Energy density of the feed fed to defined livestock type (MJ/kg-dm)</t>
  </si>
  <si>
    <t>Partial Equation for Emissions due to physical leakage of biogas in year y (17b option)</t>
  </si>
  <si>
    <t>Partial Equation for Emissions due to physical leakage of biogas in year y (t CO2e) (17b option)</t>
  </si>
  <si>
    <t>Multiple Answers</t>
  </si>
  <si>
    <t xml:space="preserve">Tool 03: Tool to calculate project or leakage CO2 emissions from fossil fuel combustion </t>
  </si>
  <si>
    <r>
      <rPr>
        <sz val="18"/>
        <color rgb="FF000000"/>
        <rFont val="Calibri"/>
        <family val="2"/>
        <scheme val="minor"/>
      </rP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</si>
  <si>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</si>
  <si>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</si>
  <si>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</si>
  <si>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</si>
  <si>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</si>
  <si>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no fossil fuels are used in this project</t>
  </si>
  <si>
    <t>Specify which combustion process this tool is being applied to</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</si>
  <si>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</si>
  <si>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</si>
  <si>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</si>
  <si>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</si>
  <si>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</si>
  <si>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</si>
  <si>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</si>
  <si>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</si>
  <si>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</si>
  <si>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</si>
  <si>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</si>
  <si>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</si>
  <si>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</si>
  <si>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</si>
  <si>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</si>
  <si>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</si>
  <si>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</si>
  <si>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</si>
  <si>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</si>
  <si>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</si>
  <si>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</si>
  <si>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</si>
  <si>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</si>
  <si>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</si>
  <si>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</si>
  <si>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</si>
  <si>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</si>
  <si>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</si>
  <si>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</si>
  <si>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</si>
  <si>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Option B</t>
  </si>
  <si>
    <t>Volume</t>
  </si>
  <si>
    <t xml:space="preserve">This value will come from cell G32, G33, or G37 depending on the responses from the questionnaire </t>
  </si>
  <si>
    <t>Required</t>
  </si>
  <si>
    <t xml:space="preserve">Questionnaire </t>
  </si>
  <si>
    <t xml:space="preserve">To which emission category is the tool being applied? </t>
  </si>
  <si>
    <t>Leakage Emissions (LE)</t>
  </si>
  <si>
    <t>Select one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</si>
  <si>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</si>
  <si>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</si>
  <si>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</si>
  <si>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</si>
  <si>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</si>
  <si>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</si>
  <si>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</si>
  <si>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</si>
  <si>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</si>
  <si>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</si>
  <si>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</si>
  <si>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</si>
  <si>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</si>
  <si>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</si>
  <si>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</si>
  <si>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</si>
  <si>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</si>
  <si>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</si>
  <si>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</si>
  <si>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</si>
  <si>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</si>
  <si>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</si>
  <si>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</si>
  <si>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</si>
  <si>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</si>
  <si>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</si>
  <si>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</si>
  <si>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</si>
  <si>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</si>
  <si>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</si>
  <si>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</si>
  <si>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</si>
  <si>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</si>
  <si>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</si>
  <si>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</si>
  <si>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Auto-calculate</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</si>
  <si>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</si>
  <si>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</si>
  <si>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</si>
  <si>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</si>
  <si>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</si>
  <si>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</si>
  <si>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</si>
  <si>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</si>
  <si>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</si>
  <si>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</si>
  <si>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</si>
  <si>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</si>
  <si>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</si>
  <si>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</si>
  <si>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</si>
  <si>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</si>
  <si>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</si>
  <si>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</si>
  <si>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</si>
  <si>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</si>
  <si>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</si>
  <si>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</si>
  <si>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</si>
  <si>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</si>
  <si>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</si>
  <si>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</si>
  <si>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</si>
  <si>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</si>
  <si>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</si>
  <si>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</si>
  <si>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</si>
  <si>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</si>
  <si>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</si>
  <si>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</si>
  <si>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</si>
  <si>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</si>
  <si>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</si>
  <si>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</si>
  <si>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</si>
  <si>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</si>
  <si>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</si>
  <si>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</si>
  <si>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</si>
  <si>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</si>
  <si>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</si>
  <si>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</si>
  <si>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</si>
  <si>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</si>
  <si>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</si>
  <si>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</si>
  <si>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</si>
  <si>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</si>
  <si>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</si>
  <si>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</si>
  <si>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</si>
  <si>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</si>
  <si>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</si>
  <si>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</si>
  <si>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</si>
  <si>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</si>
  <si>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</si>
  <si>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</si>
  <si>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</si>
  <si>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</si>
  <si>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</si>
  <si>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Fixed Default</t>
  </si>
  <si>
    <t>𝑂X</t>
  </si>
  <si>
    <t>Oxidation factor (reflecting the amount of methane from SWDS that is oxidized in the soil or other material covering the waste)</t>
  </si>
  <si>
    <t>𝑀𝐶𝐹𝑦</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</si>
  <si>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</si>
  <si>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</si>
  <si>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j</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</si>
  <si>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</si>
  <si>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</si>
  <si>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</si>
  <si>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</si>
  <si>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</si>
  <si>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Baseline Emissions (BE)</t>
  </si>
  <si>
    <t>Project Emissions (PE)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</si>
  <si>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</si>
  <si>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</si>
  <si>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</si>
  <si>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</si>
  <si>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</si>
  <si>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</si>
  <si>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</si>
  <si>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</si>
  <si>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</si>
  <si>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</si>
  <si>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</si>
  <si>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</si>
  <si>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</si>
  <si>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</si>
  <si>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</si>
  <si>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</si>
  <si>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</si>
  <si>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</si>
  <si>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</si>
  <si>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</si>
  <si>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</si>
  <si>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</si>
  <si>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</si>
  <si>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</si>
  <si>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</si>
  <si>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</si>
  <si>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</si>
  <si>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</si>
  <si>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</si>
  <si>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</si>
  <si>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Tool 05: Baseline, project and/or leakage emissions from electricity consumption and monitoring of electricity generation </t>
  </si>
  <si>
    <t xml:space="preserve">Questionnaire to determine calculation method </t>
  </si>
  <si>
    <t>Enum</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</si>
  <si>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</si>
  <si>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</si>
  <si>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</si>
  <si>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</si>
  <si>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</si>
  <si>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</si>
  <si>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</si>
  <si>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</si>
  <si>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</si>
  <si>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</si>
  <si>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</si>
  <si>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</si>
  <si>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</si>
  <si>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</si>
  <si>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</si>
  <si>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</si>
  <si>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</si>
  <si>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</si>
  <si>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</si>
  <si>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</si>
  <si>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</si>
  <si>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</si>
  <si>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</si>
  <si>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</si>
  <si>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</si>
  <si>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</si>
  <si>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</si>
  <si>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</si>
  <si>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</si>
  <si>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</si>
  <si>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</si>
  <si>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</si>
  <si>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</si>
  <si>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</si>
  <si>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</si>
  <si>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</si>
  <si>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</si>
  <si>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</si>
  <si>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</si>
  <si>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</si>
  <si>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</si>
  <si>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</si>
  <si>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</si>
  <si>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</si>
  <si>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</si>
  <si>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</si>
  <si>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</si>
  <si>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</si>
  <si>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</si>
  <si>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</si>
  <si>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</si>
  <si>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</si>
  <si>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</si>
  <si>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</si>
  <si>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</si>
  <si>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</si>
  <si>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</si>
  <si>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</si>
  <si>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</si>
  <si>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</si>
  <si>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</si>
  <si>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</si>
  <si>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</si>
  <si>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</si>
  <si>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</si>
  <si>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</si>
  <si>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</si>
  <si>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</si>
  <si>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</si>
  <si>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</si>
  <si>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</si>
  <si>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</si>
  <si>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</si>
  <si>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</si>
  <si>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</si>
  <si>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</si>
  <si>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</si>
  <si>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</si>
  <si>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</si>
  <si>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</si>
  <si>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</si>
  <si>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</si>
  <si>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</si>
  <si>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</si>
  <si>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</si>
  <si>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</si>
  <si>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</si>
  <si>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</si>
  <si>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</si>
  <si>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</si>
  <si>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</si>
  <si>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</si>
  <si>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</si>
  <si>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</si>
  <si>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</si>
  <si>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</si>
  <si>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</si>
  <si>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</si>
  <si>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</si>
  <si>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</si>
  <si>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</si>
  <si>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</si>
  <si>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</si>
  <si>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</si>
  <si>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</si>
  <si>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</si>
  <si>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</si>
  <si>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</si>
  <si>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</si>
  <si>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</si>
  <si>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</si>
  <si>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</si>
  <si>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</si>
  <si>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</si>
  <si>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</si>
  <si>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</si>
  <si>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</si>
  <si>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</si>
  <si>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</si>
  <si>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</si>
  <si>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</si>
  <si>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</si>
  <si>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</si>
  <si>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</si>
  <si>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</si>
  <si>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</si>
  <si>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</si>
  <si>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</si>
  <si>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</si>
  <si>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</si>
  <si>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</si>
  <si>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</si>
  <si>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</si>
  <si>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</si>
  <si>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</si>
  <si>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</si>
  <si>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</si>
  <si>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</si>
  <si>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</si>
  <si>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</si>
  <si>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</si>
  <si>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</si>
  <si>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</si>
  <si>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</si>
  <si>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</si>
  <si>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</si>
  <si>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</si>
  <si>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</si>
  <si>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</si>
  <si>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</si>
  <si>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</si>
  <si>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</si>
  <si>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</si>
  <si>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</si>
  <si>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</si>
  <si>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</si>
  <si>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</si>
  <si>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</si>
  <si>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</si>
  <si>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</si>
  <si>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</si>
  <si>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</si>
  <si>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</si>
  <si>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</si>
  <si>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</si>
  <si>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</si>
  <si>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</si>
  <si>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</si>
  <si>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</si>
  <si>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</si>
  <si>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</si>
  <si>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</si>
  <si>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</si>
  <si>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</si>
  <si>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</si>
  <si>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Applicability</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</si>
  <si>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</si>
  <si>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</si>
  <si>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</si>
  <si>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</si>
  <si>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</si>
  <si>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</si>
  <si>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</si>
  <si>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</si>
  <si>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</si>
  <si>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</si>
  <si>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</si>
  <si>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</si>
  <si>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</si>
  <si>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</si>
  <si>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</si>
  <si>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</si>
  <si>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</si>
  <si>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</si>
  <si>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</si>
  <si>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</si>
  <si>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</si>
  <si>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</si>
  <si>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</si>
  <si>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</si>
  <si>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</si>
  <si>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</si>
  <si>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</si>
  <si>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</si>
  <si>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</si>
  <si>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</si>
  <si>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</si>
  <si>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GWPCH4</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</si>
  <si>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</si>
  <si>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</si>
  <si>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</si>
  <si>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</si>
  <si>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</si>
  <si>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</si>
  <si>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</si>
  <si>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</si>
  <si>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</si>
  <si>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</si>
  <si>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</si>
  <si>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</si>
  <si>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</si>
  <si>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</si>
  <si>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</si>
  <si>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</si>
  <si>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</si>
  <si>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</si>
  <si>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</si>
  <si>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</si>
  <si>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</si>
  <si>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</si>
  <si>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</si>
  <si>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</si>
  <si>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</si>
  <si>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</si>
  <si>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</si>
  <si>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</si>
  <si>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</si>
  <si>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</si>
  <si>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</si>
  <si>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</si>
  <si>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</si>
  <si>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</si>
  <si>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</si>
  <si>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</si>
  <si>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</si>
  <si>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</si>
  <si>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</si>
  <si>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</si>
  <si>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</si>
  <si>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</si>
  <si>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</si>
  <si>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</si>
  <si>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</si>
  <si>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</si>
  <si>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</si>
  <si>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</si>
  <si>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</si>
  <si>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</si>
  <si>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</si>
  <si>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</si>
  <si>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</si>
  <si>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</si>
  <si>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</si>
  <si>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</si>
  <si>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</si>
  <si>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</si>
  <si>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</si>
  <si>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Fi,t</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</si>
  <si>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</si>
  <si>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</si>
  <si>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</si>
  <si>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</si>
  <si>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</si>
  <si>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</si>
  <si>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</si>
  <si>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</si>
  <si>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</si>
  <si>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</si>
  <si>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</si>
  <si>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</si>
  <si>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</si>
  <si>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</si>
  <si>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</si>
  <si>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</si>
  <si>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</si>
  <si>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</si>
  <si>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</si>
  <si>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</si>
  <si>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</si>
  <si>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</si>
  <si>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</si>
  <si>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</si>
  <si>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</si>
  <si>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</si>
  <si>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</si>
  <si>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</si>
  <si>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</si>
  <si>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</si>
  <si>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</si>
  <si>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</si>
  <si>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 xml:space="preserve">PEflare,y </t>
  </si>
  <si>
    <t>Project emissions from flaring of the residual gas in year y (tCO2e)</t>
  </si>
  <si>
    <t>Project emissions from composting</t>
  </si>
  <si>
    <t>Auto-Calculate</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</si>
  <si>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</si>
  <si>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</si>
  <si>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</si>
  <si>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</si>
  <si>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Option 1</t>
  </si>
  <si>
    <t>Determination of the quantity of waste composted (Qy) Option 1</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</si>
  <si>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</si>
  <si>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</si>
  <si>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</si>
  <si>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</si>
  <si>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</si>
  <si>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</si>
  <si>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</si>
  <si>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</si>
  <si>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</si>
  <si>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</si>
  <si>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</si>
  <si>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</si>
  <si>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</si>
  <si>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</si>
  <si>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</si>
  <si>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</si>
  <si>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</si>
  <si>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</si>
  <si>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</si>
  <si>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</si>
  <si>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</si>
  <si>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</si>
  <si>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</si>
  <si>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</si>
  <si>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</si>
  <si>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</si>
  <si>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</si>
  <si>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 for CH4]</t>
  </si>
  <si>
    <t xml:space="preserve">c </t>
  </si>
  <si>
    <t>Composting cycle for which measurements were undertaken</t>
  </si>
  <si>
    <t>Cycle 1</t>
  </si>
  <si>
    <t>ECCCH4,c</t>
  </si>
  <si>
    <t>Methane emissions from composting during the composting cycle c (t CH4)</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</si>
  <si>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</si>
  <si>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</si>
  <si>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</si>
  <si>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</si>
  <si>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</si>
  <si>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</si>
  <si>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</si>
  <si>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</si>
  <si>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</si>
  <si>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</si>
  <si>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</si>
  <si>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</si>
  <si>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</si>
  <si>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of nitrous oxide (PEN2O,y) Option 1</t>
  </si>
  <si>
    <t>[Click to add composting cycles for which measurements were undertaken for N2O]</t>
  </si>
  <si>
    <t>ECCN2O,c</t>
  </si>
  <si>
    <t>Nitrous oxide emissions from composting during the composting cycle c (t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</si>
  <si>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</si>
  <si>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</si>
  <si>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</si>
  <si>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</si>
  <si>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</si>
  <si>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</si>
  <si>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</si>
  <si>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</si>
  <si>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</si>
  <si>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One</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</si>
  <si>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</si>
  <si>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</si>
  <si>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</si>
  <si>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</si>
  <si>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</si>
  <si>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</si>
  <si>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</si>
  <si>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</si>
  <si>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</si>
  <si>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</si>
  <si>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</si>
  <si>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</si>
  <si>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</si>
  <si>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</si>
  <si>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</si>
  <si>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</si>
  <si>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</si>
  <si>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</si>
  <si>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This is default value and a calculated value.</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</si>
  <si>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</si>
  <si>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</si>
  <si>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</si>
  <si>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</si>
  <si>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</si>
  <si>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</si>
  <si>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</si>
  <si>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</si>
  <si>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</si>
  <si>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</si>
  <si>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</si>
  <si>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</si>
  <si>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</si>
  <si>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</si>
  <si>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Determination of the quantity of methane produced in the digester (QCH4,y)</t>
  </si>
  <si>
    <t>Is your project small-scale or large-scale?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</si>
  <si>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</si>
  <si>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</si>
  <si>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t>Default Values</t>
  </si>
  <si>
    <r>
      <t>Default Values or Monitored Data</t>
    </r>
    <r>
      <rPr>
        <sz val="11"/>
        <rFont val="Calibri"/>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</si>
  <si>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</si>
  <si>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</si>
  <si>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</si>
  <si>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</si>
  <si>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</si>
  <si>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rFont val="Calibri"/>
        <family val="2"/>
        <scheme val="minor"/>
      </rPr>
      <t>(If Default Value use schema in row 48, if Monitored Data use schema in row 46)</t>
    </r>
  </si>
  <si>
    <t>Determination of leakage emissions associated with storage of 
digestate (LEstorage,y) of project emissions from electricity consumption (PEEC,y)</t>
  </si>
  <si>
    <r>
      <rPr>
        <sz val="11"/>
        <color rgb="FF000000"/>
        <rFont val="Calibri"/>
        <scheme val="minor"/>
      </rPr>
      <t xml:space="preserve">Is the digestate is stored under the following anaerobic
conditions?
</t>
    </r>
    <r>
      <rPr>
        <b/>
        <sz val="11"/>
        <color rgb="FF000000"/>
        <rFont val="Calibri"/>
        <scheme val="minor"/>
      </rPr>
      <t>Option 1-</t>
    </r>
    <r>
      <rPr>
        <sz val="11"/>
        <color rgb="FF000000"/>
        <rFont val="Calibri"/>
        <scheme val="minor"/>
      </rPr>
      <t xml:space="preserve"> In an un-aerated lagoon that has a depth of more than one meter.
</t>
    </r>
    <r>
      <rPr>
        <b/>
        <sz val="11"/>
        <color rgb="FF000000"/>
        <rFont val="Calibri"/>
        <scheme val="minor"/>
      </rPr>
      <t>Option 2-</t>
    </r>
    <r>
      <rPr>
        <sz val="11"/>
        <color rgb="FF000000"/>
        <rFont val="Calibri"/>
        <scheme val="minor"/>
      </rPr>
      <t xml:space="preserve"> In a solid waste disposal site (SWDS), including stockpiles that are considered a SWDS.
</t>
    </r>
    <r>
      <rPr>
        <b/>
        <sz val="11"/>
        <color rgb="FF000000"/>
        <rFont val="Calibri"/>
        <scheme val="minor"/>
      </rPr>
      <t>Option 3-</t>
    </r>
    <r>
      <rPr>
        <sz val="11"/>
        <color rgb="FF000000"/>
        <rFont val="Calibri"/>
        <scheme val="minor"/>
      </rPr>
      <t xml:space="preserve"> None of the above apply.</t>
    </r>
  </si>
  <si>
    <t>Option 3</t>
  </si>
  <si>
    <t>If option 1 or 2 is selected then follow up with question in D11, if option 3 is selected then F66 will be 0</t>
  </si>
  <si>
    <t>Do you want to use default values or monitored data to calculate leakage emissions associated with storage of digestate?</t>
  </si>
  <si>
    <t>Option 1 has the option between Default Values (row 76) or Monitored Data (row 68), Option 2 has the option between Default Values (row 82) or Monitored Values (Tool 04)</t>
  </si>
  <si>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</si>
  <si>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</si>
  <si>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</si>
  <si>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</si>
  <si>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</si>
  <si>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</si>
  <si>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</si>
  <si>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</si>
  <si>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</si>
  <si>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</si>
  <si>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</si>
  <si>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</si>
  <si>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</si>
  <si>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</si>
  <si>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</si>
  <si>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</si>
  <si>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</si>
  <si>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</si>
  <si>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</si>
  <si>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</si>
  <si>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</si>
  <si>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</si>
  <si>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</si>
  <si>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</si>
  <si>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</si>
  <si>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</si>
  <si>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</si>
  <si>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</si>
  <si>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</si>
  <si>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</si>
  <si>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</si>
  <si>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</si>
  <si>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</si>
  <si>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</si>
  <si>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</si>
  <si>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</si>
  <si>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</si>
  <si>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</si>
  <si>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</si>
  <si>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</si>
  <si>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</si>
  <si>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</si>
  <si>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</si>
  <si>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</si>
  <si>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</si>
  <si>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</si>
  <si>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</si>
  <si>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</si>
  <si>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</si>
  <si>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</si>
  <si>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</si>
  <si>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</si>
  <si>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</si>
  <si>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</si>
  <si>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</si>
  <si>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</si>
  <si>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</si>
  <si>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</si>
  <si>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</si>
  <si>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</si>
  <si>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</si>
  <si>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</si>
  <si>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</si>
  <si>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</si>
  <si>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</si>
  <si>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</si>
  <si>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</si>
  <si>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</si>
  <si>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r>
      <rPr>
        <sz val="11"/>
        <color rgb="FF000000"/>
        <rFont val="Calibri"/>
        <scheme val="minor"/>
      </rPr>
      <t xml:space="preserve">Please select the digester that is being used in this project: </t>
    </r>
    <r>
      <rPr>
        <b/>
        <sz val="11"/>
        <color rgb="FF000000"/>
        <rFont val="Calibri"/>
        <scheme val="minor"/>
      </rPr>
      <t xml:space="preserve">Option A- </t>
    </r>
    <r>
      <rPr>
        <sz val="11"/>
        <color rgb="FF000000"/>
        <rFont val="Calibri"/>
        <scheme val="minor"/>
      </rPr>
      <t xml:space="preserve">Covered anaerobic lagoons (gravity fed) / conventional digesters 
</t>
    </r>
    <r>
      <rPr>
        <b/>
        <sz val="11"/>
        <color rgb="FF000000"/>
        <rFont val="Calibri"/>
        <scheme val="minor"/>
      </rPr>
      <t xml:space="preserve">Option B- </t>
    </r>
    <r>
      <rPr>
        <sz val="11"/>
        <color rgb="FF000000"/>
        <rFont val="Calibri"/>
        <scheme val="minor"/>
      </rPr>
      <t xml:space="preserve">Upflow anaerobic sludge blanket reactor (UASB) / filter bed reactor for wastewater / fluidized bed reactor </t>
    </r>
    <r>
      <rPr>
        <b/>
        <sz val="11"/>
        <color rgb="FF000000"/>
        <rFont val="Calibri"/>
        <scheme val="minor"/>
      </rPr>
      <t>Option C-</t>
    </r>
    <r>
      <rPr>
        <sz val="11"/>
        <color rgb="FF000000"/>
        <rFont val="Calibri"/>
        <scheme val="minor"/>
      </rPr>
      <t xml:space="preserve"> Conventional digesters with continuously stirred tank reactor type for wastewater
</t>
    </r>
    <r>
      <rPr>
        <b/>
        <sz val="11"/>
        <color rgb="FF000000"/>
        <rFont val="Calibri"/>
        <scheme val="minor"/>
      </rPr>
      <t xml:space="preserve">Option D- </t>
    </r>
    <r>
      <rPr>
        <sz val="11"/>
        <color rgb="FF000000"/>
        <rFont val="Calibri"/>
        <scheme val="minor"/>
      </rPr>
      <t xml:space="preserve">Any anaerobic digester for solid waste with preprocessing of wastes (e.g. pulverizing)
</t>
    </r>
    <r>
      <rPr>
        <b/>
        <sz val="11"/>
        <color rgb="FF000000"/>
        <rFont val="Calibri"/>
        <scheme val="minor"/>
      </rPr>
      <t xml:space="preserve">Option E- </t>
    </r>
    <r>
      <rPr>
        <sz val="11"/>
        <color rgb="FF000000"/>
        <rFont val="Calibri"/>
        <scheme val="minor"/>
      </rPr>
      <t>Any digesters other than those specified above, which are fed by gravity, and have no recirculation</t>
    </r>
  </si>
  <si>
    <t xml:space="preserve">FEC,default </t>
  </si>
  <si>
    <t>Default factor for the electricity consumption associated with the anaerobic digester per ton of methane generated (MWh / t CH4)</t>
  </si>
  <si>
    <t>Dependent on response from F51</t>
  </si>
  <si>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</si>
  <si>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</si>
  <si>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</si>
  <si>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</si>
  <si>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</si>
  <si>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</si>
  <si>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r>
      <t xml:space="preserve">What type of digester is used in the project activity? 
</t>
    </r>
    <r>
      <rPr>
        <b/>
        <sz val="11"/>
        <color theme="1"/>
        <rFont val="Calibri"/>
        <family val="2"/>
        <scheme val="minor"/>
      </rPr>
      <t>Option A-</t>
    </r>
    <r>
      <rPr>
        <sz val="11"/>
        <color theme="1"/>
        <rFont val="Calibri"/>
        <family val="2"/>
        <scheme val="minor"/>
      </rPr>
      <t xml:space="preserve"> Digesters with steel or lined concrete or fiberglass
digesters and a gas holding system (egg shaped digesters) and monolithic construction
</t>
    </r>
    <r>
      <rPr>
        <b/>
        <sz val="11"/>
        <color theme="1"/>
        <rFont val="Calibri"/>
        <family val="2"/>
        <scheme val="minor"/>
      </rPr>
      <t xml:space="preserve">Option B- </t>
    </r>
    <r>
      <rPr>
        <sz val="11"/>
        <color theme="1"/>
        <rFont val="Calibri"/>
        <family val="2"/>
        <scheme val="minor"/>
      </rPr>
      <t xml:space="preserve">UASB type digesters, floating gas holders with no external water seal
</t>
    </r>
    <r>
      <rPr>
        <b/>
        <sz val="11"/>
        <color theme="1"/>
        <rFont val="Calibri"/>
        <family val="2"/>
        <scheme val="minor"/>
      </rPr>
      <t xml:space="preserve">Option C- </t>
    </r>
    <r>
      <rPr>
        <sz val="11"/>
        <color theme="1"/>
        <rFont val="Calibri"/>
        <family val="2"/>
        <scheme val="minor"/>
      </rPr>
      <t xml:space="preserve">Digesters with unlined concrete/ferrocement/brick masonry arched type gas holding section; monolithic fixed dome digesters, covered anaerobic lagoon
</t>
    </r>
    <r>
      <rPr>
        <b/>
        <sz val="11"/>
        <color theme="1"/>
        <rFont val="Calibri"/>
        <family val="2"/>
        <scheme val="minor"/>
      </rPr>
      <t xml:space="preserve">Option D- </t>
    </r>
    <r>
      <rPr>
        <sz val="11"/>
        <color theme="1"/>
        <rFont val="Calibri"/>
        <family val="2"/>
        <scheme val="minor"/>
      </rPr>
      <t>Other</t>
    </r>
  </si>
  <si>
    <t xml:space="preserve">EFCH4,default </t>
  </si>
  <si>
    <t>Default emission factor for the fraction of CH4 produced that leaks from the anaerobic digester (fraction)</t>
  </si>
  <si>
    <t>Dependent on response from F59</t>
  </si>
  <si>
    <t>Global warming potential of CH4 (t CO2 / t CH4)</t>
  </si>
  <si>
    <t>Project emissions from flaring of biogas (PEflare,y)</t>
  </si>
  <si>
    <t>Comes from Tool 06</t>
  </si>
  <si>
    <t xml:space="preserve">Leakage emissions </t>
  </si>
  <si>
    <t xml:space="preserve">LEAD,y </t>
  </si>
  <si>
    <t>Leakage emissions associated with the anaerobic digester in year y (t CO2e)</t>
  </si>
  <si>
    <t xml:space="preserve">LEstorage,y </t>
  </si>
  <si>
    <t>Leakage emissions associated with storage of digestate in year y (t CO2e)</t>
  </si>
  <si>
    <t xml:space="preserve">LEcomp,y </t>
  </si>
  <si>
    <t>Leakage emissions associated with composting digestate in year y (t CO2e)</t>
  </si>
  <si>
    <t>Tool 13</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</si>
  <si>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</si>
  <si>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</si>
  <si>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</si>
  <si>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</si>
  <si>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</si>
  <si>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No </t>
  </si>
  <si>
    <t xml:space="preserve">B0 </t>
  </si>
  <si>
    <t>Maximum methane producing capacity of the COD applied (t CH4 / t COD)</t>
  </si>
  <si>
    <t xml:space="preserve">MCF </t>
  </si>
  <si>
    <t>For methane conversion factor calculation purposes select the depth of liquid digestate storage:</t>
  </si>
  <si>
    <t>≥ 2 m</t>
  </si>
  <si>
    <t xml:space="preserve">Methane conversion factor </t>
  </si>
  <si>
    <t>Dependent on response from F73</t>
  </si>
  <si>
    <t>Leakage emissions associated with storage of 
liquid digestate (LEstorage,y) (Default Value)</t>
  </si>
  <si>
    <r>
      <t xml:space="preserve">In order to calculate the default factor representing the remaining methane production capacity of liquid digestate select one of the following options: 
</t>
    </r>
    <r>
      <rPr>
        <b/>
        <sz val="11"/>
        <color theme="1"/>
        <rFont val="Calibri"/>
        <family val="2"/>
        <scheme val="minor"/>
      </rPr>
      <t xml:space="preserve">Option 1- </t>
    </r>
    <r>
      <rPr>
        <sz val="11"/>
        <color theme="1"/>
        <rFont val="Calibri"/>
        <family val="2"/>
        <scheme val="minor"/>
      </rPr>
      <t xml:space="preserve">Covered anaerobic lagoons
</t>
    </r>
    <r>
      <rPr>
        <b/>
        <sz val="11"/>
        <color theme="1"/>
        <rFont val="Calibri"/>
        <family val="2"/>
        <scheme val="minor"/>
      </rPr>
      <t>Option 2-</t>
    </r>
    <r>
      <rPr>
        <sz val="11"/>
        <color theme="1"/>
        <rFont val="Calibri"/>
        <family val="2"/>
        <scheme val="minor"/>
      </rPr>
      <t xml:space="preserve"> UASB type digesters / Anaerobic filter bed digesters /Anaerobic fluidized bed digester
</t>
    </r>
    <r>
      <rPr>
        <b/>
        <sz val="11"/>
        <color theme="1"/>
        <rFont val="Calibri"/>
        <family val="2"/>
        <scheme val="minor"/>
      </rPr>
      <t>Option 3-</t>
    </r>
    <r>
      <rPr>
        <sz val="11"/>
        <color theme="1"/>
        <rFont val="Calibri"/>
        <family val="2"/>
        <scheme val="minor"/>
      </rPr>
      <t xml:space="preserve"> Conventional digesters
</t>
    </r>
    <r>
      <rPr>
        <b/>
        <sz val="11"/>
        <color theme="1"/>
        <rFont val="Calibri"/>
        <family val="2"/>
        <scheme val="minor"/>
      </rPr>
      <t xml:space="preserve">Option 4- </t>
    </r>
    <r>
      <rPr>
        <sz val="11"/>
        <color theme="1"/>
        <rFont val="Calibri"/>
        <family val="2"/>
        <scheme val="minor"/>
      </rPr>
      <t>Two stage digesters</t>
    </r>
  </si>
  <si>
    <t xml:space="preserve">Fww,CH4,default </t>
  </si>
  <si>
    <t>Default factor representing the remaining methane production capacity of liquid digestate (fraction)</t>
  </si>
  <si>
    <t>Dependent on response from F78</t>
  </si>
  <si>
    <t>Leakage emissions associated with storage of 
solid digestate (LEstorage,y) (Default Values)</t>
  </si>
  <si>
    <r>
      <t xml:space="preserve">In order to calculate the default factor for the methane generation capacity of solid digestate select one of the following options:
</t>
    </r>
    <r>
      <rPr>
        <b/>
        <sz val="11"/>
        <color theme="1"/>
        <rFont val="Calibri"/>
        <family val="2"/>
        <scheme val="minor"/>
      </rPr>
      <t xml:space="preserve">Option 1- </t>
    </r>
    <r>
      <rPr>
        <sz val="11"/>
        <color theme="1"/>
        <rFont val="Calibri"/>
        <family val="2"/>
        <scheme val="minor"/>
      </rPr>
      <t xml:space="preserve">Two phase digester 
</t>
    </r>
    <r>
      <rPr>
        <b/>
        <sz val="11"/>
        <color theme="1"/>
        <rFont val="Calibri"/>
        <family val="2"/>
        <scheme val="minor"/>
      </rPr>
      <t>Option 2-</t>
    </r>
    <r>
      <rPr>
        <sz val="11"/>
        <color theme="1"/>
        <rFont val="Calibri"/>
        <family val="2"/>
        <scheme val="minor"/>
      </rPr>
      <t xml:space="preserve"> All other technologies</t>
    </r>
  </si>
  <si>
    <t xml:space="preserve">FSD,CH4,default </t>
  </si>
  <si>
    <t>Default factor for the methane generation capacity of solid digestate (fraction)</t>
  </si>
  <si>
    <t>Dependent on response from F85</t>
  </si>
  <si>
    <t>Global warming potential of CH4 (t CO2/t CH4)</t>
  </si>
  <si>
    <t>Leakage emissions associated with storage of 
solid digestate (LEstorage,y) (Monitored Values)</t>
  </si>
  <si>
    <t>Tool 04</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</si>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</sst>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6">
    <font>
      <sz val="11"/>
      <color theme="1"/>
      <name val="Calibri"/>
      <family val="2"/>
      <scheme val="minor"/>
    </font>
    <font>
      <b/>
      <sz val="11"/>
      <color theme="1"/>
      <name val="Calibri"/>
      <family val="2"/>
      <scheme val="minor"/>
    </font>
    <font>
      <u/>
      <sz val="11"/>
      <color theme="10"/>
      <name val="Calibri"/>
      <family val="2"/>
      <scheme val="minor"/>
    </font>
    <font>
      <b/>
      <sz val="14"/>
      <color rgb="FF000000"/>
      <name val="Calibri"/>
      <family val="2"/>
      <scheme val="minor"/>
    </font>
    <font>
      <sz val="14"/>
      <color rgb="FF000000"/>
      <name val="Calibri"/>
      <family val="2"/>
      <scheme val="minor"/>
    </font>
    <font>
      <sz val="11"/>
      <color rgb="FF000000"/>
      <name val="Calibri"/>
      <family val="2"/>
      <scheme val="minor"/>
    </font>
    <font>
      <b/>
      <sz val="11"/>
      <color rgb="FF000000"/>
      <name val="Calibri"/>
      <family val="2"/>
      <scheme val="minor"/>
    </font>
    <font>
      <b/>
      <u/>
      <sz val="11"/>
      <color theme="1"/>
      <name val="Calibri"/>
      <family val="2"/>
      <scheme val="minor"/>
    </font>
    <font>
      <sz val="10"/>
      <name val="Arial"/>
      <family val="2"/>
    </font>
    <font>
      <sz val="10"/>
      <name val="Arial"/>
      <family val="2"/>
    </font>
    <font>
      <sz val="11"/>
      <name val="Calibri"/>
      <family val="2"/>
      <scheme val="minor"/>
    </font>
    <font>
      <b/>
      <sz val="12"/>
      <color theme="1"/>
      <name val="Calibri"/>
      <family val="2"/>
      <scheme val="minor"/>
    </font>
    <font>
      <b/>
      <sz val="14"/>
      <color theme="1"/>
      <name val="Calibri"/>
      <family val="2"/>
      <scheme val="minor"/>
    </font>
    <font>
      <sz val="11"/>
      <color theme="1"/>
      <name val="Calibri"/>
      <family val="2"/>
      <scheme val="minor"/>
    </font>
    <font>
      <sz val="11"/>
      <color rgb="FF9C5700"/>
      <name val="Calibri"/>
      <family val="2"/>
      <scheme val="minor"/>
    </font>
    <font>
      <b/>
      <sz val="16"/>
      <color rgb="FF000000"/>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sz val="20"/>
      <color theme="1"/>
      <name val="Calibri"/>
      <family val="2"/>
      <scheme val="minor"/>
    </font>
    <font>
      <vertAlign val="subscript"/>
      <sz val="20"/>
      <color theme="1"/>
      <name val="Calibri"/>
      <family val="2"/>
      <scheme val="minor"/>
    </font>
    <font>
      <sz val="18"/>
      <color rgb="FF000000"/>
      <name val="Calibri"/>
      <family val="2"/>
    </font>
    <font>
      <vertAlign val="subscript"/>
      <sz val="18"/>
      <color rgb="FF000000"/>
      <name val="Calibri"/>
      <family val="2"/>
    </font>
    <font>
      <vertAlign val="superscript"/>
      <sz val="11"/>
      <color theme="1"/>
      <name val="Calibri"/>
      <family val="2"/>
      <scheme val="minor"/>
    </font>
    <font>
      <b/>
      <i/>
      <sz val="11"/>
      <color theme="1"/>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sz val="11"/>
      <color rgb="FF000000"/>
      <name val="Calibri"/>
      <scheme val="minor"/>
    </font>
    <font>
      <b/>
      <sz val="11"/>
      <color rgb="FF000000"/>
      <name val="Calibri"/>
      <scheme val="minor"/>
    </font>
  </fonts>
  <fills count="15">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0" tint="-0.249977111117893"/>
        <bgColor rgb="FF000000"/>
      </patternFill>
    </fill>
    <fill>
      <patternFill patternType="solid">
        <fgColor theme="0" tint="-0.249977111117893"/>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rgb="FF000000"/>
      </patternFill>
    </fill>
    <fill>
      <patternFill patternType="solid">
        <fgColor rgb="FFC6EFCE"/>
      </patternFill>
    </fill>
    <fill>
      <patternFill patternType="solid">
        <fgColor rgb="FFFFC7CE"/>
      </patternFill>
    </fill>
    <fill>
      <patternFill patternType="solid">
        <fgColor rgb="FFFFFF00"/>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0">
    <xf numFmtId="0" fontId="0" fillId="0" borderId="0"/>
    <xf numFmtId="0" fontId="2" fillId="0" borderId="0" applyNumberFormat="0" applyFill="0" applyBorder="0" applyAlignment="0" applyProtection="0"/>
    <xf numFmtId="0" fontId="8" fillId="0" borderId="0"/>
    <xf numFmtId="43" fontId="9" fillId="0" borderId="0" applyFont="0" applyFill="0" applyBorder="0" applyAlignment="0" applyProtection="0"/>
    <xf numFmtId="9" fontId="9" fillId="0" borderId="0" applyFont="0" applyFill="0" applyBorder="0" applyAlignment="0" applyProtection="0"/>
    <xf numFmtId="0" fontId="9" fillId="0" borderId="0"/>
    <xf numFmtId="0" fontId="14" fillId="8" borderId="0" applyNumberFormat="0" applyBorder="0" applyAlignment="0" applyProtection="0"/>
    <xf numFmtId="43" fontId="13" fillId="0" borderId="0" applyFont="0" applyFill="0" applyBorder="0" applyAlignment="0" applyProtection="0"/>
    <xf numFmtId="0" fontId="32" fillId="12" borderId="0" applyNumberFormat="0" applyBorder="0" applyAlignment="0" applyProtection="0"/>
    <xf numFmtId="0" fontId="33" fillId="13" borderId="0" applyNumberFormat="0" applyBorder="0" applyAlignment="0" applyProtection="0"/>
  </cellStyleXfs>
  <cellXfs count="128">
    <xf numFmtId="0" fontId="0" fillId="0" borderId="0" xfId="0"/>
    <xf numFmtId="0" fontId="3" fillId="0" borderId="0" xfId="0" applyFont="1"/>
    <xf numFmtId="0" fontId="3" fillId="0" borderId="0" xfId="0" applyFont="1" applyAlignment="1">
      <alignment horizontal="left"/>
    </xf>
    <xf numFmtId="0" fontId="3" fillId="2" borderId="0" xfId="0" applyFont="1" applyFill="1" applyAlignment="1">
      <alignment horizontal="left"/>
    </xf>
    <xf numFmtId="0" fontId="4" fillId="2" borderId="0" xfId="0" applyFont="1" applyFill="1" applyAlignment="1">
      <alignment horizontal="left"/>
    </xf>
    <xf numFmtId="0" fontId="5" fillId="2" borderId="0" xfId="0" applyFont="1" applyFill="1"/>
    <xf numFmtId="0" fontId="5" fillId="0" borderId="0" xfId="0" applyFont="1"/>
    <xf numFmtId="0" fontId="5" fillId="0" borderId="0" xfId="0" applyFont="1" applyAlignment="1">
      <alignment wrapText="1"/>
    </xf>
    <xf numFmtId="0" fontId="0" fillId="0" borderId="0" xfId="0" applyAlignment="1">
      <alignment wrapText="1"/>
    </xf>
    <xf numFmtId="0" fontId="5" fillId="0" borderId="0" xfId="0" applyFont="1" applyAlignment="1">
      <alignment horizontal="left"/>
    </xf>
    <xf numFmtId="0" fontId="0" fillId="0" borderId="0" xfId="0" applyAlignment="1">
      <alignment horizontal="left"/>
    </xf>
    <xf numFmtId="0" fontId="0" fillId="3" borderId="0" xfId="0" applyFill="1" applyAlignment="1">
      <alignment wrapText="1"/>
    </xf>
    <xf numFmtId="0" fontId="0" fillId="3" borderId="0" xfId="0" applyFill="1"/>
    <xf numFmtId="0" fontId="0" fillId="3" borderId="0" xfId="0" applyFill="1" applyAlignment="1">
      <alignment horizontal="left"/>
    </xf>
    <xf numFmtId="0" fontId="0" fillId="3" borderId="0" xfId="0" applyFill="1" applyAlignment="1">
      <alignment vertical="center" wrapText="1"/>
    </xf>
    <xf numFmtId="0" fontId="3" fillId="4" borderId="0" xfId="0" applyFont="1" applyFill="1" applyAlignment="1">
      <alignment horizontal="left"/>
    </xf>
    <xf numFmtId="0" fontId="4" fillId="4" borderId="0" xfId="0" applyFont="1" applyFill="1" applyAlignment="1">
      <alignment horizontal="left"/>
    </xf>
    <xf numFmtId="0" fontId="0" fillId="5" borderId="0" xfId="0" applyFill="1"/>
    <xf numFmtId="10" fontId="0" fillId="0" borderId="0" xfId="0" applyNumberFormat="1" applyAlignment="1">
      <alignment horizontal="left"/>
    </xf>
    <xf numFmtId="4" fontId="0" fillId="0" borderId="0" xfId="0" applyNumberFormat="1" applyAlignment="1">
      <alignment horizontal="left"/>
    </xf>
    <xf numFmtId="3" fontId="0" fillId="0" borderId="0" xfId="0" applyNumberFormat="1" applyAlignment="1">
      <alignment horizontal="left"/>
    </xf>
    <xf numFmtId="0" fontId="0" fillId="3" borderId="0" xfId="0" applyFill="1" applyAlignment="1">
      <alignment horizontal="left" wrapText="1"/>
    </xf>
    <xf numFmtId="0" fontId="5" fillId="3" borderId="0" xfId="0" applyFont="1" applyFill="1" applyAlignment="1">
      <alignment horizontal="left"/>
    </xf>
    <xf numFmtId="0" fontId="5" fillId="3" borderId="0" xfId="0" applyFont="1" applyFill="1" applyAlignment="1">
      <alignment horizontal="left" wrapText="1"/>
    </xf>
    <xf numFmtId="0" fontId="10" fillId="3" borderId="0" xfId="5" applyFont="1" applyFill="1" applyAlignment="1">
      <alignment vertical="top" wrapText="1"/>
    </xf>
    <xf numFmtId="0" fontId="6" fillId="0" borderId="0" xfId="0" applyFont="1" applyAlignment="1">
      <alignment horizontal="left"/>
    </xf>
    <xf numFmtId="0" fontId="0" fillId="6" borderId="0" xfId="0" applyFill="1"/>
    <xf numFmtId="0" fontId="0" fillId="6" borderId="0" xfId="0" applyFill="1" applyAlignment="1">
      <alignment wrapText="1"/>
    </xf>
    <xf numFmtId="0" fontId="5" fillId="6" borderId="0" xfId="0" applyFont="1" applyFill="1"/>
    <xf numFmtId="0" fontId="3" fillId="6" borderId="0" xfId="0" applyFont="1" applyFill="1"/>
    <xf numFmtId="0" fontId="5" fillId="6" borderId="0" xfId="0" applyFont="1" applyFill="1" applyAlignment="1">
      <alignment horizontal="left" wrapText="1"/>
    </xf>
    <xf numFmtId="0" fontId="5" fillId="6" borderId="0" xfId="0" applyFont="1" applyFill="1" applyAlignment="1">
      <alignment wrapText="1"/>
    </xf>
    <xf numFmtId="0" fontId="0" fillId="6" borderId="0" xfId="0" applyFill="1" applyAlignment="1">
      <alignment horizontal="left"/>
    </xf>
    <xf numFmtId="0" fontId="0" fillId="6" borderId="0" xfId="0" applyFill="1" applyAlignment="1">
      <alignment horizontal="left" wrapText="1"/>
    </xf>
    <xf numFmtId="0" fontId="5" fillId="6" borderId="0" xfId="0" applyFont="1" applyFill="1" applyAlignment="1">
      <alignment horizontal="left"/>
    </xf>
    <xf numFmtId="0" fontId="3" fillId="0" borderId="0" xfId="0" applyFont="1" applyAlignment="1">
      <alignment horizontal="left" wrapText="1"/>
    </xf>
    <xf numFmtId="0" fontId="3" fillId="0" borderId="0" xfId="0" applyFont="1" applyAlignment="1">
      <alignment wrapText="1"/>
    </xf>
    <xf numFmtId="0" fontId="1" fillId="0" borderId="4" xfId="0" applyFont="1" applyBorder="1" applyAlignment="1">
      <alignment horizontal="center" vertical="top"/>
    </xf>
    <xf numFmtId="0" fontId="1" fillId="0" borderId="5" xfId="0" applyFont="1" applyBorder="1" applyAlignment="1">
      <alignment horizontal="center" vertical="top" wrapText="1"/>
    </xf>
    <xf numFmtId="0" fontId="0" fillId="7" borderId="0" xfId="0" applyFill="1"/>
    <xf numFmtId="0" fontId="12" fillId="0" borderId="3" xfId="0" applyFont="1" applyBorder="1" applyAlignment="1">
      <alignment horizontal="center"/>
    </xf>
    <xf numFmtId="0" fontId="4" fillId="5" borderId="0" xfId="0" applyFont="1" applyFill="1" applyAlignment="1">
      <alignment horizontal="left"/>
    </xf>
    <xf numFmtId="0" fontId="3" fillId="5" borderId="0" xfId="0" applyFont="1" applyFill="1" applyAlignment="1">
      <alignment horizontal="left"/>
    </xf>
    <xf numFmtId="0" fontId="0" fillId="10" borderId="0" xfId="0" applyFill="1"/>
    <xf numFmtId="0" fontId="10" fillId="6" borderId="0" xfId="0" applyFont="1" applyFill="1" applyAlignment="1">
      <alignment horizontal="left"/>
    </xf>
    <xf numFmtId="0" fontId="10" fillId="6" borderId="0" xfId="0" applyFont="1" applyFill="1" applyAlignment="1">
      <alignment horizontal="left" wrapText="1"/>
    </xf>
    <xf numFmtId="0" fontId="10" fillId="0" borderId="0" xfId="0" applyFont="1" applyAlignment="1">
      <alignment horizontal="left"/>
    </xf>
    <xf numFmtId="0" fontId="16" fillId="3" borderId="0" xfId="0" applyFont="1" applyFill="1" applyAlignment="1">
      <alignment horizontal="center" vertical="center"/>
    </xf>
    <xf numFmtId="0" fontId="0" fillId="3" borderId="0" xfId="0" applyFill="1" applyAlignment="1">
      <alignment horizontal="left" vertical="center" wrapText="1"/>
    </xf>
    <xf numFmtId="0" fontId="18" fillId="0" borderId="0" xfId="0" applyFont="1"/>
    <xf numFmtId="0" fontId="0" fillId="0" borderId="0" xfId="0" applyAlignment="1">
      <alignment horizontal="left" vertical="center" wrapText="1"/>
    </xf>
    <xf numFmtId="0" fontId="0" fillId="6" borderId="0" xfId="0" applyFill="1" applyAlignment="1">
      <alignment horizontal="left" vertical="center" wrapText="1"/>
    </xf>
    <xf numFmtId="0" fontId="18" fillId="3" borderId="0" xfId="0" applyFont="1" applyFill="1" applyAlignment="1">
      <alignment horizontal="center" vertical="center"/>
    </xf>
    <xf numFmtId="0" fontId="18" fillId="0" borderId="0" xfId="0" applyFont="1" applyAlignment="1">
      <alignment horizontal="center" vertical="center"/>
    </xf>
    <xf numFmtId="0" fontId="18" fillId="3" borderId="0" xfId="0" applyFont="1" applyFill="1"/>
    <xf numFmtId="0" fontId="0" fillId="0" borderId="0" xfId="0" applyAlignment="1">
      <alignment horizontal="center" vertical="center"/>
    </xf>
    <xf numFmtId="0" fontId="22" fillId="6" borderId="0" xfId="0" applyFont="1" applyFill="1" applyAlignment="1">
      <alignment horizontal="left" vertical="center"/>
    </xf>
    <xf numFmtId="0" fontId="22" fillId="6" borderId="0" xfId="0" applyFont="1" applyFill="1" applyAlignment="1">
      <alignment horizontal="left" vertical="center" wrapText="1"/>
    </xf>
    <xf numFmtId="0" fontId="23" fillId="6" borderId="0" xfId="0" applyFont="1" applyFill="1" applyAlignment="1">
      <alignment wrapText="1"/>
    </xf>
    <xf numFmtId="0" fontId="22" fillId="0" borderId="0" xfId="0" applyFont="1"/>
    <xf numFmtId="0" fontId="22" fillId="3" borderId="0" xfId="0" applyFont="1" applyFill="1"/>
    <xf numFmtId="0" fontId="18" fillId="0" borderId="0" xfId="0" applyFont="1" applyAlignment="1">
      <alignment horizontal="center"/>
    </xf>
    <xf numFmtId="0" fontId="0" fillId="6" borderId="0" xfId="0" applyFill="1" applyAlignment="1">
      <alignment vertical="center" wrapText="1"/>
    </xf>
    <xf numFmtId="0" fontId="0" fillId="6" borderId="0" xfId="0" applyFill="1" applyAlignment="1">
      <alignment vertical="center"/>
    </xf>
    <xf numFmtId="0" fontId="25" fillId="3" borderId="0" xfId="0" applyFont="1" applyFill="1" applyAlignment="1">
      <alignment vertical="center"/>
    </xf>
    <xf numFmtId="0" fontId="0" fillId="3" borderId="0" xfId="0" applyFill="1" applyAlignment="1">
      <alignment vertical="center"/>
    </xf>
    <xf numFmtId="0" fontId="27" fillId="3" borderId="0" xfId="0" applyFont="1" applyFill="1" applyAlignment="1">
      <alignment vertical="center"/>
    </xf>
    <xf numFmtId="0" fontId="27" fillId="0" borderId="0" xfId="0" applyFont="1" applyAlignment="1">
      <alignment vertical="center"/>
    </xf>
    <xf numFmtId="0" fontId="11" fillId="0" borderId="7" xfId="0" applyFont="1" applyBorder="1" applyAlignment="1">
      <alignment horizontal="center"/>
    </xf>
    <xf numFmtId="0" fontId="11" fillId="0" borderId="7" xfId="0" applyFont="1" applyBorder="1" applyAlignment="1">
      <alignment horizontal="center" wrapText="1"/>
    </xf>
    <xf numFmtId="0" fontId="0" fillId="0" borderId="8" xfId="0" applyBorder="1"/>
    <xf numFmtId="0" fontId="0" fillId="0" borderId="9" xfId="0" applyBorder="1"/>
    <xf numFmtId="164" fontId="0" fillId="0" borderId="10" xfId="7" applyNumberFormat="1" applyFont="1" applyBorder="1"/>
    <xf numFmtId="0" fontId="0" fillId="0" borderId="11" xfId="0" applyBorder="1"/>
    <xf numFmtId="0" fontId="0" fillId="0" borderId="4" xfId="0" applyBorder="1"/>
    <xf numFmtId="164" fontId="0" fillId="0" borderId="12" xfId="7" applyNumberFormat="1" applyFont="1" applyBorder="1"/>
    <xf numFmtId="0" fontId="0" fillId="0" borderId="11" xfId="0" applyBorder="1" applyAlignment="1">
      <alignment wrapText="1"/>
    </xf>
    <xf numFmtId="0" fontId="0" fillId="0" borderId="13" xfId="0" applyBorder="1"/>
    <xf numFmtId="0" fontId="0" fillId="0" borderId="14" xfId="0" applyBorder="1"/>
    <xf numFmtId="164" fontId="0" fillId="0" borderId="15" xfId="7" applyNumberFormat="1" applyFont="1" applyBorder="1"/>
    <xf numFmtId="0" fontId="10" fillId="6" borderId="0" xfId="6" applyFont="1" applyFill="1" applyAlignment="1">
      <alignment wrapText="1"/>
    </xf>
    <xf numFmtId="0" fontId="5" fillId="9" borderId="0" xfId="0" applyFont="1" applyFill="1" applyAlignment="1">
      <alignment horizontal="left"/>
    </xf>
    <xf numFmtId="0" fontId="0" fillId="9" borderId="0" xfId="0" applyFill="1"/>
    <xf numFmtId="0" fontId="0" fillId="9" borderId="0" xfId="0" applyFill="1" applyAlignment="1">
      <alignment wrapText="1"/>
    </xf>
    <xf numFmtId="0" fontId="10" fillId="3" borderId="0" xfId="6" applyFont="1" applyFill="1" applyAlignment="1">
      <alignment horizontal="left" wrapText="1"/>
    </xf>
    <xf numFmtId="0" fontId="14" fillId="3" borderId="0" xfId="6" applyFill="1" applyAlignment="1">
      <alignment wrapText="1"/>
    </xf>
    <xf numFmtId="0" fontId="0" fillId="0" borderId="0" xfId="0" applyAlignment="1">
      <alignment horizontal="left" wrapText="1"/>
    </xf>
    <xf numFmtId="0" fontId="1" fillId="0" borderId="0" xfId="0" applyFont="1" applyAlignment="1">
      <alignment horizontal="center"/>
    </xf>
    <xf numFmtId="9" fontId="0" fillId="3" borderId="0" xfId="0" applyNumberFormat="1" applyFill="1"/>
    <xf numFmtId="0" fontId="1" fillId="0" borderId="0" xfId="0" applyFont="1" applyAlignment="1">
      <alignment horizontal="center" wrapText="1"/>
    </xf>
    <xf numFmtId="0" fontId="12" fillId="10" borderId="0" xfId="0" applyFont="1" applyFill="1"/>
    <xf numFmtId="0" fontId="0" fillId="3" borderId="1" xfId="0" applyFill="1" applyBorder="1"/>
    <xf numFmtId="0" fontId="30" fillId="0" borderId="0" xfId="0" applyFont="1" applyAlignment="1">
      <alignment horizontal="center"/>
    </xf>
    <xf numFmtId="0" fontId="1" fillId="0" borderId="0" xfId="0" applyFont="1"/>
    <xf numFmtId="0" fontId="30" fillId="0" borderId="0" xfId="0" applyFont="1"/>
    <xf numFmtId="0" fontId="31" fillId="0" borderId="0" xfId="0" applyFont="1"/>
    <xf numFmtId="0" fontId="5" fillId="3" borderId="0" xfId="0" applyFont="1" applyFill="1" applyAlignment="1">
      <alignment wrapText="1"/>
    </xf>
    <xf numFmtId="0" fontId="3" fillId="3" borderId="0" xfId="0" applyFont="1" applyFill="1" applyAlignment="1">
      <alignment wrapText="1"/>
    </xf>
    <xf numFmtId="0" fontId="5" fillId="3" borderId="0" xfId="0" applyFont="1" applyFill="1" applyAlignment="1">
      <alignment horizontal="right"/>
    </xf>
    <xf numFmtId="0" fontId="3" fillId="3" borderId="0" xfId="0" applyFont="1" applyFill="1" applyAlignment="1">
      <alignment horizontal="left" wrapText="1"/>
    </xf>
    <xf numFmtId="0" fontId="0" fillId="0" borderId="0" xfId="0" applyAlignment="1">
      <alignment horizontal="right"/>
    </xf>
    <xf numFmtId="0" fontId="0" fillId="3" borderId="0" xfId="0" applyFill="1" applyAlignment="1">
      <alignment horizontal="right"/>
    </xf>
    <xf numFmtId="0" fontId="5" fillId="0" borderId="0" xfId="0" applyFont="1" applyAlignment="1">
      <alignment horizontal="left" wrapText="1"/>
    </xf>
    <xf numFmtId="0" fontId="15" fillId="0" borderId="0" xfId="0" applyFont="1" applyAlignment="1">
      <alignment vertical="center" wrapText="1"/>
    </xf>
    <xf numFmtId="0" fontId="12" fillId="0" borderId="1" xfId="0" applyFont="1" applyBorder="1" applyAlignment="1">
      <alignment horizontal="center" wrapText="1"/>
    </xf>
    <xf numFmtId="0" fontId="0" fillId="0" borderId="17" xfId="0" applyBorder="1" applyAlignment="1">
      <alignment wrapText="1"/>
    </xf>
    <xf numFmtId="0" fontId="0" fillId="0" borderId="18" xfId="0" applyBorder="1"/>
    <xf numFmtId="0" fontId="0" fillId="0" borderId="12" xfId="0" applyBorder="1"/>
    <xf numFmtId="0" fontId="0" fillId="0" borderId="15" xfId="0" applyBorder="1"/>
    <xf numFmtId="0" fontId="5" fillId="3" borderId="0" xfId="0" applyFont="1" applyFill="1"/>
    <xf numFmtId="0" fontId="2" fillId="0" borderId="0" xfId="1" applyAlignment="1">
      <alignment wrapText="1"/>
    </xf>
    <xf numFmtId="14" fontId="5" fillId="0" borderId="0" xfId="0" applyNumberFormat="1" applyFont="1" applyAlignment="1">
      <alignment horizontal="left" wrapText="1"/>
    </xf>
    <xf numFmtId="0" fontId="34" fillId="6" borderId="0" xfId="0" applyFont="1" applyFill="1" applyAlignment="1">
      <alignment horizontal="left" wrapText="1"/>
    </xf>
    <xf numFmtId="0" fontId="15" fillId="5" borderId="0" xfId="0" applyFont="1" applyFill="1" applyAlignment="1">
      <alignment horizontal="center"/>
    </xf>
    <xf numFmtId="0" fontId="15" fillId="2" borderId="0" xfId="0" applyFont="1" applyFill="1" applyAlignment="1">
      <alignment horizontal="center" vertical="center" wrapText="1"/>
    </xf>
    <xf numFmtId="0" fontId="15" fillId="4" borderId="0" xfId="0" applyFont="1" applyFill="1" applyAlignment="1">
      <alignment horizontal="center"/>
    </xf>
    <xf numFmtId="0" fontId="15" fillId="4" borderId="0" xfId="0" applyFont="1" applyFill="1" applyAlignment="1">
      <alignment horizontal="center" vertical="center"/>
    </xf>
    <xf numFmtId="0" fontId="15" fillId="5" borderId="0" xfId="0" applyFont="1" applyFill="1" applyAlignment="1">
      <alignment horizontal="center" vertical="center"/>
    </xf>
    <xf numFmtId="0" fontId="3" fillId="5" borderId="0" xfId="0" applyFont="1" applyFill="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3" xfId="0" applyFont="1" applyBorder="1" applyAlignment="1">
      <alignment horizontal="center"/>
    </xf>
    <xf numFmtId="0" fontId="15" fillId="11" borderId="0" xfId="0" applyFont="1" applyFill="1" applyAlignment="1">
      <alignment horizontal="center" vertical="center" wrapText="1"/>
    </xf>
    <xf numFmtId="0" fontId="15" fillId="2" borderId="16" xfId="0" applyFont="1" applyFill="1" applyBorder="1" applyAlignment="1">
      <alignment horizontal="center" vertical="center" wrapText="1"/>
    </xf>
    <xf numFmtId="0" fontId="5" fillId="0" borderId="0" xfId="8" applyFont="1" applyFill="1"/>
    <xf numFmtId="0" fontId="5" fillId="0" borderId="0" xfId="9" applyFont="1" applyFill="1"/>
    <xf numFmtId="0" fontId="0" fillId="14" borderId="0" xfId="0" applyFill="1" applyAlignment="1">
      <alignment horizontal="left"/>
    </xf>
    <xf numFmtId="0" fontId="34" fillId="9" borderId="0" xfId="0" applyFont="1" applyFill="1" applyAlignment="1">
      <alignment wrapText="1"/>
    </xf>
  </cellXfs>
  <cellStyles count="10">
    <cellStyle name="Bad" xfId="9" builtinId="27"/>
    <cellStyle name="Comma 2" xfId="3" xr:uid="{8C77CBF8-8B88-4FA7-896A-CEBC5A1B0418}"/>
    <cellStyle name="Comma 3" xfId="7" xr:uid="{66C0D064-5870-499B-AB44-C4BFBFE735C5}"/>
    <cellStyle name="Good" xfId="8" builtinId="26"/>
    <cellStyle name="Hyperlink" xfId="1" builtinId="8"/>
    <cellStyle name="Neutral" xfId="6" builtinId="28"/>
    <cellStyle name="Normal" xfId="0" builtinId="0"/>
    <cellStyle name="Normal 2" xfId="2" xr:uid="{1DA72BB3-B85A-453F-B57A-7C6313342738}"/>
    <cellStyle name="Normal 3" xfId="5" xr:uid="{B2BBD416-A4E2-4B8E-9BE8-B9CB527298B5}"/>
    <cellStyle name="Percent 2" xfId="4" xr:uid="{2F13903E-2B33-4717-8BCC-BE8CF12602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AMS-III.F/AMS-III.F.xlsx" TargetMode="External"/><Relationship Id="rId1" Type="http://schemas.openxmlformats.org/officeDocument/2006/relationships/externalLinkPath" Target="/personal/daniel_norkin_envisionblockchain_com/Documents/Marketing/Clients/UNFCCC/UNFCCC%20Project%20Documentation/UNFCCC%2016%20Methodologies/AMS-III.F/AMS-III.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MS-III.F Mainframe"/>
      <sheetName val="Partial BE Based on LT 17a"/>
      <sheetName val="Partial BE Based on LT 17b"/>
      <sheetName val="Tool 13"/>
      <sheetName val="MCF Defaults"/>
      <sheetName val="(Revised) Tool 03"/>
      <sheetName val="Tool 05.1"/>
      <sheetName val="Tool 05.2 Power Plants"/>
      <sheetName val="Tool 05.3 Default Values"/>
      <sheetName val="Tool 04-SWDS-Yearly"/>
      <sheetName val="SWDS Emissions Summary Tab "/>
      <sheetName val="Dropdown Items"/>
      <sheetName val="IWA Properties"/>
    </sheetNames>
    <sheetDataSet>
      <sheetData sheetId="0"/>
      <sheetData sheetId="1"/>
      <sheetData sheetId="2"/>
      <sheetData sheetId="3"/>
      <sheetData sheetId="4"/>
      <sheetData sheetId="5">
        <row r="3">
          <cell r="G3">
            <v>73.333333333333329</v>
          </cell>
        </row>
      </sheetData>
      <sheetData sheetId="6">
        <row r="6">
          <cell r="G6">
            <v>0.73499999999999999</v>
          </cell>
        </row>
      </sheetData>
      <sheetData sheetId="7"/>
      <sheetData sheetId="8"/>
      <sheetData sheetId="9">
        <row r="86">
          <cell r="C86">
            <v>0.16218993029283385</v>
          </cell>
        </row>
      </sheetData>
      <sheetData sheetId="10"/>
      <sheetData sheetId="11"/>
      <sheetData sheetId="12"/>
    </sheetDataSet>
  </externalBook>
</externalLink>
</file>

<file path=xl/persons/person.xml><?xml version="1.0" encoding="utf-8"?>
<personList xmlns="http://schemas.microsoft.com/office/spreadsheetml/2018/threadedcomments" xmlns:x="http://schemas.openxmlformats.org/spreadsheetml/2006/main">
  <person displayName="Max Pinnola" id="{54C6027E-3FEA-4B20-A6DA-FB17A23F85A1}" userId="6071b2e426a8e48f" providerId="Windows Live"/>
  <person displayName="Jailine Molina" id="{1D474294-E634-42B4-A450-A94B205ADCC8}" userId="f3e4387646bbb898" providerId="Windows Live"/>
  <person displayName="Jailine Molina" id="{485A3DD3-9848-43A7-9D62-8FC3566A47F5}"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6" dT="2023-08-02T16:15:50.59" personId="{485A3DD3-9848-43A7-9D62-8FC3566A47F5}" id="{A3F62F35-D1DF-4ED2-B272-F72347B786F1}">
    <text>Eq 1</text>
  </threadedComment>
  <threadedComment ref="G38" dT="2023-08-02T16:15:50.59" personId="{485A3DD3-9848-43A7-9D62-8FC3566A47F5}" id="{CFC778ED-7BDE-461B-A56B-C7B86257DAEB}">
    <text>Eq 1</text>
  </threadedComment>
  <threadedComment ref="G43" dT="2023-08-02T16:15:50.59" personId="{485A3DD3-9848-43A7-9D62-8FC3566A47F5}" id="{308F7ADB-7057-4DF2-BD0E-84F8E2AD4BB6}">
    <text>Eq 5</text>
  </threadedComment>
  <threadedComment ref="G45" dT="2023-08-03T15:15:17.32" personId="{485A3DD3-9848-43A7-9D62-8FC3566A47F5}" id="{5B76F69B-3D7A-483D-AA38-216B6BFE7A4B}">
    <text>Eq 6</text>
  </threadedComment>
  <threadedComment ref="G52" dT="2023-08-02T16:40:41.01" personId="{485A3DD3-9848-43A7-9D62-8FC3566A47F5}" id="{C143401E-D150-4146-847E-BACEE162EB72}">
    <text>Eq 7</text>
  </threadedComment>
  <threadedComment ref="G56" dT="2023-08-02T16:40:35.09" personId="{485A3DD3-9848-43A7-9D62-8FC3566A47F5}" id="{0DED7565-3F18-4D20-B968-9EAB4DC3C303}">
    <text>Eq 8</text>
  </threadedComment>
  <threadedComment ref="G64" dT="2023-08-02T16:40:35.09" personId="{485A3DD3-9848-43A7-9D62-8FC3566A47F5}" id="{B7A52B58-3DE2-4D68-B058-A47D562E28AE}">
    <text>Eq 8</text>
  </threadedComment>
  <threadedComment ref="G64" dT="2023-08-21T18:41:53.77" personId="{485A3DD3-9848-43A7-9D62-8FC3566A47F5}" id="{6FFDA5A1-9E8F-4E3C-9D8B-9083D316CAE7}" parentId="{B7A52B58-3DE2-4D68-B058-A47D562E28AE}">
    <text>Option b in paragraph 21. Use of tool 14 to calculate parameter PEPL</text>
  </threadedComment>
  <threadedComment ref="G66" dT="2023-08-21T20:17:08.86" personId="{485A3DD3-9848-43A7-9D62-8FC3566A47F5}" id="{861744AA-6451-453D-BF2F-BC1FD6CF4419}">
    <text>Eq 3 from AMS-III.AO</text>
  </threadedComment>
  <threadedComment ref="G75" dT="2023-08-02T16:38:51.32" personId="{485A3DD3-9848-43A7-9D62-8FC3566A47F5}" id="{447D40D5-845D-41EE-9585-B381AA0C27C3}">
    <text>Eq 9</text>
  </threadedComment>
  <threadedComment ref="G79" dT="2023-08-03T14:44:39.97" personId="{485A3DD3-9848-43A7-9D62-8FC3566A47F5}" id="{BB142946-14F9-492F-9D65-E20D0EA87BB8}">
    <text>Eq 10</text>
  </threadedComment>
  <threadedComment ref="G81" dT="2023-08-03T14:44:39.97" personId="{485A3DD3-9848-43A7-9D62-8FC3566A47F5}" id="{8E0253C1-338F-4DA6-B8EA-92FFE4AFD736}">
    <text>Eq 10</text>
  </threadedComment>
  <threadedComment ref="G87" dT="2023-08-03T14:44:39.97" personId="{485A3DD3-9848-43A7-9D62-8FC3566A47F5}" id="{66469856-2A16-4425-BB06-ED00B98322EA}">
    <text>Eq 10</text>
  </threadedComment>
  <threadedComment ref="G93" dT="2023-08-03T15:16:03.26" personId="{485A3DD3-9848-43A7-9D62-8FC3566A47F5}" id="{CE4F5722-2130-490F-B11B-83A7A91F3826}">
    <text>Eq 11</text>
  </threadedComment>
  <threadedComment ref="G100" dT="2023-08-03T15:16:16.97" personId="{485A3DD3-9848-43A7-9D62-8FC3566A47F5}" id="{5B47BF49-B2F2-4AA3-A6E5-FE4A708335FF}">
    <text>Eq 12</text>
  </threadedComment>
</ThreadedComments>
</file>

<file path=xl/threadedComments/threadedComment10.xml><?xml version="1.0" encoding="utf-8"?>
<ThreadedComments xmlns="http://schemas.microsoft.com/office/spreadsheetml/2018/threadedcomments" xmlns:x="http://schemas.openxmlformats.org/spreadsheetml/2006/main">
  <threadedComment ref="D3" dT="2023-08-10T16:26:52.04" personId="{485A3DD3-9848-43A7-9D62-8FC3566A47F5}" id="{EA6B8B7A-C441-4FD9-8C19-60C87729F9DD}">
    <text>Upper Default Value at the 95% confidence interval</text>
  </threadedComment>
</ThreadedComments>
</file>

<file path=xl/threadedComments/threadedComment11.xml><?xml version="1.0" encoding="utf-8"?>
<ThreadedComments xmlns="http://schemas.microsoft.com/office/spreadsheetml/2018/threadedcomments" xmlns:x="http://schemas.openxmlformats.org/spreadsheetml/2006/main">
  <threadedComment ref="C44" dT="2023-08-07T18:31:59.03" personId="{485A3DD3-9848-43A7-9D62-8FC3566A47F5}" id="{67AE920D-4546-495C-8C90-39E3B47BEE71}">
    <text>Eq 5</text>
  </threadedComment>
  <threadedComment ref="C45" dT="2023-08-07T18:37:45.62" personId="{485A3DD3-9848-43A7-9D62-8FC3566A47F5}" id="{9278B7AD-32FB-4819-9A51-49A855A0049D}">
    <text>Eq 6</text>
  </threadedComment>
  <threadedComment ref="C48" dT="2023-08-07T18:37:33.62" personId="{485A3DD3-9848-43A7-9D62-8FC3566A47F5}" id="{87201927-EFA8-44B9-8475-D94FB4C9B2A1}">
    <text>Eq 7</text>
  </threadedComment>
  <threadedComment ref="C49" dT="2023-08-07T18:58:57.06" personId="{485A3DD3-9848-43A7-9D62-8FC3566A47F5}" id="{F3DF6DE3-EDD7-4E78-9B2D-3C8C5DC9D344}">
    <text>Comes from tool 08</text>
  </threadedComment>
  <threadedComment ref="C50" dT="2023-08-07T19:02:06.06" personId="{485A3DD3-9848-43A7-9D62-8FC3566A47F5}" id="{9975357D-0592-4E46-88E6-15039414F0DD}">
    <text>Eq 5 in tool 08</text>
  </threadedComment>
  <threadedComment ref="C51" dT="2023-08-07T18:58:57.06" personId="{485A3DD3-9848-43A7-9D62-8FC3566A47F5}" id="{0E0320F1-B92B-4A60-9015-824417C92C8F}">
    <text>Comes from tool 08</text>
  </threadedComment>
  <threadedComment ref="C54" dT="2023-08-07T20:32:58.24" personId="{485A3DD3-9848-43A7-9D62-8FC3566A47F5}" id="{FA09F900-D3F7-4F1F-B366-294923B78A17}">
    <text>Eq 3</text>
  </threadedComment>
  <threadedComment ref="C56" dT="2023-08-07T19:07:00.47" personId="{485A3DD3-9848-43A7-9D62-8FC3566A47F5}" id="{07841D25-1509-438D-B9B7-E3585C21484C}">
    <text>Eq 4</text>
  </threadedComment>
  <threadedComment ref="C57" dT="2023-08-07T19:07:25.43" personId="{485A3DD3-9848-43A7-9D62-8FC3566A47F5}" id="{7EA4205B-B3DC-472F-913E-7972767323E3}">
    <text>Eq 8</text>
  </threadedComment>
  <threadedComment ref="C58" dT="2023-08-07T19:08:12.17" personId="{485A3DD3-9848-43A7-9D62-8FC3566A47F5}" id="{4673A058-533D-4E7F-85B6-62A755C6F9F1}">
    <text>Eq 9</text>
  </threadedComment>
  <threadedComment ref="C59" dT="2023-08-07T19:08:57.03" personId="{485A3DD3-9848-43A7-9D62-8FC3566A47F5}" id="{183AA168-3E61-40A5-8C9A-AC527E26BA84}">
    <text>Eq 10</text>
  </threadedComment>
  <threadedComment ref="C60" dT="2023-08-07T19:09:14.09" personId="{485A3DD3-9848-43A7-9D62-8FC3566A47F5}" id="{E9F5C8A3-5AA2-4B3F-BC85-B5C58C48DAA2}">
    <text>Eq 11</text>
  </threadedComment>
  <threadedComment ref="C61" dT="2023-08-07T19:09:51.89" personId="{485A3DD3-9848-43A7-9D62-8FC3566A47F5}" id="{7AE7B7B6-D1F0-401C-99C0-B7FF7422152E}">
    <text>Eq 12</text>
  </threadedComment>
  <threadedComment ref="C62" dT="2023-08-07T19:10:10.48" personId="{485A3DD3-9848-43A7-9D62-8FC3566A47F5}" id="{20798707-05DC-4A54-9350-DBF8000D9460}">
    <text>Eq 13</text>
  </threadedComment>
  <threadedComment ref="C64" dT="2023-08-07T19:19:04.14" personId="{485A3DD3-9848-43A7-9D62-8FC3566A47F5}" id="{C39A13E8-331C-4AD2-BA43-3BEA11FF86C4}">
    <text>Eq 14</text>
  </threadedComment>
  <threadedComment ref="C65" dT="2023-08-07T19:19:12.89" personId="{485A3DD3-9848-43A7-9D62-8FC3566A47F5}" id="{3FA8AB76-6A93-4C6B-BAF2-4489108685BF}">
    <text>Eq 14</text>
  </threadedComment>
  <threadedComment ref="C66" dT="2023-08-07T19:19:19.16" personId="{485A3DD3-9848-43A7-9D62-8FC3566A47F5}" id="{C778BD13-697B-4488-8B72-55E09BFF97C2}">
    <text>Eq 14</text>
  </threadedComment>
  <threadedComment ref="C67" dT="2023-08-07T19:19:27.70" personId="{485A3DD3-9848-43A7-9D62-8FC3566A47F5}" id="{14D7E649-F025-4F91-B969-9E7BE273B214}">
    <text>Eq 14</text>
  </threadedComment>
  <threadedComment ref="C69" dT="2023-08-07T21:12:45.72" personId="{485A3DD3-9848-43A7-9D62-8FC3566A47F5}" id="{65778340-FEEC-40B9-830B-98A4E22D5ABC}">
    <text>Eq 15</text>
  </threadedComment>
</ThreadedComments>
</file>

<file path=xl/threadedComments/threadedComment12.xml><?xml version="1.0" encoding="utf-8"?>
<ThreadedComments xmlns="http://schemas.microsoft.com/office/spreadsheetml/2018/threadedcomments" xmlns:x="http://schemas.openxmlformats.org/spreadsheetml/2006/main">
  <threadedComment ref="F9" dT="2023-10-02T17:56:34.11" personId="{485A3DD3-9848-43A7-9D62-8FC3566A47F5}" id="{A66EA3BB-2A3E-4DE5-BA91-70F08ACF619C}">
    <text>Eq 2</text>
  </threadedComment>
  <threadedComment ref="F16" dT="2023-10-02T18:19:24.82" personId="{485A3DD3-9848-43A7-9D62-8FC3566A47F5}" id="{9CB507C6-77A4-4859-81B1-DDAE5AB08988}">
    <text>Tool 05</text>
  </threadedComment>
  <threadedComment ref="F20" dT="2023-10-02T18:19:14.96" personId="{485A3DD3-9848-43A7-9D62-8FC3566A47F5}" id="{252F0B19-B0E9-4372-809A-B5DD530CDED0}">
    <text>Tool 03</text>
  </threadedComment>
  <threadedComment ref="F22" dT="2023-10-02T18:22:40.35" personId="{485A3DD3-9848-43A7-9D62-8FC3566A47F5}" id="{E53EA285-3D09-4672-9C7F-32A543CBC11E}">
    <text>Eq 4</text>
  </threadedComment>
  <threadedComment ref="F27" dT="2023-10-02T20:18:08.28" personId="{485A3DD3-9848-43A7-9D62-8FC3566A47F5}" id="{98B03C05-3E7B-4540-8A1B-8DA9E5580BFC}">
    <text>Eq 5</text>
  </threadedComment>
  <threadedComment ref="F28" dT="2023-10-02T19:25:26.05" personId="{485A3DD3-9848-43A7-9D62-8FC3566A47F5}" id="{0EF85A7F-36FE-43D3-AF36-93F1A2EC0A25}">
    <text>Eq 6 for option 1 and default for option 2</text>
  </threadedComment>
  <threadedComment ref="F41" dT="2023-10-02T20:26:17.53" personId="{485A3DD3-9848-43A7-9D62-8FC3566A47F5}" id="{FCE110FC-1CF8-4D3A-B783-19CA22D3C573}">
    <text>Eq 7</text>
  </threadedComment>
  <threadedComment ref="F42" dT="2023-10-02T19:35:41.62" personId="{485A3DD3-9848-43A7-9D62-8FC3566A47F5}" id="{BF8BCE45-B745-4625-936D-EA2E0AB095D9}">
    <text>Eq 8 for option 1 and default for option 2</text>
  </threadedComment>
  <threadedComment ref="F57" dT="2023-10-02T20:09:00.29" personId="{485A3DD3-9848-43A7-9D62-8FC3566A47F5}" id="{31D7AD9A-DDB0-4377-95DC-9FB0809F7CEF}">
    <text xml:space="preserve">Eq 9 with if/then for run-off wastewater that is collected and re-circulated </text>
  </threadedComment>
  <threadedComment ref="I70" dT="2023-10-31T19:11:13.38" personId="{485A3DD3-9848-43A7-9D62-8FC3566A47F5}" id="{34EAE135-9AE6-433E-BE69-B0D03D2870F2}">
    <text>The calculated value for this is located in row 66 as option 1</text>
  </threadedComment>
</ThreadedComments>
</file>

<file path=xl/threadedComments/threadedComment13.xml><?xml version="1.0" encoding="utf-8"?>
<ThreadedComments xmlns="http://schemas.microsoft.com/office/spreadsheetml/2018/threadedcomments" xmlns:x="http://schemas.openxmlformats.org/spreadsheetml/2006/main">
  <threadedComment ref="E13" dT="2023-08-03T18:04:10.78" personId="{485A3DD3-9848-43A7-9D62-8FC3566A47F5}" id="{7281CD29-A247-4164-A731-1F7D5D6E1D7E}">
    <text>Eq 1</text>
  </threadedComment>
  <threadedComment ref="E14" dT="2023-09-05T15:07:52.37" personId="{1D474294-E634-42B4-A450-A94B205ADCC8}" id="{1B8F78A6-4D5E-49BF-8CEA-910767178653}">
    <text>Eq 3</text>
  </threadedComment>
  <threadedComment ref="E15" dT="2023-09-05T15:07:28.89" personId="{1D474294-E634-42B4-A450-A94B205ADCC8}" id="{C67E2A1A-BFCE-4A79-AA36-F662E816100A}">
    <text>Tool 05</text>
  </threadedComment>
  <threadedComment ref="F15" dT="2023-08-16T19:23:01.18" personId="{485A3DD3-9848-43A7-9D62-8FC3566A47F5}" id="{C765DB42-0E36-4A9F-ADF2-6E84F725BB8A}">
    <text>Comes from tool 03</text>
  </threadedComment>
  <threadedComment ref="E16" dT="2023-09-05T15:07:12.12" personId="{1D474294-E634-42B4-A450-A94B205ADCC8}" id="{4524539C-5BD9-4DAB-91A1-DF057EC3DCBF}">
    <text>Eq 4</text>
  </threadedComment>
  <threadedComment ref="E19" dT="2023-08-03T18:14:45.92" personId="{485A3DD3-9848-43A7-9D62-8FC3566A47F5}" id="{2FF1EDA8-EE1E-422A-93E8-39EE951578FC}">
    <text>Eq 4</text>
  </threadedComment>
  <threadedComment ref="E19" dT="2023-08-03T18:42:23.82" personId="{485A3DD3-9848-43A7-9D62-8FC3566A47F5}" id="{2791E239-0992-4C06-A83D-727BCA9E5F66}" parentId="{2FF1EDA8-EE1E-422A-93E8-39EE951578FC}">
    <text xml:space="preserve">Tool 8 Tool to determine the mass flow of a greenhouse gas in a gaseous stream </text>
  </threadedComment>
  <threadedComment ref="E24" dT="2023-08-03T18:14:38.43" personId="{485A3DD3-9848-43A7-9D62-8FC3566A47F5}" id="{8178C38C-1C99-476C-8032-DF97B1C84DDC}">
    <text>Eq 3</text>
  </threadedComment>
  <threadedComment ref="E28" dT="2023-08-03T18:19:12.73" personId="{485A3DD3-9848-43A7-9D62-8FC3566A47F5}" id="{1A01F63D-90E9-4B50-A823-22F90F8A2DFA}">
    <text>Eq 9</text>
  </threadedComment>
  <threadedComment ref="E29" dT="2023-08-03T18:26:53.25" personId="{485A3DD3-9848-43A7-9D62-8FC3566A47F5}" id="{97F7E44F-2A69-4033-9193-C36B541F3DC9}">
    <text>Eq 15</text>
  </threadedComment>
  <threadedComment ref="E31" dT="2023-08-03T18:22:54.67" personId="{485A3DD3-9848-43A7-9D62-8FC3566A47F5}" id="{A2EAC5D8-C27A-484B-97AF-16D6FC0DAE6F}">
    <text>Eq 10</text>
  </threadedComment>
  <threadedComment ref="F34" dT="2023-08-03T18:35:58.01" personId="{485A3DD3-9848-43A7-9D62-8FC3566A47F5}" id="{118A11B6-6038-404C-8546-972A6183B14D}">
    <text>Methane</text>
  </threadedComment>
  <threadedComment ref="E37" dT="2023-08-03T18:26:34.28" personId="{485A3DD3-9848-43A7-9D62-8FC3566A47F5}" id="{361A2569-C973-479B-B4B6-DA5FC2A955F8}">
    <text>Eq 16</text>
  </threadedComment>
  <threadedComment ref="E38" dT="2023-08-03T18:29:23.16" personId="{485A3DD3-9848-43A7-9D62-8FC3566A47F5}" id="{DF534DC1-2CB2-426A-9443-4D79A4BC0626}">
    <text>Eq 17</text>
  </threadedComment>
  <threadedComment ref="E42" dT="2023-08-03T18:52:20.08" personId="{485A3DD3-9848-43A7-9D62-8FC3566A47F5}" id="{7A9DDD82-F07F-44CD-80F3-0C8FB1FCAD22}">
    <text>Eq 2</text>
  </threadedComment>
  <threadedComment ref="C46" dT="2023-08-04T20:02:42.42" personId="{485A3DD3-9848-43A7-9D62-8FC3566A47F5}" id="{531F9218-1355-4FB9-82F7-495A3C12310B}">
    <text>This data comes from tool 05</text>
  </threadedComment>
  <threadedComment ref="E47" dT="2023-08-10T14:56:00.30" personId="{485A3DD3-9848-43A7-9D62-8FC3566A47F5}" id="{FB4CD4B3-DC2C-4AB2-83CD-9FAC548DD3AE}">
    <text>Eq 1</text>
  </threadedComment>
  <threadedComment ref="E47" dT="2023-08-16T20:12:59.41" personId="{485A3DD3-9848-43A7-9D62-8FC3566A47F5}" id="{8E170BF1-B5AA-421D-B453-55886060C76A}" parentId="{FB4CD4B3-DC2C-4AB2-83CD-9FAC548DD3AE}">
    <text>Tool 05</text>
  </threadedComment>
  <threadedComment ref="E49" dT="2023-08-03T19:33:15.39" personId="{485A3DD3-9848-43A7-9D62-8FC3566A47F5}" id="{886199B8-E2E5-42AA-92FA-3AAD68C7CF9E}">
    <text>Eq 3</text>
  </threadedComment>
  <threadedComment ref="C54" dT="2023-08-04T20:03:23.24" personId="{485A3DD3-9848-43A7-9D62-8FC3566A47F5}" id="{7BDFEFD9-9590-41C6-B7CF-62DA7982FF01}">
    <text>This data comes from tool 05</text>
  </threadedComment>
  <threadedComment ref="E55" dT="2023-08-10T14:56:00.30" personId="{485A3DD3-9848-43A7-9D62-8FC3566A47F5}" id="{BB159412-79C0-491E-9930-AFFDEB49FFE8}">
    <text>Eq 1</text>
  </threadedComment>
  <threadedComment ref="E55" dT="2023-08-16T20:15:28.34" personId="{485A3DD3-9848-43A7-9D62-8FC3566A47F5}" id="{198BC478-DCEF-4F51-96EF-49BA63C3F083}" parentId="{BB159412-79C0-491E-9930-AFFDEB49FFE8}">
    <text>Tool 03</text>
  </threadedComment>
  <threadedComment ref="E57" dT="2023-08-03T19:41:13.38" personId="{485A3DD3-9848-43A7-9D62-8FC3566A47F5}" id="{A15BBC4C-BC8E-4AE9-BD09-829374718516}">
    <text>Eq 4</text>
  </threadedComment>
  <threadedComment ref="C62" dT="2023-08-04T20:13:11.89" personId="{485A3DD3-9848-43A7-9D62-8FC3566A47F5}" id="{261A70BC-AF74-4026-930A-7228E6FD2317}">
    <text>Data comes from Tool 06</text>
  </threadedComment>
  <threadedComment ref="E63" dT="2023-08-16T20:17:50.63" personId="{485A3DD3-9848-43A7-9D62-8FC3566A47F5}" id="{BF4F94E0-AFC9-4443-9009-B4B6C9F0335C}">
    <text>Tool 06</text>
  </threadedComment>
  <threadedComment ref="E63" dT="2023-08-16T20:18:06.74" personId="{485A3DD3-9848-43A7-9D62-8FC3566A47F5}" id="{FCABA4D8-FB8E-4B38-9D6D-DE202A8C9E53}" parentId="{BF4F94E0-AFC9-4443-9009-B4B6C9F0335C}">
    <text>Eq 15</text>
  </threadedComment>
  <threadedComment ref="E65" dT="2023-08-04T19:24:29.94" personId="{485A3DD3-9848-43A7-9D62-8FC3566A47F5}" id="{832E33ED-8348-4DD5-A217-8562997FEFED}">
    <text>Eq 5</text>
  </threadedComment>
  <threadedComment ref="E69" dT="2023-08-04T19:42:52.91" personId="{485A3DD3-9848-43A7-9D62-8FC3566A47F5}" id="{0EC5DB7C-40E3-46B9-A333-5376269FE7D6}">
    <text>Eq 6</text>
  </threadedComment>
  <threadedComment ref="E77" dT="2023-08-04T19:47:05.88" personId="{485A3DD3-9848-43A7-9D62-8FC3566A47F5}" id="{539DE196-4B6A-4FBB-B978-DDF124AFEA88}">
    <text>Eq 7</text>
  </threadedComment>
  <threadedComment ref="E83" dT="2023-08-04T19:52:24.79" personId="{485A3DD3-9848-43A7-9D62-8FC3566A47F5}" id="{D87FC3EE-0C61-4380-9194-7706953E00AA}">
    <text>Eq 8</text>
  </threadedComment>
  <threadedComment ref="E89" dT="2023-08-04T19:52:24.79" personId="{485A3DD3-9848-43A7-9D62-8FC3566A47F5}" id="{53F9E3CB-CAE0-4A2E-A0CA-88C45AF9661E}">
    <text>Eq 8</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3-08-02T16:17:38.02" personId="{485A3DD3-9848-43A7-9D62-8FC3566A47F5}" id="{4B790A2D-3756-401F-9FC0-6E0C61B6DB97}">
    <text>Eq 4</text>
  </threadedComment>
  <threadedComment ref="D27" dT="2023-08-02T16:17:38.02" personId="{485A3DD3-9848-43A7-9D62-8FC3566A47F5}" id="{F39D23E3-2A2D-4E5D-B766-EDC4E00C0FB9}">
    <text>Eq 4</text>
  </threadedComment>
</ThreadedComments>
</file>

<file path=xl/threadedComments/threadedComment3.xml><?xml version="1.0" encoding="utf-8"?>
<ThreadedComments xmlns="http://schemas.microsoft.com/office/spreadsheetml/2018/threadedcomments" xmlns:x="http://schemas.openxmlformats.org/spreadsheetml/2006/main">
  <threadedComment ref="D9" dT="2023-08-02T16:17:38.02" personId="{485A3DD3-9848-43A7-9D62-8FC3566A47F5}" id="{13FD214F-8D66-47A0-BE09-7DA3DC274E2B}">
    <text>Eq 4</text>
  </threadedComment>
  <threadedComment ref="D13" dT="2023-08-02T16:16:00.60" personId="{485A3DD3-9848-43A7-9D62-8FC3566A47F5}" id="{1F096A44-44EC-42B1-8D7E-CA7428E9FA17}">
    <text>Eq 2 &amp; 3</text>
  </threadedComment>
  <threadedComment ref="D13" dT="2023-08-03T15:04:52.91" personId="{485A3DD3-9848-43A7-9D62-8FC3566A47F5}" id="{9EB0AC80-3EEF-423E-A50C-28F4F1DC9C5D}" parentId="{1F096A44-44EC-42B1-8D7E-CA7428E9FA17}">
    <text>Default option &amp; Adjusted Default</text>
  </threadedComment>
  <threadedComment ref="D13" dT="2023-08-03T15:06:08.73" personId="{485A3DD3-9848-43A7-9D62-8FC3566A47F5}" id="{0991D964-C882-4E2C-B7E7-B879642DA500}" parentId="{1F096A44-44EC-42B1-8D7E-CA7428E9FA17}">
    <text>PP should be able to choose if they want to use the default value (eq 2) or if they want to adjust the default value (eq 3)</text>
  </threadedComment>
  <threadedComment ref="D29" dT="2023-08-02T16:17:38.02" personId="{485A3DD3-9848-43A7-9D62-8FC3566A47F5}" id="{E52EC422-9769-402E-ADE5-77AD52F71035}">
    <text>Eq 4</text>
  </threadedComment>
  <threadedComment ref="D33" dT="2023-08-02T16:16:00.60" personId="{485A3DD3-9848-43A7-9D62-8FC3566A47F5}" id="{68B7EF61-A770-4CE3-A99C-E1A8B6821322}">
    <text>Eq 2</text>
  </threadedComment>
  <threadedComment ref="D33" dT="2023-08-03T15:04:52.91" personId="{485A3DD3-9848-43A7-9D62-8FC3566A47F5}" id="{E60623C8-AB87-4600-8C6A-F79F2F65407E}" parentId="{68B7EF61-A770-4CE3-A99C-E1A8B6821322}">
    <text>Default option</text>
  </threadedComment>
  <threadedComment ref="D33" dT="2023-08-03T15:06:08.73" personId="{485A3DD3-9848-43A7-9D62-8FC3566A47F5}" id="{F532EE8C-D45D-4746-AB1C-E4C467085B9E}" parentId="{68B7EF61-A770-4CE3-A99C-E1A8B6821322}">
    <text>PP should be able to choose if they want to use the default value (eq 2) or if they want to adjust the default value (eq 3)</text>
  </threadedComment>
</ThreadedComments>
</file>

<file path=xl/threadedComments/threadedComment4.xml><?xml version="1.0" encoding="utf-8"?>
<ThreadedComments xmlns="http://schemas.microsoft.com/office/spreadsheetml/2018/threadedcomments" xmlns:x="http://schemas.openxmlformats.org/spreadsheetml/2006/main">
  <threadedComment ref="D8" dT="2023-08-02T16:17:38.02" personId="{485A3DD3-9848-43A7-9D62-8FC3566A47F5}" id="{5FA0C20B-C61D-4F66-8E34-FB2D0749042F}">
    <text>Eq 4</text>
  </threadedComment>
  <threadedComment ref="D12" dT="2023-08-02T16:16:00.60" personId="{485A3DD3-9848-43A7-9D62-8FC3566A47F5}" id="{8E2E7A54-7B90-4D0C-9EFA-9D4149A6FB2E}">
    <text>Eq 2</text>
  </threadedComment>
  <threadedComment ref="D12" dT="2023-08-03T15:04:52.91" personId="{485A3DD3-9848-43A7-9D62-8FC3566A47F5}" id="{4C72F026-9BBA-4E4F-8F98-B2944794FA41}" parentId="{8E2E7A54-7B90-4D0C-9EFA-9D4149A6FB2E}">
    <text>Default option</text>
  </threadedComment>
  <threadedComment ref="D12" dT="2023-08-03T15:06:08.73" personId="{485A3DD3-9848-43A7-9D62-8FC3566A47F5}" id="{273B9D13-6585-4E38-B3EA-43C4ED1FB320}" parentId="{8E2E7A54-7B90-4D0C-9EFA-9D4149A6FB2E}">
    <text>PP should be able to choose if they want to use the default value (eq 2) or if they want to adjust the default value (eq 3)</text>
  </threadedComment>
  <threadedComment ref="D27" dT="2023-08-02T16:17:38.02" personId="{485A3DD3-9848-43A7-9D62-8FC3566A47F5}" id="{5B19DF32-074F-42C5-A369-F9457D09465F}">
    <text>Eq 4</text>
  </threadedComment>
  <threadedComment ref="D31" dT="2023-08-02T16:16:00.60" personId="{485A3DD3-9848-43A7-9D62-8FC3566A47F5}" id="{17202CCE-DBAC-4227-88A5-3D9054DCE6B1}">
    <text>Eq 2</text>
  </threadedComment>
  <threadedComment ref="D31" dT="2023-08-03T15:04:52.91" personId="{485A3DD3-9848-43A7-9D62-8FC3566A47F5}" id="{1948BA8F-B44B-4678-ACAB-AA7CAA932B69}" parentId="{17202CCE-DBAC-4227-88A5-3D9054DCE6B1}">
    <text>Default option</text>
  </threadedComment>
  <threadedComment ref="D31" dT="2023-08-03T15:06:08.73" personId="{485A3DD3-9848-43A7-9D62-8FC3566A47F5}" id="{8C6B0E13-DAEF-4D6F-A95A-12EC82A89713}" parentId="{17202CCE-DBAC-4227-88A5-3D9054DCE6B1}">
    <text>PP should be able to choose if they want to use the default value (eq 2) or if they want to adjust the default value (eq 3)</text>
  </threadedComment>
</ThreadedComments>
</file>

<file path=xl/threadedComments/threadedComment5.xml><?xml version="1.0" encoding="utf-8"?>
<ThreadedComments xmlns="http://schemas.microsoft.com/office/spreadsheetml/2018/threadedcomments" xmlns:x="http://schemas.openxmlformats.org/spreadsheetml/2006/main">
  <threadedComment ref="F10" dT="2023-08-16T16:15:54.51" personId="{485A3DD3-9848-43A7-9D62-8FC3566A47F5}" id="{12BD5197-E606-43E6-8006-B13E8D79484F}">
    <text>Eq 1</text>
  </threadedComment>
</ThreadedComments>
</file>

<file path=xl/threadedComments/threadedComment6.xml><?xml version="1.0" encoding="utf-8"?>
<ThreadedComments xmlns="http://schemas.microsoft.com/office/spreadsheetml/2018/threadedcomments" xmlns:x="http://schemas.openxmlformats.org/spreadsheetml/2006/main">
  <threadedComment ref="B34" dT="2023-09-14T15:57:32.66" personId="{54C6027E-3FEA-4B20-A6DA-FB17A23F85A1}" id="{B11878FC-4AA4-4F1B-A252-C573D20C4214}">
    <text>Equation 3</text>
  </threadedComment>
  <threadedComment ref="B35" dT="2023-09-14T15:57:50.52" personId="{54C6027E-3FEA-4B20-A6DA-FB17A23F85A1}" id="{554F833A-BD03-4C87-BE18-61B5F128A468}">
    <text>Equation 4</text>
  </threadedComment>
  <threadedComment ref="B44" dT="2023-09-14T16:00:06.57" personId="{54C6027E-3FEA-4B20-A6DA-FB17A23F85A1}" id="{5AA0AAA5-88C8-4AAB-8EB1-B4B624E4F2F4}">
    <text>Equation 7</text>
  </threadedComment>
  <threadedComment ref="B45" dT="2023-09-14T15:58:31.69" personId="{54C6027E-3FEA-4B20-A6DA-FB17A23F85A1}" id="{EE985ADA-BE51-4862-A1B0-EA9A98EBC8CF}">
    <text>Equation 5</text>
  </threadedComment>
  <threadedComment ref="B54" dT="2023-09-14T16:00:45.83" personId="{54C6027E-3FEA-4B20-A6DA-FB17A23F85A1}" id="{FDC3F480-62A5-4709-9AAD-55221DBE6B39}">
    <text>Equation 9</text>
  </threadedComment>
  <threadedComment ref="B59" dT="2023-09-14T16:01:11.41" personId="{54C6027E-3FEA-4B20-A6DA-FB17A23F85A1}" id="{25E58F03-BDBB-4EA1-9A31-563391AF404E}">
    <text>Equation 11</text>
  </threadedComment>
  <threadedComment ref="B66" dT="2023-09-14T16:02:00.74" personId="{54C6027E-3FEA-4B20-A6DA-FB17A23F85A1}" id="{C372504D-7CE4-4188-81AE-CE507F2A1296}">
    <text>Equation 12</text>
  </threadedComment>
  <threadedComment ref="B86" dT="2023-09-08T16:51:38.02" personId="{54C6027E-3FEA-4B20-A6DA-FB17A23F85A1}" id="{A3247D6C-E3F6-4DAD-8936-5A837389E5DE}">
    <text>Equation 1</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23-09-14T16:39:36.76" personId="{54C6027E-3FEA-4B20-A6DA-FB17A23F85A1}" id="{D1DEEA44-9D92-493D-9065-30CCCD899042}">
    <text>Add a line for each SWDS CH4 calculation instance added</text>
  </threadedComment>
</ThreadedComments>
</file>

<file path=xl/threadedComments/threadedComment8.xml><?xml version="1.0" encoding="utf-8"?>
<ThreadedComments xmlns="http://schemas.microsoft.com/office/spreadsheetml/2018/threadedcomments" xmlns:x="http://schemas.openxmlformats.org/spreadsheetml/2006/main">
  <threadedComment ref="F6" dT="2023-08-10T14:56:00.30" personId="{485A3DD3-9848-43A7-9D62-8FC3566A47F5}" id="{4AB3DC77-651C-4199-A600-91D696611401}">
    <text>Eq 1</text>
  </threadedComment>
  <threadedComment ref="F11" dT="2023-08-10T14:56:07.23" personId="{485A3DD3-9848-43A7-9D62-8FC3566A47F5}" id="{A325CF59-FA08-4A6D-95F6-D38F02F137A5}">
    <text>Eq 2</text>
  </threadedComment>
  <threadedComment ref="F13" dT="2023-08-14T21:55:53.61" personId="{485A3DD3-9848-43A7-9D62-8FC3566A47F5}" id="{620CD3E4-BBCA-4EC2-8798-78990016D5BF}">
    <text>At least monthly recording of data</text>
  </threadedComment>
  <threadedComment ref="F16" dT="2023-08-10T14:56:16.16" personId="{485A3DD3-9848-43A7-9D62-8FC3566A47F5}" id="{2A5E9875-BA54-4CB4-A3C8-1C1867F2AB45}">
    <text>Eq 3</text>
  </threadedComment>
  <threadedComment ref="F22" dT="2023-08-22T01:12:00.32" personId="{485A3DD3-9848-43A7-9D62-8FC3566A47F5}" id="{C986219E-21A2-416E-9953-ECB9199E0F72}">
    <text>Eq 7</text>
  </threadedComment>
  <threadedComment ref="F23" dT="2023-08-22T01:12:36.84" personId="{485A3DD3-9848-43A7-9D62-8FC3566A47F5}" id="{CB0165BB-542D-4264-B7DE-408C4EB593AD}">
    <text>Eq 8</text>
  </threadedComment>
  <threadedComment ref="F37" dT="2023-08-10T15:56:01.08" personId="{485A3DD3-9848-43A7-9D62-8FC3566A47F5}" id="{F182919C-5E07-40BD-9378-B2390006A394}">
    <text>Eq 4</text>
  </threadedComment>
  <threadedComment ref="F38" dT="2023-08-10T21:11:09.42" personId="{485A3DD3-9848-43A7-9D62-8FC3566A47F5}" id="{EEEB1311-3EA1-45C2-B873-87FB7C280C3D}">
    <text>Eq 5</text>
  </threadedComment>
</ThreadedComments>
</file>

<file path=xl/threadedComments/threadedComment9.xml><?xml version="1.0" encoding="utf-8"?>
<ThreadedComments xmlns="http://schemas.microsoft.com/office/spreadsheetml/2018/threadedcomments" xmlns:x="http://schemas.openxmlformats.org/spreadsheetml/2006/main">
  <threadedComment ref="F3" dT="2023-08-10T15:56:01.08" personId="{485A3DD3-9848-43A7-9D62-8FC3566A47F5}" id="{2D83C2DB-0C58-45DF-B9D2-8CD8851A560B}">
    <text>Eq 4</text>
  </threadedComment>
  <threadedComment ref="F4" dT="2023-08-10T21:11:09.42" personId="{485A3DD3-9848-43A7-9D62-8FC3566A47F5}" id="{D98D6DC5-C15F-44FF-8FF8-C4E8B90CD76F}">
    <text>Eq 5</text>
  </threadedComment>
  <threadedComment ref="F7" dT="2023-08-10T15:56:01.08" personId="{485A3DD3-9848-43A7-9D62-8FC3566A47F5}" id="{1968134E-AF4F-45E9-936A-E22D0B2B6B1B}">
    <text>Eq 4</text>
  </threadedComment>
  <threadedComment ref="F8" dT="2023-08-10T21:11:09.42" personId="{485A3DD3-9848-43A7-9D62-8FC3566A47F5}" id="{5CDAB311-52C0-42BF-BD1D-F27CA372506B}">
    <text>Eq 5</text>
  </threadedComment>
  <threadedComment ref="F10" dT="2023-08-10T21:00:37.41" personId="{485A3DD3-9848-43A7-9D62-8FC3566A47F5}" id="{94F2BA51-2718-413C-8EC3-537973BC6985}">
    <text>Assumptions are made for this that the unit for FCn,i,t is in metric tons</text>
  </threadedComment>
  <threadedComment ref="G10" dT="2023-08-10T19:37:59.63" personId="{485A3DD3-9848-43A7-9D62-8FC3566A47F5}" id="{45D08D2D-01C6-4C23-90C5-AE0E80351D50}">
    <text>Dependent on fuel type selection</text>
  </threadedComment>
  <threadedComment ref="G11" dT="2023-08-10T19:38:12.02" personId="{485A3DD3-9848-43A7-9D62-8FC3566A47F5}" id="{4E68F5CF-4EA9-44EA-8F26-CDF783EF9EC0}">
    <text>Dependent on fuel type selection</text>
  </threadedComment>
  <threadedComment ref="F12" dT="2023-08-10T20:53:47.04" personId="{485A3DD3-9848-43A7-9D62-8FC3566A47F5}" id="{C6F6EF8A-6F79-45AE-A06A-0B3335316702}">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485A3DD3-9848-43A7-9D62-8FC3566A47F5}" id="{77B6D82A-6A91-4518-8F04-B0F08F945C1A}">
    <text>Eq 4</text>
  </threadedComment>
  <threadedComment ref="F20" dT="2023-08-10T21:11:09.42" personId="{485A3DD3-9848-43A7-9D62-8FC3566A47F5}" id="{340CE738-7A1F-4263-94CE-60F65EFB9D31}">
    <text>Eq 5</text>
  </threadedComment>
  <threadedComment ref="F22" dT="2023-08-10T21:00:37.41" personId="{485A3DD3-9848-43A7-9D62-8FC3566A47F5}" id="{C9A9D29C-3606-4433-BBE1-853037A3AC10}">
    <text>Assumptions are made for this that the unit for FCn,i,t is in metric tons</text>
  </threadedComment>
  <threadedComment ref="G22" dT="2023-08-10T19:37:59.63" personId="{485A3DD3-9848-43A7-9D62-8FC3566A47F5}" id="{499FBBDC-733D-4394-B378-8EA9BE19C011}">
    <text>Dependent on fuel type selection</text>
  </threadedComment>
  <threadedComment ref="G23" dT="2023-08-10T19:38:12.02" personId="{485A3DD3-9848-43A7-9D62-8FC3566A47F5}" id="{295ED880-2BFF-47D4-A383-E46F7A3DDE2E}">
    <text>Dependent on fuel type selection</text>
  </threadedComment>
  <threadedComment ref="F24" dT="2023-08-10T20:53:47.04" personId="{485A3DD3-9848-43A7-9D62-8FC3566A47F5}" id="{388A6FF4-25D0-4E5B-86EA-7F4547417E07}">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485A3DD3-9848-43A7-9D62-8FC3566A47F5}" id="{A4AA4F51-C721-4E6E-901F-69770AF46D7A}">
    <text>Eq 4</text>
  </threadedComment>
  <threadedComment ref="F32" dT="2023-08-10T21:11:09.42" personId="{485A3DD3-9848-43A7-9D62-8FC3566A47F5}" id="{BE6E217A-3D7C-4A6C-96E7-0B11FDD12AAD}">
    <text>Eq 5</text>
  </threadedComment>
  <threadedComment ref="F34" dT="2023-08-10T21:00:37.41" personId="{485A3DD3-9848-43A7-9D62-8FC3566A47F5}" id="{1DB7A827-6018-44E0-B986-0AF50ED174FB}">
    <text>Assumptions are made for this that the unit for FCn,i,t is in metric tons</text>
  </threadedComment>
  <threadedComment ref="G34" dT="2023-08-10T19:37:59.63" personId="{485A3DD3-9848-43A7-9D62-8FC3566A47F5}" id="{D243AC09-82DF-40B4-9EEF-EC28548C37FF}">
    <text>Dependent on fuel type selection</text>
  </threadedComment>
  <threadedComment ref="G35" dT="2023-08-10T19:38:12.02" personId="{485A3DD3-9848-43A7-9D62-8FC3566A47F5}" id="{DEC95EB5-F963-4EAD-8DB1-2CAD7CB78DF8}">
    <text>Dependent on fuel type selection</text>
  </threadedComment>
  <threadedComment ref="F36" dT="2023-08-10T20:53:47.04" personId="{485A3DD3-9848-43A7-9D62-8FC3566A47F5}" id="{B7A4ACED-AD4E-499D-B390-5DE5C642DCB0}">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4.bin"/><Relationship Id="rId4" Type="http://schemas.microsoft.com/office/2017/10/relationships/threadedComment" Target="../threadedComments/threadedComment11.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249D-F922-4C46-B08D-E30C62DBEE46}">
  <dimension ref="A1:I106"/>
  <sheetViews>
    <sheetView tabSelected="1" topLeftCell="E1" workbookViewId="0">
      <selection activeCell="G6" sqref="G6"/>
    </sheetView>
  </sheetViews>
  <sheetFormatPr defaultRowHeight="15"/>
  <cols>
    <col min="1" max="1" width="12.28515625" customWidth="1"/>
    <col min="2" max="2" width="13.7109375" customWidth="1"/>
    <col min="3" max="3" width="11.5703125" customWidth="1"/>
    <col min="4" max="4" width="18.5703125" bestFit="1" customWidth="1"/>
    <col min="5" max="5" width="53.28515625" bestFit="1" customWidth="1"/>
    <col min="6" max="6" width="18.140625" bestFit="1" customWidth="1"/>
    <col min="7" max="7" width="82.85546875" customWidth="1"/>
    <col min="8" max="8" width="66.28515625" customWidth="1"/>
    <col min="9" max="9" width="66.5703125" customWidth="1"/>
  </cols>
  <sheetData>
    <row r="1" spans="1:9" ht="56.25">
      <c r="A1" s="36" t="s">
        <v>0</v>
      </c>
      <c r="B1" s="36" t="s">
        <v>1</v>
      </c>
      <c r="C1" s="35" t="s">
        <v>2</v>
      </c>
      <c r="D1" s="1" t="s">
        <v>3</v>
      </c>
      <c r="E1" s="1" t="s">
        <v>4</v>
      </c>
      <c r="F1" s="1" t="s">
        <v>5</v>
      </c>
      <c r="G1" s="2" t="s">
        <v>6</v>
      </c>
      <c r="H1" s="1" t="s">
        <v>7</v>
      </c>
      <c r="I1" s="1" t="s">
        <v>8</v>
      </c>
    </row>
    <row r="2" spans="1:9" ht="18.75">
      <c r="A2" s="3"/>
      <c r="B2" s="3"/>
      <c r="C2" s="4"/>
      <c r="D2" s="4"/>
      <c r="E2" s="4"/>
      <c r="F2" s="4"/>
      <c r="G2" s="3" t="s">
        <v>9</v>
      </c>
      <c r="H2" s="4"/>
      <c r="I2" s="5"/>
    </row>
    <row r="3" spans="1:9" ht="60.75">
      <c r="A3" s="6" t="s">
        <v>10</v>
      </c>
      <c r="B3" s="6"/>
      <c r="C3" s="6" t="s">
        <v>11</v>
      </c>
      <c r="D3" s="6" t="s">
        <v>12</v>
      </c>
      <c r="E3" s="6" t="s">
        <v>13</v>
      </c>
      <c r="F3" s="6" t="s">
        <v>14</v>
      </c>
      <c r="G3" s="6" t="s">
        <v>15</v>
      </c>
      <c r="H3" s="7" t="s">
        <v>16</v>
      </c>
      <c r="I3" s="7"/>
    </row>
    <row r="4" spans="1:9">
      <c r="A4" s="6" t="s">
        <v>10</v>
      </c>
      <c r="B4" s="6"/>
      <c r="C4" s="6" t="s">
        <v>10</v>
      </c>
      <c r="D4" s="6" t="s">
        <v>12</v>
      </c>
      <c r="E4" s="6" t="s">
        <v>17</v>
      </c>
      <c r="F4" s="6" t="s">
        <v>14</v>
      </c>
      <c r="G4" s="6" t="s">
        <v>18</v>
      </c>
      <c r="H4" s="7" t="s">
        <v>19</v>
      </c>
      <c r="I4" s="7"/>
    </row>
    <row r="5" spans="1:9">
      <c r="A5" s="6" t="s">
        <v>10</v>
      </c>
      <c r="B5" s="6"/>
      <c r="C5" s="6" t="s">
        <v>10</v>
      </c>
      <c r="D5" s="6" t="s">
        <v>12</v>
      </c>
      <c r="E5" s="6" t="s">
        <v>20</v>
      </c>
      <c r="F5" s="6" t="s">
        <v>14</v>
      </c>
      <c r="G5" t="s">
        <v>21</v>
      </c>
      <c r="H5" s="7" t="s">
        <v>22</v>
      </c>
      <c r="I5" s="7"/>
    </row>
    <row r="6" spans="1:9" ht="75">
      <c r="A6" s="6" t="s">
        <v>10</v>
      </c>
      <c r="B6" s="6"/>
      <c r="C6" s="6" t="s">
        <v>10</v>
      </c>
      <c r="D6" s="6" t="s">
        <v>12</v>
      </c>
      <c r="E6" s="6"/>
      <c r="F6" s="6" t="s">
        <v>14</v>
      </c>
      <c r="G6" s="6" t="s">
        <v>23</v>
      </c>
      <c r="H6" s="8" t="s">
        <v>24</v>
      </c>
      <c r="I6" s="8"/>
    </row>
    <row r="7" spans="1:9">
      <c r="A7" s="6" t="s">
        <v>10</v>
      </c>
      <c r="B7" s="6"/>
      <c r="C7" s="6" t="s">
        <v>10</v>
      </c>
      <c r="D7" s="6" t="s">
        <v>12</v>
      </c>
      <c r="E7" s="6" t="s">
        <v>25</v>
      </c>
      <c r="F7" s="6" t="s">
        <v>14</v>
      </c>
      <c r="G7" s="6" t="s">
        <v>26</v>
      </c>
      <c r="H7" s="7" t="s">
        <v>27</v>
      </c>
      <c r="I7" s="7"/>
    </row>
    <row r="8" spans="1:9">
      <c r="A8" s="6" t="s">
        <v>10</v>
      </c>
      <c r="B8" s="6"/>
      <c r="C8" s="6" t="s">
        <v>10</v>
      </c>
      <c r="D8" s="6" t="s">
        <v>12</v>
      </c>
      <c r="E8" s="6" t="s">
        <v>28</v>
      </c>
      <c r="F8" s="6" t="s">
        <v>14</v>
      </c>
      <c r="G8" s="6" t="s">
        <v>29</v>
      </c>
      <c r="H8" s="124" t="s">
        <v>30</v>
      </c>
      <c r="I8" s="7"/>
    </row>
    <row r="9" spans="1:9">
      <c r="A9" s="6" t="s">
        <v>10</v>
      </c>
      <c r="B9" s="6"/>
      <c r="C9" s="6" t="s">
        <v>10</v>
      </c>
      <c r="D9" s="6" t="s">
        <v>12</v>
      </c>
      <c r="E9" s="6" t="s">
        <v>31</v>
      </c>
      <c r="F9" s="6" t="s">
        <v>14</v>
      </c>
      <c r="G9" s="6" t="s">
        <v>32</v>
      </c>
      <c r="H9" s="124" t="s">
        <v>33</v>
      </c>
      <c r="I9" s="7"/>
    </row>
    <row r="10" spans="1:9" ht="30.75">
      <c r="A10" s="6" t="s">
        <v>10</v>
      </c>
      <c r="B10" s="6"/>
      <c r="C10" s="6" t="s">
        <v>10</v>
      </c>
      <c r="D10" s="6" t="s">
        <v>34</v>
      </c>
      <c r="E10" s="6" t="s">
        <v>35</v>
      </c>
      <c r="F10" s="6" t="s">
        <v>14</v>
      </c>
      <c r="G10" s="7" t="s">
        <v>36</v>
      </c>
      <c r="H10" s="125" t="s">
        <v>37</v>
      </c>
      <c r="I10" s="7"/>
    </row>
    <row r="11" spans="1:9" ht="135">
      <c r="A11" s="6" t="s">
        <v>10</v>
      </c>
      <c r="B11" s="6"/>
      <c r="C11" s="6" t="s">
        <v>10</v>
      </c>
      <c r="D11" s="6" t="s">
        <v>12</v>
      </c>
      <c r="E11" s="6"/>
      <c r="F11" s="6" t="s">
        <v>14</v>
      </c>
      <c r="G11" s="6" t="s">
        <v>38</v>
      </c>
      <c r="H11" s="8" t="s">
        <v>39</v>
      </c>
      <c r="I11" s="7"/>
    </row>
    <row r="12" spans="1:9">
      <c r="A12" s="6" t="s">
        <v>10</v>
      </c>
      <c r="B12" s="6"/>
      <c r="C12" s="6" t="s">
        <v>10</v>
      </c>
      <c r="D12" s="6" t="s">
        <v>12</v>
      </c>
      <c r="E12" s="6" t="s">
        <v>40</v>
      </c>
      <c r="F12" s="6" t="s">
        <v>14</v>
      </c>
      <c r="G12" s="6" t="s">
        <v>41</v>
      </c>
      <c r="H12" s="7" t="s">
        <v>42</v>
      </c>
      <c r="I12" s="7"/>
    </row>
    <row r="13" spans="1:9">
      <c r="A13" s="6" t="s">
        <v>10</v>
      </c>
      <c r="B13" s="6"/>
      <c r="C13" s="6" t="s">
        <v>10</v>
      </c>
      <c r="D13" s="6" t="s">
        <v>43</v>
      </c>
      <c r="E13" s="6"/>
      <c r="F13" s="6" t="s">
        <v>14</v>
      </c>
      <c r="G13" s="6" t="s">
        <v>44</v>
      </c>
      <c r="H13" s="7" t="s">
        <v>45</v>
      </c>
      <c r="I13" s="110"/>
    </row>
    <row r="14" spans="1:9">
      <c r="A14" s="6" t="s">
        <v>10</v>
      </c>
      <c r="B14" s="6"/>
      <c r="C14" s="6" t="s">
        <v>10</v>
      </c>
      <c r="D14" s="6" t="s">
        <v>12</v>
      </c>
      <c r="E14" s="6"/>
      <c r="F14" s="6" t="s">
        <v>14</v>
      </c>
      <c r="G14" s="6" t="s">
        <v>46</v>
      </c>
      <c r="H14" s="7" t="s">
        <v>47</v>
      </c>
      <c r="I14" s="7"/>
    </row>
    <row r="15" spans="1:9">
      <c r="A15" s="6" t="s">
        <v>10</v>
      </c>
      <c r="B15" s="6"/>
      <c r="C15" s="6" t="s">
        <v>10</v>
      </c>
      <c r="D15" s="6" t="s">
        <v>48</v>
      </c>
      <c r="E15" s="6" t="s">
        <v>49</v>
      </c>
      <c r="F15" s="6" t="s">
        <v>14</v>
      </c>
      <c r="G15" s="6" t="s">
        <v>50</v>
      </c>
      <c r="H15" s="7" t="s">
        <v>51</v>
      </c>
      <c r="I15" s="7"/>
    </row>
    <row r="16" spans="1:9">
      <c r="A16" s="6" t="s">
        <v>10</v>
      </c>
      <c r="B16" s="6"/>
      <c r="C16" s="6" t="s">
        <v>10</v>
      </c>
      <c r="D16" s="6" t="s">
        <v>52</v>
      </c>
      <c r="E16" s="6"/>
      <c r="F16" s="6" t="s">
        <v>14</v>
      </c>
      <c r="G16" s="6" t="s">
        <v>53</v>
      </c>
      <c r="H16" s="7" t="s">
        <v>54</v>
      </c>
      <c r="I16" s="7"/>
    </row>
    <row r="17" spans="1:9">
      <c r="A17" s="6" t="s">
        <v>10</v>
      </c>
      <c r="B17" s="6"/>
      <c r="C17" s="6" t="s">
        <v>10</v>
      </c>
      <c r="D17" s="6" t="s">
        <v>55</v>
      </c>
      <c r="E17" s="6"/>
      <c r="F17" s="6" t="s">
        <v>14</v>
      </c>
      <c r="G17" s="6" t="s">
        <v>56</v>
      </c>
      <c r="H17" s="110" t="s">
        <v>57</v>
      </c>
      <c r="I17" s="7"/>
    </row>
    <row r="18" spans="1:9" ht="30">
      <c r="A18" s="6" t="s">
        <v>10</v>
      </c>
      <c r="B18" s="6"/>
      <c r="C18" s="6" t="s">
        <v>10</v>
      </c>
      <c r="D18" s="6" t="s">
        <v>12</v>
      </c>
      <c r="E18" s="6" t="s">
        <v>58</v>
      </c>
      <c r="F18" s="6" t="s">
        <v>14</v>
      </c>
      <c r="G18" t="s">
        <v>59</v>
      </c>
      <c r="H18" s="8" t="s">
        <v>60</v>
      </c>
      <c r="I18" s="7"/>
    </row>
    <row r="19" spans="1:9">
      <c r="A19" s="6" t="s">
        <v>10</v>
      </c>
      <c r="B19" s="6"/>
      <c r="C19" s="6" t="s">
        <v>10</v>
      </c>
      <c r="D19" s="6" t="s">
        <v>12</v>
      </c>
      <c r="E19" s="6"/>
      <c r="F19" s="6" t="s">
        <v>14</v>
      </c>
      <c r="G19" s="6" t="s">
        <v>61</v>
      </c>
      <c r="H19" s="7" t="s">
        <v>11</v>
      </c>
      <c r="I19" s="7"/>
    </row>
    <row r="20" spans="1:9">
      <c r="A20" s="6" t="s">
        <v>10</v>
      </c>
      <c r="B20" s="6"/>
      <c r="C20" s="6" t="s">
        <v>10</v>
      </c>
      <c r="D20" s="6" t="s">
        <v>12</v>
      </c>
      <c r="E20" s="6"/>
      <c r="F20" s="6" t="s">
        <v>14</v>
      </c>
      <c r="G20" s="6" t="s">
        <v>62</v>
      </c>
      <c r="H20" s="7" t="s">
        <v>11</v>
      </c>
      <c r="I20" s="102"/>
    </row>
    <row r="21" spans="1:9">
      <c r="A21" s="6" t="s">
        <v>10</v>
      </c>
      <c r="B21" s="6"/>
      <c r="C21" s="6" t="s">
        <v>10</v>
      </c>
      <c r="D21" s="6" t="s">
        <v>12</v>
      </c>
      <c r="E21" s="6"/>
      <c r="F21" s="6" t="s">
        <v>14</v>
      </c>
      <c r="G21" t="s">
        <v>63</v>
      </c>
      <c r="H21" s="7" t="s">
        <v>11</v>
      </c>
      <c r="I21" s="102"/>
    </row>
    <row r="22" spans="1:9">
      <c r="A22" s="6" t="s">
        <v>10</v>
      </c>
      <c r="B22" s="6"/>
      <c r="C22" s="6" t="s">
        <v>10</v>
      </c>
      <c r="D22" s="6" t="s">
        <v>64</v>
      </c>
      <c r="E22" s="6" t="s">
        <v>65</v>
      </c>
      <c r="F22" s="6" t="s">
        <v>14</v>
      </c>
      <c r="G22" s="6" t="s">
        <v>66</v>
      </c>
      <c r="H22" s="7" t="s">
        <v>67</v>
      </c>
      <c r="I22" s="102"/>
    </row>
    <row r="23" spans="1:9">
      <c r="A23" s="6" t="s">
        <v>10</v>
      </c>
      <c r="B23" s="6"/>
      <c r="C23" s="6" t="s">
        <v>10</v>
      </c>
      <c r="D23" s="6" t="s">
        <v>68</v>
      </c>
      <c r="E23" s="6" t="s">
        <v>69</v>
      </c>
      <c r="F23" s="6" t="s">
        <v>14</v>
      </c>
      <c r="G23" t="s">
        <v>70</v>
      </c>
      <c r="H23" s="111">
        <v>43101</v>
      </c>
      <c r="I23" s="6"/>
    </row>
    <row r="24" spans="1:9">
      <c r="A24" s="6" t="s">
        <v>10</v>
      </c>
      <c r="B24" s="6"/>
      <c r="C24" s="9" t="s">
        <v>10</v>
      </c>
      <c r="D24" s="6" t="s">
        <v>71</v>
      </c>
      <c r="E24" s="6" t="s">
        <v>72</v>
      </c>
      <c r="F24" s="6" t="s">
        <v>14</v>
      </c>
      <c r="G24" t="s">
        <v>73</v>
      </c>
      <c r="H24" s="102" t="s">
        <v>74</v>
      </c>
      <c r="I24" s="6"/>
    </row>
    <row r="25" spans="1:9">
      <c r="A25" s="6" t="s">
        <v>10</v>
      </c>
      <c r="B25" s="6"/>
      <c r="C25" s="9" t="s">
        <v>10</v>
      </c>
      <c r="D25" s="6" t="s">
        <v>71</v>
      </c>
      <c r="E25" s="6" t="s">
        <v>75</v>
      </c>
      <c r="F25" s="6" t="s">
        <v>14</v>
      </c>
      <c r="G25" s="9" t="s">
        <v>76</v>
      </c>
      <c r="H25" s="102" t="s">
        <v>74</v>
      </c>
      <c r="I25" s="6"/>
    </row>
    <row r="26" spans="1:9">
      <c r="A26" s="6" t="s">
        <v>10</v>
      </c>
      <c r="B26" s="6"/>
      <c r="C26" s="9" t="s">
        <v>11</v>
      </c>
      <c r="D26" s="6" t="s">
        <v>12</v>
      </c>
      <c r="F26" s="6" t="s">
        <v>14</v>
      </c>
      <c r="G26" s="9" t="s">
        <v>77</v>
      </c>
      <c r="H26" s="102" t="s">
        <v>78</v>
      </c>
      <c r="I26" s="6"/>
    </row>
    <row r="27" spans="1:9">
      <c r="A27" s="6" t="s">
        <v>10</v>
      </c>
      <c r="B27" s="6"/>
      <c r="C27" s="9" t="s">
        <v>10</v>
      </c>
      <c r="D27" s="6" t="s">
        <v>12</v>
      </c>
      <c r="E27" s="6"/>
      <c r="F27" s="6" t="s">
        <v>14</v>
      </c>
      <c r="G27" t="s">
        <v>79</v>
      </c>
      <c r="H27" t="s">
        <v>80</v>
      </c>
      <c r="I27" s="6"/>
    </row>
    <row r="28" spans="1:9">
      <c r="A28" s="6" t="s">
        <v>10</v>
      </c>
      <c r="B28" s="6"/>
      <c r="C28" s="9" t="s">
        <v>10</v>
      </c>
      <c r="D28" s="6" t="s">
        <v>12</v>
      </c>
      <c r="E28" s="6"/>
      <c r="F28" s="6" t="s">
        <v>14</v>
      </c>
      <c r="G28" t="s">
        <v>81</v>
      </c>
      <c r="H28" t="s">
        <v>82</v>
      </c>
      <c r="I28" s="6"/>
    </row>
    <row r="29" spans="1:9">
      <c r="A29" s="6" t="s">
        <v>10</v>
      </c>
      <c r="B29" s="6"/>
      <c r="C29" s="9" t="s">
        <v>10</v>
      </c>
      <c r="D29" s="6" t="s">
        <v>12</v>
      </c>
      <c r="E29" s="6" t="s">
        <v>83</v>
      </c>
      <c r="F29" s="6" t="s">
        <v>14</v>
      </c>
      <c r="G29" t="s">
        <v>84</v>
      </c>
      <c r="H29" s="102" t="s">
        <v>85</v>
      </c>
      <c r="I29" s="6"/>
    </row>
    <row r="30" spans="1:9">
      <c r="A30" s="6" t="s">
        <v>10</v>
      </c>
      <c r="B30" s="6"/>
      <c r="C30" s="9" t="s">
        <v>10</v>
      </c>
      <c r="D30" s="6" t="s">
        <v>12</v>
      </c>
      <c r="E30" s="6"/>
      <c r="F30" s="6" t="s">
        <v>14</v>
      </c>
      <c r="G30" t="s">
        <v>86</v>
      </c>
      <c r="H30" s="102" t="s">
        <v>87</v>
      </c>
      <c r="I30" s="6"/>
    </row>
    <row r="31" spans="1:9" ht="18.75">
      <c r="A31" s="42"/>
      <c r="B31" s="42"/>
      <c r="C31" s="41"/>
      <c r="D31" s="41"/>
      <c r="E31" s="41"/>
      <c r="F31" s="41"/>
      <c r="G31" s="42" t="s">
        <v>88</v>
      </c>
      <c r="H31" s="41"/>
      <c r="I31" s="17"/>
    </row>
    <row r="32" spans="1:9" ht="165">
      <c r="A32" s="28" t="s">
        <v>10</v>
      </c>
      <c r="B32" s="28"/>
      <c r="C32" s="34" t="s">
        <v>11</v>
      </c>
      <c r="D32" s="28" t="s">
        <v>89</v>
      </c>
      <c r="E32" s="28"/>
      <c r="F32" s="28" t="s">
        <v>6</v>
      </c>
      <c r="G32" s="30" t="s">
        <v>90</v>
      </c>
      <c r="H32" s="30" t="s">
        <v>91</v>
      </c>
      <c r="I32" s="30"/>
    </row>
    <row r="33" spans="1:9" ht="45">
      <c r="A33" s="28" t="s">
        <v>10</v>
      </c>
      <c r="B33" s="28"/>
      <c r="C33" s="34" t="s">
        <v>11</v>
      </c>
      <c r="D33" s="28" t="s">
        <v>89</v>
      </c>
      <c r="E33" s="28"/>
      <c r="F33" s="28" t="s">
        <v>6</v>
      </c>
      <c r="G33" s="30" t="s">
        <v>92</v>
      </c>
      <c r="H33" s="30" t="s">
        <v>93</v>
      </c>
      <c r="I33" s="30"/>
    </row>
    <row r="34" spans="1:9" ht="30.75">
      <c r="A34" s="28" t="s">
        <v>10</v>
      </c>
      <c r="B34" s="28"/>
      <c r="C34" s="34" t="s">
        <v>11</v>
      </c>
      <c r="D34" s="28" t="s">
        <v>89</v>
      </c>
      <c r="E34" s="28"/>
      <c r="F34" s="28" t="s">
        <v>6</v>
      </c>
      <c r="G34" s="30" t="s">
        <v>94</v>
      </c>
      <c r="H34" s="30" t="s">
        <v>95</v>
      </c>
      <c r="I34" s="30"/>
    </row>
    <row r="35" spans="1:9" ht="18.75">
      <c r="A35" s="3"/>
      <c r="B35" s="3"/>
      <c r="C35" s="4"/>
      <c r="D35" s="4"/>
      <c r="E35" s="4"/>
      <c r="F35" s="4"/>
      <c r="G35" s="3" t="s">
        <v>96</v>
      </c>
      <c r="H35" s="4"/>
      <c r="I35" s="5"/>
    </row>
    <row r="36" spans="1:9">
      <c r="A36" s="12" t="s">
        <v>11</v>
      </c>
      <c r="B36" s="12"/>
      <c r="C36" s="12" t="s">
        <v>11</v>
      </c>
      <c r="D36" s="12" t="s">
        <v>97</v>
      </c>
      <c r="E36" s="109" t="s">
        <v>98</v>
      </c>
      <c r="F36" s="12" t="s">
        <v>99</v>
      </c>
      <c r="G36" s="22" t="s">
        <v>100</v>
      </c>
      <c r="H36" s="13">
        <f>IF(AND(H32="Option 17a"),H38,IF(AND(H32="Option 17b"),H43))</f>
        <v>19619.858506751996</v>
      </c>
      <c r="I36" s="12"/>
    </row>
    <row r="37" spans="1:9" ht="18.75">
      <c r="A37" s="3"/>
      <c r="B37" s="3"/>
      <c r="C37" s="4"/>
      <c r="D37" s="4"/>
      <c r="E37" s="4"/>
      <c r="F37" s="4"/>
      <c r="G37" s="3" t="s">
        <v>101</v>
      </c>
      <c r="H37" s="4"/>
      <c r="I37" s="5"/>
    </row>
    <row r="38" spans="1:9">
      <c r="A38" s="12" t="s">
        <v>11</v>
      </c>
      <c r="B38" s="12"/>
      <c r="C38" s="12" t="s">
        <v>11</v>
      </c>
      <c r="D38" s="12" t="s">
        <v>97</v>
      </c>
      <c r="E38" s="12"/>
      <c r="F38" s="12" t="s">
        <v>99</v>
      </c>
      <c r="G38" s="22" t="s">
        <v>100</v>
      </c>
      <c r="H38" s="13">
        <f>H39*H40*H41*SUM('Partial BE Based on LT 17a'!F5,'Partial BE Based on LT 17a'!F25)</f>
        <v>19619.858506751996</v>
      </c>
      <c r="I38" s="12"/>
    </row>
    <row r="39" spans="1:9">
      <c r="A39" s="12" t="s">
        <v>11</v>
      </c>
      <c r="B39" s="12"/>
      <c r="C39" s="12" t="s">
        <v>11</v>
      </c>
      <c r="D39" s="12" t="s">
        <v>97</v>
      </c>
      <c r="E39" s="12"/>
      <c r="F39" s="12" t="s">
        <v>102</v>
      </c>
      <c r="G39" s="11" t="s">
        <v>103</v>
      </c>
      <c r="H39" s="126">
        <v>28</v>
      </c>
      <c r="I39" s="12"/>
    </row>
    <row r="40" spans="1:9">
      <c r="A40" s="12" t="s">
        <v>11</v>
      </c>
      <c r="B40" s="12"/>
      <c r="C40" s="12" t="s">
        <v>11</v>
      </c>
      <c r="D40" s="12" t="s">
        <v>97</v>
      </c>
      <c r="E40" s="12"/>
      <c r="F40" s="12" t="s">
        <v>104</v>
      </c>
      <c r="G40" s="11" t="s">
        <v>105</v>
      </c>
      <c r="H40" s="13">
        <v>6.7000000000000002E-4</v>
      </c>
      <c r="I40" s="12"/>
    </row>
    <row r="41" spans="1:9">
      <c r="A41" s="12" t="s">
        <v>11</v>
      </c>
      <c r="B41" s="12"/>
      <c r="C41" s="12" t="s">
        <v>11</v>
      </c>
      <c r="D41" s="12" t="s">
        <v>97</v>
      </c>
      <c r="E41" s="12"/>
      <c r="F41" s="12" t="s">
        <v>106</v>
      </c>
      <c r="G41" s="11" t="s">
        <v>107</v>
      </c>
      <c r="H41" s="13">
        <v>0.94</v>
      </c>
      <c r="I41" s="12"/>
    </row>
    <row r="42" spans="1:9" ht="18.75">
      <c r="A42" s="3"/>
      <c r="B42" s="3"/>
      <c r="C42" s="4"/>
      <c r="D42" s="4"/>
      <c r="E42" s="4"/>
      <c r="F42" s="4"/>
      <c r="G42" s="3" t="s">
        <v>108</v>
      </c>
      <c r="H42" s="4"/>
      <c r="I42" s="5"/>
    </row>
    <row r="43" spans="1:9">
      <c r="A43" s="12" t="s">
        <v>11</v>
      </c>
      <c r="B43" s="12"/>
      <c r="C43" s="12" t="s">
        <v>11</v>
      </c>
      <c r="D43" s="12" t="s">
        <v>97</v>
      </c>
      <c r="E43" s="12"/>
      <c r="F43" s="12" t="s">
        <v>99</v>
      </c>
      <c r="G43" s="22" t="s">
        <v>100</v>
      </c>
      <c r="H43" s="13">
        <f>H39*H40*H41*SUM('Partial BE Based on LT 17b'!F5,'Partial BE Based on LT 17b'!F12)</f>
        <v>15682.539962879995</v>
      </c>
      <c r="I43" s="12"/>
    </row>
    <row r="44" spans="1:9" ht="18.75">
      <c r="A44" s="3"/>
      <c r="B44" s="3"/>
      <c r="C44" s="4"/>
      <c r="D44" s="4"/>
      <c r="E44" s="4"/>
      <c r="F44" s="4"/>
      <c r="G44" s="3" t="s">
        <v>109</v>
      </c>
      <c r="H44" s="4"/>
      <c r="I44" s="5"/>
    </row>
    <row r="45" spans="1:9" ht="18" customHeight="1">
      <c r="A45" s="12" t="s">
        <v>11</v>
      </c>
      <c r="B45" s="12"/>
      <c r="C45" s="12" t="s">
        <v>11</v>
      </c>
      <c r="D45" s="12" t="s">
        <v>97</v>
      </c>
      <c r="E45" s="109" t="s">
        <v>110</v>
      </c>
      <c r="F45" s="12" t="s">
        <v>111</v>
      </c>
      <c r="G45" s="12" t="s">
        <v>112</v>
      </c>
      <c r="H45" s="13">
        <f>H46+H47+H48+H49+H50</f>
        <v>4911.5332051650439</v>
      </c>
      <c r="I45" s="12"/>
    </row>
    <row r="46" spans="1:9">
      <c r="A46" s="12" t="s">
        <v>11</v>
      </c>
      <c r="B46" s="12"/>
      <c r="C46" s="12" t="s">
        <v>11</v>
      </c>
      <c r="D46" s="12" t="s">
        <v>97</v>
      </c>
      <c r="E46" s="12"/>
      <c r="F46" s="12" t="s">
        <v>113</v>
      </c>
      <c r="G46" s="11" t="s">
        <v>114</v>
      </c>
      <c r="H46" s="13">
        <f>IF(AND(H33="AMS-III.D",H32="Option 17a"),H52,IF(AND(H33="AMS-III.D",H32="Option 17b"),H56,IF(AND(H33="Tool 14"),H64)))</f>
        <v>2859.2040960000004</v>
      </c>
      <c r="I46" s="11"/>
    </row>
    <row r="47" spans="1:9">
      <c r="A47" s="12" t="s">
        <v>11</v>
      </c>
      <c r="B47" s="12"/>
      <c r="C47" s="12" t="s">
        <v>11</v>
      </c>
      <c r="D47" s="12" t="s">
        <v>97</v>
      </c>
      <c r="E47" s="12"/>
      <c r="F47" s="12" t="s">
        <v>115</v>
      </c>
      <c r="G47" s="11" t="s">
        <v>116</v>
      </c>
      <c r="H47" s="13">
        <f>'Tool 06'!F69</f>
        <v>2052.329109165044</v>
      </c>
      <c r="I47" s="12" t="s">
        <v>117</v>
      </c>
    </row>
    <row r="48" spans="1:9" ht="44.25" customHeight="1">
      <c r="A48" s="12" t="s">
        <v>11</v>
      </c>
      <c r="B48" s="12"/>
      <c r="C48" s="12" t="s">
        <v>11</v>
      </c>
      <c r="D48" s="12" t="s">
        <v>97</v>
      </c>
      <c r="E48" s="12"/>
      <c r="F48" s="12" t="s">
        <v>118</v>
      </c>
      <c r="G48" s="11" t="s">
        <v>119</v>
      </c>
      <c r="H48" s="13">
        <f>'Tool 14'!F14+'Tool 14'!F15</f>
        <v>0</v>
      </c>
      <c r="I48" s="12" t="s">
        <v>120</v>
      </c>
    </row>
    <row r="49" spans="1:9">
      <c r="A49" s="12" t="s">
        <v>11</v>
      </c>
      <c r="B49" s="12"/>
      <c r="C49" s="12" t="s">
        <v>11</v>
      </c>
      <c r="D49" s="12" t="s">
        <v>97</v>
      </c>
      <c r="E49" s="12"/>
      <c r="F49" s="12" t="s">
        <v>121</v>
      </c>
      <c r="G49" s="11" t="s">
        <v>122</v>
      </c>
      <c r="H49" s="13">
        <f>H66</f>
        <v>0</v>
      </c>
      <c r="I49" s="12"/>
    </row>
    <row r="50" spans="1:9">
      <c r="A50" s="12" t="s">
        <v>11</v>
      </c>
      <c r="B50" s="12"/>
      <c r="C50" s="12" t="s">
        <v>11</v>
      </c>
      <c r="D50" s="12" t="s">
        <v>97</v>
      </c>
      <c r="E50" s="12"/>
      <c r="F50" s="12" t="s">
        <v>123</v>
      </c>
      <c r="G50" s="11" t="s">
        <v>124</v>
      </c>
      <c r="H50" s="13">
        <f>H75</f>
        <v>0</v>
      </c>
      <c r="I50" s="12"/>
    </row>
    <row r="51" spans="1:9" ht="18.75">
      <c r="A51" s="3"/>
      <c r="B51" s="3"/>
      <c r="C51" s="4"/>
      <c r="D51" s="4"/>
      <c r="E51" s="4"/>
      <c r="F51" s="4"/>
      <c r="G51" s="3" t="s">
        <v>125</v>
      </c>
      <c r="H51" s="4"/>
      <c r="I51" s="5"/>
    </row>
    <row r="52" spans="1:9">
      <c r="A52" s="12" t="s">
        <v>11</v>
      </c>
      <c r="B52" s="12"/>
      <c r="C52" s="12" t="s">
        <v>11</v>
      </c>
      <c r="D52" s="12" t="s">
        <v>97</v>
      </c>
      <c r="E52" s="12"/>
      <c r="F52" s="12" t="s">
        <v>126</v>
      </c>
      <c r="G52" s="11" t="s">
        <v>114</v>
      </c>
      <c r="H52" s="13">
        <f>0.1*H53*H54*SUM('PE Due to Leakage of Biogas 17a'!F5,'PE Due to Leakage of Biogas 17a'!F24)</f>
        <v>2859.2040960000004</v>
      </c>
      <c r="I52" s="12"/>
    </row>
    <row r="53" spans="1:9">
      <c r="A53" s="12" t="s">
        <v>11</v>
      </c>
      <c r="B53" s="12"/>
      <c r="C53" s="12" t="s">
        <v>11</v>
      </c>
      <c r="D53" s="12" t="s">
        <v>97</v>
      </c>
      <c r="E53" s="12"/>
      <c r="F53" s="12" t="s">
        <v>102</v>
      </c>
      <c r="G53" s="11" t="s">
        <v>103</v>
      </c>
      <c r="H53" s="126">
        <v>28</v>
      </c>
      <c r="I53" s="12"/>
    </row>
    <row r="54" spans="1:9">
      <c r="A54" s="12" t="s">
        <v>11</v>
      </c>
      <c r="B54" s="12"/>
      <c r="C54" s="12" t="s">
        <v>11</v>
      </c>
      <c r="D54" s="12" t="s">
        <v>97</v>
      </c>
      <c r="E54" s="12"/>
      <c r="F54" s="12" t="s">
        <v>104</v>
      </c>
      <c r="G54" s="11" t="s">
        <v>105</v>
      </c>
      <c r="H54" s="13">
        <v>6.7000000000000002E-4</v>
      </c>
      <c r="I54" s="12"/>
    </row>
    <row r="55" spans="1:9" ht="18.75">
      <c r="A55" s="3"/>
      <c r="B55" s="3"/>
      <c r="C55" s="4"/>
      <c r="D55" s="4"/>
      <c r="E55" s="4"/>
      <c r="F55" s="4"/>
      <c r="G55" s="3" t="s">
        <v>127</v>
      </c>
      <c r="H55" s="4"/>
      <c r="I55" s="5"/>
    </row>
    <row r="56" spans="1:9">
      <c r="A56" s="12" t="s">
        <v>11</v>
      </c>
      <c r="B56" s="12"/>
      <c r="C56" s="12" t="s">
        <v>11</v>
      </c>
      <c r="D56" s="12" t="s">
        <v>97</v>
      </c>
      <c r="E56" s="12"/>
      <c r="F56" s="12" t="s">
        <v>126</v>
      </c>
      <c r="G56" s="11" t="s">
        <v>114</v>
      </c>
      <c r="H56" s="13">
        <f>0.1*H61*H62*SUM('PE Due to Leakage of Biogas 17b'!F5,'PE Due to Leakage of Biogas 17b'!F12)</f>
        <v>9.3800000000000008</v>
      </c>
      <c r="I56" s="12"/>
    </row>
    <row r="57" spans="1:9" ht="30.75">
      <c r="A57" t="s">
        <v>10</v>
      </c>
      <c r="C57" t="s">
        <v>10</v>
      </c>
      <c r="D57" t="s">
        <v>128</v>
      </c>
      <c r="F57" t="s">
        <v>129</v>
      </c>
      <c r="G57" s="8" t="s">
        <v>130</v>
      </c>
      <c r="H57" s="10">
        <v>0.45</v>
      </c>
    </row>
    <row r="58" spans="1:9">
      <c r="A58" t="s">
        <v>10</v>
      </c>
      <c r="C58" t="s">
        <v>10</v>
      </c>
      <c r="D58" t="s">
        <v>128</v>
      </c>
      <c r="F58" t="s">
        <v>131</v>
      </c>
      <c r="G58" s="8" t="s">
        <v>132</v>
      </c>
      <c r="H58" s="10">
        <v>0.1</v>
      </c>
    </row>
    <row r="59" spans="1:9" ht="30">
      <c r="A59" t="s">
        <v>10</v>
      </c>
      <c r="C59" t="s">
        <v>10</v>
      </c>
      <c r="D59" t="s">
        <v>128</v>
      </c>
      <c r="F59" t="s">
        <v>133</v>
      </c>
      <c r="G59" s="8" t="s">
        <v>134</v>
      </c>
      <c r="H59" s="10">
        <v>3285000</v>
      </c>
    </row>
    <row r="60" spans="1:9" ht="30">
      <c r="A60" t="s">
        <v>10</v>
      </c>
      <c r="C60" t="s">
        <v>10</v>
      </c>
      <c r="D60" t="s">
        <v>128</v>
      </c>
      <c r="F60" t="s">
        <v>135</v>
      </c>
      <c r="G60" s="8" t="s">
        <v>136</v>
      </c>
      <c r="H60" s="10">
        <v>0.47</v>
      </c>
    </row>
    <row r="61" spans="1:9">
      <c r="A61" s="12" t="s">
        <v>11</v>
      </c>
      <c r="B61" s="12"/>
      <c r="C61" s="12" t="s">
        <v>11</v>
      </c>
      <c r="D61" s="12" t="s">
        <v>97</v>
      </c>
      <c r="E61" s="12"/>
      <c r="F61" s="12" t="s">
        <v>102</v>
      </c>
      <c r="G61" s="11" t="s">
        <v>103</v>
      </c>
      <c r="H61" s="126">
        <v>28</v>
      </c>
      <c r="I61" s="12"/>
    </row>
    <row r="62" spans="1:9">
      <c r="A62" s="12" t="s">
        <v>11</v>
      </c>
      <c r="B62" s="12"/>
      <c r="C62" s="12" t="s">
        <v>11</v>
      </c>
      <c r="D62" s="12"/>
      <c r="E62" s="12"/>
      <c r="F62" s="12" t="s">
        <v>104</v>
      </c>
      <c r="G62" s="11" t="s">
        <v>105</v>
      </c>
      <c r="H62" s="13">
        <v>6.7000000000000002E-4</v>
      </c>
      <c r="I62" s="12"/>
    </row>
    <row r="63" spans="1:9" ht="18.75">
      <c r="A63" s="3"/>
      <c r="B63" s="3"/>
      <c r="C63" s="4"/>
      <c r="D63" s="4"/>
      <c r="E63" s="4"/>
      <c r="F63" s="4"/>
      <c r="G63" s="3" t="s">
        <v>137</v>
      </c>
      <c r="H63" s="4"/>
      <c r="I63" s="5"/>
    </row>
    <row r="64" spans="1:9">
      <c r="A64" s="12" t="s">
        <v>11</v>
      </c>
      <c r="B64" s="12"/>
      <c r="C64" s="12" t="s">
        <v>11</v>
      </c>
      <c r="D64" s="12" t="s">
        <v>97</v>
      </c>
      <c r="E64" s="12"/>
      <c r="F64" s="12" t="s">
        <v>126</v>
      </c>
      <c r="G64" s="11" t="s">
        <v>114</v>
      </c>
      <c r="H64" s="13">
        <f>'Tool 14'!F16</f>
        <v>87.808000000000007</v>
      </c>
      <c r="I64" s="12" t="s">
        <v>120</v>
      </c>
    </row>
    <row r="65" spans="1:9" ht="18.75">
      <c r="A65" s="3"/>
      <c r="B65" s="3"/>
      <c r="C65" s="4"/>
      <c r="D65" s="4"/>
      <c r="E65" s="4"/>
      <c r="F65" s="4"/>
      <c r="G65" s="3" t="s">
        <v>138</v>
      </c>
      <c r="H65" s="4"/>
      <c r="I65" s="5"/>
    </row>
    <row r="66" spans="1:9">
      <c r="A66" s="12" t="s">
        <v>11</v>
      </c>
      <c r="B66" s="12"/>
      <c r="C66" s="12" t="s">
        <v>11</v>
      </c>
      <c r="D66" s="12" t="s">
        <v>97</v>
      </c>
      <c r="E66" s="12"/>
      <c r="F66" s="12" t="s">
        <v>121</v>
      </c>
      <c r="G66" s="11" t="s">
        <v>122</v>
      </c>
      <c r="H66" s="13">
        <f>(H67/H68)*H69*H70+(H71/H72)*H73*H70</f>
        <v>0</v>
      </c>
      <c r="I66" s="12"/>
    </row>
    <row r="67" spans="1:9" ht="30">
      <c r="A67" s="9" t="s">
        <v>10</v>
      </c>
      <c r="B67" s="9"/>
      <c r="C67" s="9" t="s">
        <v>10</v>
      </c>
      <c r="D67" t="s">
        <v>128</v>
      </c>
      <c r="F67" t="s">
        <v>139</v>
      </c>
      <c r="G67" s="8" t="s">
        <v>140</v>
      </c>
      <c r="H67" s="10">
        <v>0</v>
      </c>
    </row>
    <row r="68" spans="1:9">
      <c r="A68" s="9" t="s">
        <v>10</v>
      </c>
      <c r="B68" s="9"/>
      <c r="C68" s="9" t="s">
        <v>10</v>
      </c>
      <c r="D68" t="s">
        <v>128</v>
      </c>
      <c r="F68" t="s">
        <v>141</v>
      </c>
      <c r="G68" s="8" t="s">
        <v>142</v>
      </c>
      <c r="H68" s="10">
        <v>150</v>
      </c>
    </row>
    <row r="69" spans="1:9" ht="30">
      <c r="A69" s="9" t="s">
        <v>10</v>
      </c>
      <c r="B69" s="9"/>
      <c r="C69" s="9" t="s">
        <v>10</v>
      </c>
      <c r="D69" t="s">
        <v>128</v>
      </c>
      <c r="F69" t="s">
        <v>143</v>
      </c>
      <c r="G69" s="8" t="s">
        <v>144</v>
      </c>
      <c r="H69" s="10">
        <v>0</v>
      </c>
    </row>
    <row r="70" spans="1:9">
      <c r="A70" s="9" t="s">
        <v>10</v>
      </c>
      <c r="B70" s="9"/>
      <c r="C70" s="9" t="s">
        <v>10</v>
      </c>
      <c r="D70" t="s">
        <v>128</v>
      </c>
      <c r="F70" t="s">
        <v>145</v>
      </c>
      <c r="G70" s="8" t="s">
        <v>146</v>
      </c>
      <c r="H70" s="10">
        <v>0.78</v>
      </c>
    </row>
    <row r="71" spans="1:9">
      <c r="A71" s="9" t="s">
        <v>10</v>
      </c>
      <c r="B71" s="9"/>
      <c r="C71" s="9" t="s">
        <v>10</v>
      </c>
      <c r="D71" t="s">
        <v>128</v>
      </c>
      <c r="F71" t="s">
        <v>147</v>
      </c>
      <c r="G71" s="8" t="s">
        <v>148</v>
      </c>
      <c r="H71" s="10">
        <v>0</v>
      </c>
    </row>
    <row r="72" spans="1:9">
      <c r="A72" s="9" t="s">
        <v>10</v>
      </c>
      <c r="B72" s="9"/>
      <c r="C72" s="9" t="s">
        <v>10</v>
      </c>
      <c r="D72" t="s">
        <v>128</v>
      </c>
      <c r="F72" t="s">
        <v>149</v>
      </c>
      <c r="G72" s="8" t="s">
        <v>150</v>
      </c>
      <c r="H72" s="10">
        <v>120</v>
      </c>
    </row>
    <row r="73" spans="1:9">
      <c r="A73" s="9" t="s">
        <v>10</v>
      </c>
      <c r="B73" s="9"/>
      <c r="C73" s="9" t="s">
        <v>10</v>
      </c>
      <c r="D73" t="s">
        <v>128</v>
      </c>
      <c r="F73" t="s">
        <v>151</v>
      </c>
      <c r="G73" s="8" t="s">
        <v>152</v>
      </c>
      <c r="H73" s="10">
        <v>0</v>
      </c>
    </row>
    <row r="74" spans="1:9" ht="18.75">
      <c r="A74" s="3"/>
      <c r="B74" s="3"/>
      <c r="C74" s="4"/>
      <c r="D74" s="4"/>
      <c r="E74" s="4"/>
      <c r="F74" s="4"/>
      <c r="G74" s="3" t="s">
        <v>153</v>
      </c>
      <c r="H74" s="4"/>
      <c r="I74" s="5"/>
    </row>
    <row r="75" spans="1:9">
      <c r="A75" s="12" t="s">
        <v>11</v>
      </c>
      <c r="B75" s="12"/>
      <c r="C75" s="12" t="s">
        <v>11</v>
      </c>
      <c r="D75" s="12" t="s">
        <v>97</v>
      </c>
      <c r="E75" s="12"/>
      <c r="F75" s="12" t="s">
        <v>154</v>
      </c>
      <c r="G75" s="11" t="s">
        <v>124</v>
      </c>
      <c r="H75" s="13">
        <f>H76*H77*SUM('Storage Device Registration'!F5,'Storage Device Registration'!F19)</f>
        <v>0</v>
      </c>
      <c r="I75" s="12"/>
    </row>
    <row r="76" spans="1:9">
      <c r="A76" s="12" t="s">
        <v>11</v>
      </c>
      <c r="B76" s="12"/>
      <c r="C76" s="12" t="s">
        <v>11</v>
      </c>
      <c r="D76" s="12" t="s">
        <v>97</v>
      </c>
      <c r="E76" s="12"/>
      <c r="F76" s="12" t="s">
        <v>102</v>
      </c>
      <c r="G76" s="11" t="s">
        <v>103</v>
      </c>
      <c r="H76" s="126">
        <v>28</v>
      </c>
      <c r="I76" s="12"/>
    </row>
    <row r="77" spans="1:9">
      <c r="A77" s="12" t="s">
        <v>11</v>
      </c>
      <c r="B77" s="12"/>
      <c r="C77" s="12" t="s">
        <v>11</v>
      </c>
      <c r="D77" s="12" t="s">
        <v>97</v>
      </c>
      <c r="E77" s="12"/>
      <c r="F77" s="12" t="s">
        <v>104</v>
      </c>
      <c r="G77" s="11" t="s">
        <v>105</v>
      </c>
      <c r="H77" s="13">
        <v>6.7000000000000002E-4</v>
      </c>
      <c r="I77" s="12"/>
    </row>
    <row r="78" spans="1:9" ht="18.75">
      <c r="A78" s="3"/>
      <c r="B78" s="3"/>
      <c r="C78" s="4"/>
      <c r="D78" s="4"/>
      <c r="E78" s="4"/>
      <c r="F78" s="4"/>
      <c r="G78" s="3" t="s">
        <v>155</v>
      </c>
      <c r="H78" s="4"/>
      <c r="I78" s="5"/>
    </row>
    <row r="79" spans="1:9" ht="30">
      <c r="A79" s="12" t="s">
        <v>11</v>
      </c>
      <c r="B79" s="12"/>
      <c r="C79" s="12" t="s">
        <v>11</v>
      </c>
      <c r="D79" s="12" t="s">
        <v>97</v>
      </c>
      <c r="E79" s="109" t="s">
        <v>156</v>
      </c>
      <c r="F79" s="12" t="s">
        <v>157</v>
      </c>
      <c r="G79" s="11" t="s">
        <v>158</v>
      </c>
      <c r="H79" s="13">
        <f>IF(AND(H32="Option 17a"),H81,IF(AND(H32="Option 17b"),H87))</f>
        <v>14708.325301586952</v>
      </c>
      <c r="I79" s="12"/>
    </row>
    <row r="80" spans="1:9" ht="18.75">
      <c r="A80" s="3"/>
      <c r="B80" s="3"/>
      <c r="C80" s="4"/>
      <c r="D80" s="4"/>
      <c r="E80" s="4"/>
      <c r="F80" s="4"/>
      <c r="G80" s="3" t="s">
        <v>159</v>
      </c>
      <c r="H80" s="4"/>
      <c r="I80" s="5"/>
    </row>
    <row r="81" spans="1:9" ht="30">
      <c r="A81" s="12" t="s">
        <v>11</v>
      </c>
      <c r="B81" s="12"/>
      <c r="C81" s="12" t="s">
        <v>11</v>
      </c>
      <c r="D81" s="12" t="s">
        <v>97</v>
      </c>
      <c r="E81" s="12"/>
      <c r="F81" s="12" t="s">
        <v>157</v>
      </c>
      <c r="G81" s="11" t="s">
        <v>158</v>
      </c>
      <c r="H81" s="13">
        <f>MIN((H82-H83),(H85-H84))</f>
        <v>14708.325301586952</v>
      </c>
      <c r="I81" s="12"/>
    </row>
    <row r="82" spans="1:9">
      <c r="A82" s="12" t="s">
        <v>11</v>
      </c>
      <c r="B82" s="12"/>
      <c r="C82" s="12" t="s">
        <v>11</v>
      </c>
      <c r="D82" s="12" t="s">
        <v>97</v>
      </c>
      <c r="E82" s="12"/>
      <c r="F82" s="12" t="s">
        <v>160</v>
      </c>
      <c r="G82" s="11" t="s">
        <v>161</v>
      </c>
      <c r="H82" s="13">
        <f>H38</f>
        <v>19619.858506751996</v>
      </c>
      <c r="I82" s="12"/>
    </row>
    <row r="83" spans="1:9">
      <c r="A83" s="12" t="s">
        <v>11</v>
      </c>
      <c r="B83" s="12"/>
      <c r="C83" s="12" t="s">
        <v>11</v>
      </c>
      <c r="D83" s="12" t="s">
        <v>97</v>
      </c>
      <c r="E83" s="12"/>
      <c r="F83" s="12" t="s">
        <v>162</v>
      </c>
      <c r="G83" s="11" t="s">
        <v>163</v>
      </c>
      <c r="H83" s="13">
        <f>H45</f>
        <v>4911.5332051650439</v>
      </c>
      <c r="I83" s="12"/>
    </row>
    <row r="84" spans="1:9" ht="30">
      <c r="A84" s="12" t="s">
        <v>11</v>
      </c>
      <c r="B84" s="12"/>
      <c r="C84" s="12" t="s">
        <v>11</v>
      </c>
      <c r="D84" s="12" t="s">
        <v>97</v>
      </c>
      <c r="E84" s="12"/>
      <c r="F84" s="12" t="s">
        <v>164</v>
      </c>
      <c r="G84" s="11" t="s">
        <v>165</v>
      </c>
      <c r="H84" s="13">
        <f>H48</f>
        <v>0</v>
      </c>
      <c r="I84" s="12"/>
    </row>
    <row r="85" spans="1:9" ht="30">
      <c r="A85" s="12" t="s">
        <v>11</v>
      </c>
      <c r="B85" s="12"/>
      <c r="C85" s="12" t="s">
        <v>11</v>
      </c>
      <c r="D85" s="12" t="s">
        <v>97</v>
      </c>
      <c r="E85" s="12"/>
      <c r="F85" s="12" t="s">
        <v>166</v>
      </c>
      <c r="G85" s="11" t="s">
        <v>167</v>
      </c>
      <c r="H85" s="13">
        <f>IF(AND(H34="Flared/Combusted"),H93,IF(AND(H34="Recovered for Power Generation"),H100))</f>
        <v>28140</v>
      </c>
      <c r="I85" s="11"/>
    </row>
    <row r="86" spans="1:9" ht="18.75">
      <c r="A86" s="3"/>
      <c r="B86" s="3"/>
      <c r="C86" s="4"/>
      <c r="D86" s="4"/>
      <c r="E86" s="4"/>
      <c r="F86" s="4"/>
      <c r="G86" s="3" t="s">
        <v>168</v>
      </c>
      <c r="H86" s="4"/>
      <c r="I86" s="5"/>
    </row>
    <row r="87" spans="1:9" ht="30">
      <c r="A87" s="12" t="s">
        <v>11</v>
      </c>
      <c r="B87" s="12"/>
      <c r="C87" s="12" t="s">
        <v>11</v>
      </c>
      <c r="D87" s="12" t="s">
        <v>97</v>
      </c>
      <c r="E87" s="12"/>
      <c r="F87" s="12" t="s">
        <v>157</v>
      </c>
      <c r="G87" s="11" t="s">
        <v>158</v>
      </c>
      <c r="H87" s="13">
        <f>MIN((H88-H89),(H91-H90))</f>
        <v>10771.006757714951</v>
      </c>
      <c r="I87" s="12"/>
    </row>
    <row r="88" spans="1:9">
      <c r="A88" s="12" t="s">
        <v>11</v>
      </c>
      <c r="B88" s="12"/>
      <c r="C88" s="12" t="s">
        <v>11</v>
      </c>
      <c r="D88" s="12" t="s">
        <v>97</v>
      </c>
      <c r="E88" s="12"/>
      <c r="F88" s="12" t="s">
        <v>160</v>
      </c>
      <c r="G88" s="11" t="s">
        <v>161</v>
      </c>
      <c r="H88" s="13">
        <f>H43</f>
        <v>15682.539962879995</v>
      </c>
      <c r="I88" s="12"/>
    </row>
    <row r="89" spans="1:9">
      <c r="A89" s="12" t="s">
        <v>11</v>
      </c>
      <c r="B89" s="12"/>
      <c r="C89" s="12" t="s">
        <v>11</v>
      </c>
      <c r="D89" s="12" t="s">
        <v>97</v>
      </c>
      <c r="E89" s="12"/>
      <c r="F89" s="12" t="s">
        <v>162</v>
      </c>
      <c r="G89" s="11" t="s">
        <v>163</v>
      </c>
      <c r="H89" s="13">
        <f>H45</f>
        <v>4911.5332051650439</v>
      </c>
      <c r="I89" s="12"/>
    </row>
    <row r="90" spans="1:9" ht="30">
      <c r="A90" s="12" t="s">
        <v>11</v>
      </c>
      <c r="B90" s="12"/>
      <c r="C90" s="12" t="s">
        <v>11</v>
      </c>
      <c r="D90" s="12" t="s">
        <v>97</v>
      </c>
      <c r="E90" s="12"/>
      <c r="F90" s="12" t="s">
        <v>164</v>
      </c>
      <c r="G90" s="11" t="s">
        <v>165</v>
      </c>
      <c r="H90" s="13">
        <f>H48</f>
        <v>0</v>
      </c>
      <c r="I90" s="12"/>
    </row>
    <row r="91" spans="1:9" ht="30">
      <c r="A91" s="12" t="s">
        <v>11</v>
      </c>
      <c r="B91" s="12"/>
      <c r="C91" s="12" t="s">
        <v>11</v>
      </c>
      <c r="D91" s="12" t="s">
        <v>97</v>
      </c>
      <c r="E91" s="12"/>
      <c r="F91" s="12" t="s">
        <v>166</v>
      </c>
      <c r="G91" s="11" t="s">
        <v>167</v>
      </c>
      <c r="H91" s="13">
        <f>IF(AND(H34="Flared/Combusted"),H93,IF(AND(H34="Recovered for Power Generation"),H100))</f>
        <v>28140</v>
      </c>
      <c r="I91" s="11"/>
    </row>
    <row r="92" spans="1:9" ht="18.75">
      <c r="A92" s="3"/>
      <c r="B92" s="3"/>
      <c r="C92" s="4"/>
      <c r="D92" s="4"/>
      <c r="E92" s="4"/>
      <c r="F92" s="4"/>
      <c r="G92" s="3" t="s">
        <v>169</v>
      </c>
      <c r="H92" s="4"/>
      <c r="I92" s="5"/>
    </row>
    <row r="93" spans="1:9" ht="30">
      <c r="A93" s="12" t="s">
        <v>11</v>
      </c>
      <c r="B93" s="12"/>
      <c r="C93" s="12" t="s">
        <v>11</v>
      </c>
      <c r="D93" s="12" t="s">
        <v>97</v>
      </c>
      <c r="E93" s="12"/>
      <c r="F93" s="12" t="s">
        <v>166</v>
      </c>
      <c r="G93" s="11" t="s">
        <v>167</v>
      </c>
      <c r="H93" s="13">
        <f>H94*H95*H98*H96*H97</f>
        <v>28140</v>
      </c>
      <c r="I93" s="12"/>
    </row>
    <row r="94" spans="1:9">
      <c r="A94" t="s">
        <v>10</v>
      </c>
      <c r="C94" t="s">
        <v>10</v>
      </c>
      <c r="D94" t="s">
        <v>128</v>
      </c>
      <c r="F94" t="s">
        <v>170</v>
      </c>
      <c r="G94" s="8" t="s">
        <v>171</v>
      </c>
      <c r="H94" s="10">
        <v>15000</v>
      </c>
    </row>
    <row r="95" spans="1:9">
      <c r="A95" t="s">
        <v>10</v>
      </c>
      <c r="C95" t="s">
        <v>10</v>
      </c>
      <c r="D95" t="s">
        <v>128</v>
      </c>
      <c r="F95" t="s">
        <v>172</v>
      </c>
      <c r="G95" s="8" t="s">
        <v>173</v>
      </c>
      <c r="H95" s="10">
        <v>100</v>
      </c>
    </row>
    <row r="96" spans="1:9">
      <c r="A96" t="s">
        <v>10</v>
      </c>
      <c r="C96" t="s">
        <v>10</v>
      </c>
      <c r="D96" t="s">
        <v>128</v>
      </c>
      <c r="F96" t="s">
        <v>174</v>
      </c>
      <c r="G96" t="s">
        <v>175</v>
      </c>
      <c r="H96" s="10">
        <v>1</v>
      </c>
    </row>
    <row r="97" spans="1:9">
      <c r="A97" s="12" t="s">
        <v>11</v>
      </c>
      <c r="B97" s="12"/>
      <c r="C97" s="12" t="s">
        <v>11</v>
      </c>
      <c r="D97" s="12" t="s">
        <v>97</v>
      </c>
      <c r="E97" s="12"/>
      <c r="F97" s="12" t="s">
        <v>102</v>
      </c>
      <c r="G97" s="11" t="s">
        <v>103</v>
      </c>
      <c r="H97" s="126">
        <v>28</v>
      </c>
      <c r="I97" s="12"/>
    </row>
    <row r="98" spans="1:9">
      <c r="A98" s="12" t="s">
        <v>11</v>
      </c>
      <c r="B98" s="12"/>
      <c r="C98" s="12" t="s">
        <v>11</v>
      </c>
      <c r="D98" s="12" t="s">
        <v>97</v>
      </c>
      <c r="E98" s="12"/>
      <c r="F98" s="12" t="s">
        <v>104</v>
      </c>
      <c r="G98" s="11" t="s">
        <v>105</v>
      </c>
      <c r="H98" s="13">
        <v>6.7000000000000002E-4</v>
      </c>
      <c r="I98" s="12"/>
    </row>
    <row r="99" spans="1:9" ht="18.75">
      <c r="A99" s="3"/>
      <c r="B99" s="3"/>
      <c r="C99" s="4"/>
      <c r="D99" s="4"/>
      <c r="E99" s="4"/>
      <c r="F99" s="4"/>
      <c r="G99" s="3" t="s">
        <v>176</v>
      </c>
      <c r="H99" s="4"/>
      <c r="I99" s="5"/>
    </row>
    <row r="100" spans="1:9" ht="30">
      <c r="A100" s="12" t="s">
        <v>11</v>
      </c>
      <c r="B100" s="12"/>
      <c r="C100" s="12" t="s">
        <v>11</v>
      </c>
      <c r="D100" s="12" t="s">
        <v>97</v>
      </c>
      <c r="E100" s="12"/>
      <c r="F100" s="12" t="s">
        <v>166</v>
      </c>
      <c r="G100" s="11" t="s">
        <v>167</v>
      </c>
      <c r="H100" s="13">
        <f>((H101*H102)/(H103*H104))*H106*H105</f>
        <v>0</v>
      </c>
      <c r="I100" s="12"/>
    </row>
    <row r="101" spans="1:9">
      <c r="A101" t="s">
        <v>10</v>
      </c>
      <c r="C101" t="s">
        <v>10</v>
      </c>
      <c r="D101" t="s">
        <v>128</v>
      </c>
      <c r="F101" t="s">
        <v>177</v>
      </c>
      <c r="G101" s="8" t="s">
        <v>178</v>
      </c>
      <c r="H101" s="10">
        <v>0</v>
      </c>
    </row>
    <row r="102" spans="1:9">
      <c r="A102" s="12" t="s">
        <v>11</v>
      </c>
      <c r="B102" s="12"/>
      <c r="C102" s="12" t="s">
        <v>11</v>
      </c>
      <c r="D102" s="12" t="s">
        <v>97</v>
      </c>
      <c r="E102" s="12"/>
      <c r="F102" s="12" t="s">
        <v>179</v>
      </c>
      <c r="G102" s="12" t="s">
        <v>180</v>
      </c>
      <c r="H102" s="13">
        <v>3600</v>
      </c>
      <c r="I102" s="12"/>
    </row>
    <row r="103" spans="1:9" ht="18" customHeight="1">
      <c r="A103" t="s">
        <v>10</v>
      </c>
      <c r="C103" t="s">
        <v>10</v>
      </c>
      <c r="D103" t="s">
        <v>128</v>
      </c>
      <c r="F103" t="s">
        <v>181</v>
      </c>
      <c r="G103" t="s">
        <v>182</v>
      </c>
      <c r="H103" s="10">
        <v>1</v>
      </c>
    </row>
    <row r="104" spans="1:9">
      <c r="A104" t="s">
        <v>10</v>
      </c>
      <c r="C104" t="s">
        <v>10</v>
      </c>
      <c r="D104" t="s">
        <v>128</v>
      </c>
      <c r="F104" t="s">
        <v>183</v>
      </c>
      <c r="G104" s="8" t="s">
        <v>184</v>
      </c>
      <c r="H104" s="10">
        <v>0.6</v>
      </c>
    </row>
    <row r="105" spans="1:9">
      <c r="A105" s="12" t="s">
        <v>11</v>
      </c>
      <c r="B105" s="12"/>
      <c r="C105" s="12" t="s">
        <v>11</v>
      </c>
      <c r="D105" s="12" t="s">
        <v>97</v>
      </c>
      <c r="E105" s="12"/>
      <c r="F105" s="12" t="s">
        <v>102</v>
      </c>
      <c r="G105" s="11" t="s">
        <v>103</v>
      </c>
      <c r="H105" s="126">
        <v>28</v>
      </c>
      <c r="I105" s="12"/>
    </row>
    <row r="106" spans="1:9">
      <c r="A106" s="12" t="s">
        <v>11</v>
      </c>
      <c r="B106" s="12"/>
      <c r="C106" s="12" t="s">
        <v>11</v>
      </c>
      <c r="D106" s="12" t="s">
        <v>97</v>
      </c>
      <c r="E106" s="12"/>
      <c r="F106" s="12" t="s">
        <v>104</v>
      </c>
      <c r="G106" s="11" t="s">
        <v>105</v>
      </c>
      <c r="H106" s="13">
        <v>6.7000000000000002E-4</v>
      </c>
      <c r="I106" s="12"/>
    </row>
  </sheetData>
  <dataValidations disablePrompts="1" count="3">
    <dataValidation type="list" allowBlank="1" showInputMessage="1" showErrorMessage="1" sqref="H32" xr:uid="{A84FB5BD-BCEC-4AA1-9061-9F8365FED2BC}">
      <formula1>"Option 17a,Option 17b"</formula1>
    </dataValidation>
    <dataValidation type="list" allowBlank="1" showInputMessage="1" showErrorMessage="1" sqref="H33" xr:uid="{29594302-0557-4D3D-8A82-B8AEE138FD7C}">
      <formula1>"AMS-III.D,Tool 14"</formula1>
    </dataValidation>
    <dataValidation type="list" allowBlank="1" showInputMessage="1" showErrorMessage="1" sqref="H34" xr:uid="{093D7AEC-BE0B-4217-8993-F15E8A76EBCD}">
      <formula1>"Flared/Combusted,Recovered for Power Generation"</formula1>
    </dataValidation>
  </dataValidations>
  <hyperlinks>
    <hyperlink ref="H17" r:id="rId1" xr:uid="{9FF82F57-34EC-4808-82DA-365E6E0370DD}"/>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AF1CDBD-4ADF-4E77-BF04-9E7D15D5CBCE}">
          <x14:formula1>
            <xm:f>'IWA Properties'!$A$2:$A$277</xm:f>
          </x14:formula1>
          <xm:sqref>E79 E36 E45 E3:E25 E27:E30</xm:sqref>
        </x14:dataValidation>
        <x14:dataValidation type="list" allowBlank="1" showInputMessage="1" showErrorMessage="1" xr:uid="{14EE3F9C-3F87-4A67-BD15-E3B1B97EC50C}">
          <x14:formula1>
            <xm:f>'IWA Properties'!$B$2:$B$481</xm:f>
          </x14:formula1>
          <xm:sqref>H22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17D32-77B9-4A38-8284-B9A936EF4555}">
  <dimension ref="A1:M11"/>
  <sheetViews>
    <sheetView workbookViewId="0">
      <selection activeCell="F38" sqref="F38"/>
    </sheetView>
  </sheetViews>
  <sheetFormatPr defaultRowHeight="15"/>
  <cols>
    <col min="1" max="1" width="22.28515625" customWidth="1"/>
    <col min="2" max="2" width="27.28515625" customWidth="1"/>
    <col min="3" max="3" width="20.28515625" customWidth="1"/>
    <col min="4" max="4" width="19.5703125" customWidth="1"/>
    <col min="5" max="5" width="26.28515625" customWidth="1"/>
    <col min="6" max="6" width="29.5703125" customWidth="1"/>
    <col min="7" max="9" width="31.140625" customWidth="1"/>
    <col min="10" max="10" width="13.42578125" customWidth="1"/>
  </cols>
  <sheetData>
    <row r="1" spans="1:13">
      <c r="A1" s="93" t="s">
        <v>422</v>
      </c>
      <c r="B1" s="93" t="s">
        <v>423</v>
      </c>
      <c r="C1" s="93" t="s">
        <v>424</v>
      </c>
      <c r="D1" s="93" t="s">
        <v>425</v>
      </c>
      <c r="E1" s="93" t="s">
        <v>426</v>
      </c>
      <c r="F1" s="93" t="s">
        <v>427</v>
      </c>
      <c r="G1" s="93" t="s">
        <v>428</v>
      </c>
      <c r="H1" s="93" t="s">
        <v>429</v>
      </c>
      <c r="I1" s="93" t="s">
        <v>430</v>
      </c>
    </row>
    <row r="2" spans="1:13">
      <c r="A2" t="s">
        <v>418</v>
      </c>
      <c r="B2" t="s">
        <v>353</v>
      </c>
      <c r="C2" t="s">
        <v>431</v>
      </c>
      <c r="D2" t="s">
        <v>10</v>
      </c>
      <c r="E2" t="s">
        <v>312</v>
      </c>
      <c r="F2" t="s">
        <v>331</v>
      </c>
      <c r="G2" t="s">
        <v>314</v>
      </c>
      <c r="H2" t="s">
        <v>432</v>
      </c>
      <c r="I2" t="s">
        <v>433</v>
      </c>
      <c r="J2" t="s">
        <v>434</v>
      </c>
      <c r="K2" t="s">
        <v>326</v>
      </c>
      <c r="L2" t="s">
        <v>322</v>
      </c>
      <c r="M2" t="s">
        <v>435</v>
      </c>
    </row>
    <row r="3" spans="1:13" ht="30">
      <c r="A3" t="s">
        <v>419</v>
      </c>
      <c r="B3" t="s">
        <v>306</v>
      </c>
      <c r="C3" t="s">
        <v>436</v>
      </c>
      <c r="D3" t="s">
        <v>11</v>
      </c>
      <c r="E3" t="s">
        <v>437</v>
      </c>
      <c r="F3" t="s">
        <v>326</v>
      </c>
      <c r="G3" t="s">
        <v>438</v>
      </c>
      <c r="H3" t="s">
        <v>316</v>
      </c>
      <c r="I3" s="8" t="s">
        <v>334</v>
      </c>
      <c r="J3" t="s">
        <v>318</v>
      </c>
      <c r="K3" t="s">
        <v>331</v>
      </c>
      <c r="L3" t="s">
        <v>439</v>
      </c>
      <c r="M3" t="s">
        <v>440</v>
      </c>
    </row>
    <row r="4" spans="1:13">
      <c r="A4" t="s">
        <v>303</v>
      </c>
      <c r="I4" t="s">
        <v>441</v>
      </c>
      <c r="M4" t="s">
        <v>329</v>
      </c>
    </row>
    <row r="5" spans="1:13">
      <c r="I5" t="s">
        <v>442</v>
      </c>
      <c r="M5" t="s">
        <v>443</v>
      </c>
    </row>
    <row r="6" spans="1:13">
      <c r="I6" t="s">
        <v>444</v>
      </c>
    </row>
    <row r="7" spans="1:13">
      <c r="I7" t="s">
        <v>445</v>
      </c>
    </row>
    <row r="8" spans="1:13">
      <c r="I8" t="s">
        <v>446</v>
      </c>
    </row>
    <row r="9" spans="1:13">
      <c r="I9" t="s">
        <v>447</v>
      </c>
    </row>
    <row r="10" spans="1:13">
      <c r="I10" t="s">
        <v>448</v>
      </c>
    </row>
    <row r="11" spans="1:13">
      <c r="I11" t="s">
        <v>449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49E76-2479-4EF2-AFF1-8473495C1C2F}">
  <dimension ref="A1:H47"/>
  <sheetViews>
    <sheetView topLeftCell="C1" zoomScaleNormal="100" workbookViewId="0">
      <pane ySplit="1" topLeftCell="A2" activePane="bottomLeft" state="frozen"/>
      <selection pane="bottomLeft" activeCell="G38" sqref="G38"/>
      <selection activeCell="G10" sqref="G10"/>
    </sheetView>
  </sheetViews>
  <sheetFormatPr defaultRowHeight="1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5703125" customWidth="1"/>
  </cols>
  <sheetData>
    <row r="1" spans="1:8" ht="39.75" customHeight="1">
      <c r="A1" s="36" t="s">
        <v>0</v>
      </c>
      <c r="B1" s="36" t="s">
        <v>1</v>
      </c>
      <c r="C1" s="35" t="s">
        <v>257</v>
      </c>
      <c r="D1" s="36" t="s">
        <v>3</v>
      </c>
      <c r="E1" s="36" t="s">
        <v>5</v>
      </c>
      <c r="F1" s="2" t="s">
        <v>6</v>
      </c>
      <c r="G1" s="2" t="s">
        <v>7</v>
      </c>
      <c r="H1" s="35" t="s">
        <v>8</v>
      </c>
    </row>
    <row r="2" spans="1:8" ht="30" customHeight="1">
      <c r="A2" s="114" t="s">
        <v>450</v>
      </c>
      <c r="B2" s="114"/>
      <c r="C2" s="114"/>
      <c r="D2" s="114"/>
      <c r="E2" s="114"/>
      <c r="F2" s="114"/>
      <c r="G2" s="114"/>
      <c r="H2" s="114"/>
    </row>
    <row r="3" spans="1:8" ht="33" customHeight="1">
      <c r="A3" s="115" t="s">
        <v>451</v>
      </c>
      <c r="B3" s="115"/>
      <c r="C3" s="115"/>
      <c r="D3" s="115"/>
      <c r="E3" s="115"/>
      <c r="F3" s="115"/>
      <c r="G3" s="115"/>
      <c r="H3" s="115"/>
    </row>
    <row r="4" spans="1:8" s="59" customFormat="1" ht="204.75">
      <c r="A4" s="56" t="s">
        <v>10</v>
      </c>
      <c r="B4" s="56"/>
      <c r="C4" s="56" t="s">
        <v>11</v>
      </c>
      <c r="D4" s="56" t="s">
        <v>452</v>
      </c>
      <c r="E4" s="56"/>
      <c r="F4" s="57" t="s">
        <v>453</v>
      </c>
      <c r="G4" s="57" t="s">
        <v>454</v>
      </c>
      <c r="H4" s="58" t="s">
        <v>455</v>
      </c>
    </row>
    <row r="5" spans="1:8" ht="30.75" customHeight="1">
      <c r="A5" s="116" t="s">
        <v>456</v>
      </c>
      <c r="B5" s="116"/>
      <c r="C5" s="116"/>
      <c r="D5" s="116"/>
      <c r="E5" s="116"/>
      <c r="F5" s="116"/>
      <c r="G5" s="116"/>
      <c r="H5" s="116"/>
    </row>
    <row r="6" spans="1:8" ht="26.25">
      <c r="A6" s="60" t="s">
        <v>11</v>
      </c>
      <c r="B6" s="60"/>
      <c r="C6" s="60" t="s">
        <v>11</v>
      </c>
      <c r="D6" s="60" t="s">
        <v>97</v>
      </c>
      <c r="E6" s="52" t="s">
        <v>457</v>
      </c>
      <c r="F6" s="11" t="s">
        <v>458</v>
      </c>
      <c r="G6" s="13">
        <f>SUM(G8*G7*(1+G9))</f>
        <v>0.73499999999999999</v>
      </c>
      <c r="H6" s="13"/>
    </row>
    <row r="7" spans="1:8" ht="26.25">
      <c r="A7" s="60" t="s">
        <v>11</v>
      </c>
      <c r="B7" s="60"/>
      <c r="C7" s="60" t="s">
        <v>11</v>
      </c>
      <c r="D7" s="60" t="s">
        <v>97</v>
      </c>
      <c r="E7" s="52" t="s">
        <v>459</v>
      </c>
      <c r="F7" s="11" t="s">
        <v>460</v>
      </c>
      <c r="G7" s="13">
        <f>G32</f>
        <v>0.25</v>
      </c>
      <c r="H7" s="11" t="s">
        <v>461</v>
      </c>
    </row>
    <row r="8" spans="1:8" ht="30">
      <c r="A8" s="59" t="s">
        <v>10</v>
      </c>
      <c r="B8" s="59"/>
      <c r="C8" s="59" t="s">
        <v>10</v>
      </c>
      <c r="D8" s="59" t="s">
        <v>128</v>
      </c>
      <c r="E8" s="53" t="s">
        <v>462</v>
      </c>
      <c r="F8" s="8" t="s">
        <v>463</v>
      </c>
      <c r="G8" s="10">
        <v>2.8</v>
      </c>
    </row>
    <row r="9" spans="1:8" ht="30">
      <c r="A9" s="59" t="s">
        <v>10</v>
      </c>
      <c r="B9" s="59"/>
      <c r="C9" s="59" t="s">
        <v>10</v>
      </c>
      <c r="D9" s="59" t="s">
        <v>128</v>
      </c>
      <c r="E9" s="53" t="s">
        <v>464</v>
      </c>
      <c r="F9" s="8" t="s">
        <v>465</v>
      </c>
      <c r="G9" s="10">
        <v>0.05</v>
      </c>
    </row>
    <row r="10" spans="1:8" ht="21" customHeight="1">
      <c r="A10" s="59" t="s">
        <v>10</v>
      </c>
      <c r="B10" s="59"/>
      <c r="C10" s="59" t="s">
        <v>10</v>
      </c>
      <c r="D10" s="59" t="s">
        <v>12</v>
      </c>
      <c r="E10" s="61" t="s">
        <v>412</v>
      </c>
      <c r="F10" t="s">
        <v>466</v>
      </c>
      <c r="G10" s="10"/>
    </row>
    <row r="11" spans="1:8" ht="26.25">
      <c r="A11" s="60" t="s">
        <v>11</v>
      </c>
      <c r="B11" s="60"/>
      <c r="C11" s="60" t="s">
        <v>11</v>
      </c>
      <c r="D11" s="60" t="s">
        <v>97</v>
      </c>
      <c r="E11" s="52" t="s">
        <v>467</v>
      </c>
      <c r="F11" s="11" t="s">
        <v>468</v>
      </c>
      <c r="G11" s="13">
        <f>SUM(G13*G12*(1+G14))</f>
        <v>1.1287499999999999</v>
      </c>
      <c r="H11" s="13"/>
    </row>
    <row r="12" spans="1:8" ht="26.25">
      <c r="A12" s="60" t="s">
        <v>11</v>
      </c>
      <c r="B12" s="60"/>
      <c r="C12" s="60" t="s">
        <v>11</v>
      </c>
      <c r="D12" s="60" t="s">
        <v>97</v>
      </c>
      <c r="E12" s="52" t="s">
        <v>469</v>
      </c>
      <c r="F12" s="11" t="s">
        <v>470</v>
      </c>
      <c r="G12" s="13">
        <f>G32</f>
        <v>0.25</v>
      </c>
      <c r="H12" s="11" t="s">
        <v>461</v>
      </c>
    </row>
    <row r="13" spans="1:8" ht="30">
      <c r="A13" s="59" t="s">
        <v>10</v>
      </c>
      <c r="B13" s="59"/>
      <c r="C13" s="59" t="s">
        <v>10</v>
      </c>
      <c r="D13" s="59" t="s">
        <v>128</v>
      </c>
      <c r="E13" s="53" t="s">
        <v>471</v>
      </c>
      <c r="F13" s="8" t="s">
        <v>472</v>
      </c>
      <c r="G13" s="10">
        <v>4.3</v>
      </c>
    </row>
    <row r="14" spans="1:8" ht="30">
      <c r="A14" s="59" t="s">
        <v>10</v>
      </c>
      <c r="B14" s="59"/>
      <c r="C14" s="59" t="s">
        <v>10</v>
      </c>
      <c r="D14" s="59" t="s">
        <v>128</v>
      </c>
      <c r="E14" s="53" t="s">
        <v>473</v>
      </c>
      <c r="F14" s="8" t="s">
        <v>474</v>
      </c>
      <c r="G14" s="10">
        <v>0.05</v>
      </c>
    </row>
    <row r="15" spans="1:8" ht="30" customHeight="1">
      <c r="A15" s="59" t="s">
        <v>10</v>
      </c>
      <c r="B15" s="59"/>
      <c r="C15" s="59" t="s">
        <v>10</v>
      </c>
      <c r="D15" s="59" t="s">
        <v>12</v>
      </c>
      <c r="E15" s="61" t="s">
        <v>198</v>
      </c>
      <c r="F15" t="s">
        <v>475</v>
      </c>
      <c r="G15" s="10"/>
    </row>
    <row r="16" spans="1:8" ht="26.25">
      <c r="A16" s="60" t="s">
        <v>11</v>
      </c>
      <c r="B16" s="60"/>
      <c r="C16" s="60" t="s">
        <v>11</v>
      </c>
      <c r="D16" s="60" t="s">
        <v>97</v>
      </c>
      <c r="E16" s="52" t="s">
        <v>476</v>
      </c>
      <c r="F16" s="11" t="s">
        <v>477</v>
      </c>
      <c r="G16" s="13">
        <f>SUM(G18*G17*(1+G19))</f>
        <v>0.39375000000000004</v>
      </c>
      <c r="H16" s="13"/>
    </row>
    <row r="17" spans="1:8" ht="26.25">
      <c r="A17" s="60" t="s">
        <v>11</v>
      </c>
      <c r="B17" s="60"/>
      <c r="C17" s="60" t="s">
        <v>11</v>
      </c>
      <c r="D17" s="60" t="s">
        <v>97</v>
      </c>
      <c r="E17" s="52" t="s">
        <v>478</v>
      </c>
      <c r="F17" s="11" t="s">
        <v>479</v>
      </c>
      <c r="G17" s="13">
        <f>G32</f>
        <v>0.25</v>
      </c>
      <c r="H17" s="11" t="s">
        <v>461</v>
      </c>
    </row>
    <row r="18" spans="1:8" ht="26.25">
      <c r="A18" s="59" t="s">
        <v>10</v>
      </c>
      <c r="B18" s="59"/>
      <c r="C18" s="59" t="s">
        <v>10</v>
      </c>
      <c r="D18" s="59" t="s">
        <v>128</v>
      </c>
      <c r="E18" s="53" t="s">
        <v>480</v>
      </c>
      <c r="F18" s="8" t="s">
        <v>481</v>
      </c>
      <c r="G18" s="10">
        <v>1.5</v>
      </c>
    </row>
    <row r="19" spans="1:8" ht="30">
      <c r="A19" s="59" t="s">
        <v>10</v>
      </c>
      <c r="B19" s="59"/>
      <c r="C19" s="59" t="s">
        <v>10</v>
      </c>
      <c r="D19" s="59" t="s">
        <v>128</v>
      </c>
      <c r="E19" s="53" t="s">
        <v>482</v>
      </c>
      <c r="F19" s="8" t="s">
        <v>483</v>
      </c>
      <c r="G19" s="10">
        <v>0.05</v>
      </c>
    </row>
    <row r="20" spans="1:8" ht="24" customHeight="1">
      <c r="A20" s="59" t="s">
        <v>10</v>
      </c>
      <c r="B20" s="59"/>
      <c r="C20" s="59" t="s">
        <v>10</v>
      </c>
      <c r="D20" s="59" t="s">
        <v>12</v>
      </c>
      <c r="E20" s="61" t="s">
        <v>484</v>
      </c>
      <c r="F20" t="s">
        <v>485</v>
      </c>
      <c r="G20" s="10"/>
    </row>
    <row r="21" spans="1:8" ht="36" customHeight="1">
      <c r="A21" s="117" t="s">
        <v>486</v>
      </c>
      <c r="B21" s="117"/>
      <c r="C21" s="117"/>
      <c r="D21" s="117"/>
      <c r="E21" s="117"/>
      <c r="F21" s="117"/>
      <c r="G21" s="117"/>
      <c r="H21" s="117"/>
    </row>
    <row r="22" spans="1:8" ht="28.5" customHeight="1">
      <c r="A22" s="12" t="s">
        <v>11</v>
      </c>
      <c r="B22" s="12"/>
      <c r="C22" s="12" t="s">
        <v>11</v>
      </c>
      <c r="D22" s="12" t="s">
        <v>97</v>
      </c>
      <c r="E22" s="52" t="s">
        <v>487</v>
      </c>
      <c r="F22" s="11" t="s">
        <v>488</v>
      </c>
      <c r="G22" s="13">
        <f>11400*1.3*G24</f>
        <v>0</v>
      </c>
      <c r="H22" s="13"/>
    </row>
    <row r="23" spans="1:8" ht="28.5" customHeight="1">
      <c r="A23" s="12" t="s">
        <v>11</v>
      </c>
      <c r="B23" s="12"/>
      <c r="C23" s="12" t="s">
        <v>11</v>
      </c>
      <c r="D23" s="12" t="s">
        <v>97</v>
      </c>
      <c r="E23" s="52" t="s">
        <v>489</v>
      </c>
      <c r="F23" s="11" t="s">
        <v>490</v>
      </c>
      <c r="G23" s="13">
        <f>11400*1.3*G26</f>
        <v>0</v>
      </c>
      <c r="H23" s="13"/>
    </row>
    <row r="24" spans="1:8" ht="30">
      <c r="A24" t="s">
        <v>11</v>
      </c>
      <c r="C24" t="s">
        <v>10</v>
      </c>
      <c r="D24" t="s">
        <v>128</v>
      </c>
      <c r="E24" s="53" t="s">
        <v>491</v>
      </c>
      <c r="F24" s="8" t="s">
        <v>492</v>
      </c>
    </row>
    <row r="25" spans="1:8" ht="30">
      <c r="A25" t="s">
        <v>10</v>
      </c>
      <c r="C25" t="s">
        <v>10</v>
      </c>
      <c r="D25" t="s">
        <v>12</v>
      </c>
      <c r="E25" s="53" t="s">
        <v>412</v>
      </c>
      <c r="F25" s="8" t="s">
        <v>493</v>
      </c>
    </row>
    <row r="26" spans="1:8" ht="30">
      <c r="A26" t="s">
        <v>11</v>
      </c>
      <c r="C26" t="s">
        <v>10</v>
      </c>
      <c r="D26" t="s">
        <v>128</v>
      </c>
      <c r="E26" s="53" t="s">
        <v>494</v>
      </c>
      <c r="F26" s="8" t="s">
        <v>495</v>
      </c>
    </row>
    <row r="27" spans="1:8" ht="30">
      <c r="A27" t="s">
        <v>10</v>
      </c>
      <c r="C27" t="s">
        <v>10</v>
      </c>
      <c r="D27" t="s">
        <v>12</v>
      </c>
      <c r="E27" s="53" t="s">
        <v>484</v>
      </c>
      <c r="F27" s="8" t="s">
        <v>496</v>
      </c>
    </row>
    <row r="28" spans="1:8" ht="21">
      <c r="A28" s="115" t="s">
        <v>497</v>
      </c>
      <c r="B28" s="115"/>
      <c r="C28" s="115"/>
      <c r="D28" s="115"/>
      <c r="E28" s="115"/>
      <c r="F28" s="115"/>
      <c r="G28" s="115"/>
      <c r="H28" s="115"/>
    </row>
    <row r="29" spans="1:8" ht="92.25" customHeight="1">
      <c r="A29" s="26" t="s">
        <v>10</v>
      </c>
      <c r="B29" s="26"/>
      <c r="C29" s="26" t="s">
        <v>11</v>
      </c>
      <c r="D29" s="26" t="s">
        <v>452</v>
      </c>
      <c r="E29" s="27" t="s">
        <v>498</v>
      </c>
      <c r="F29" s="62" t="s">
        <v>499</v>
      </c>
      <c r="G29" s="26" t="s">
        <v>500</v>
      </c>
      <c r="H29" s="27" t="s">
        <v>501</v>
      </c>
    </row>
    <row r="30" spans="1:8" ht="102" customHeight="1">
      <c r="A30" s="26" t="s">
        <v>10</v>
      </c>
      <c r="B30" s="26"/>
      <c r="C30" s="26" t="s">
        <v>11</v>
      </c>
      <c r="D30" s="26" t="s">
        <v>452</v>
      </c>
      <c r="E30" s="63" t="s">
        <v>502</v>
      </c>
      <c r="F30" s="62" t="s">
        <v>503</v>
      </c>
      <c r="G30" s="63" t="s">
        <v>504</v>
      </c>
      <c r="H30" s="51"/>
    </row>
    <row r="31" spans="1:8" ht="68.25" customHeight="1">
      <c r="A31" s="26" t="s">
        <v>10</v>
      </c>
      <c r="B31" s="26"/>
      <c r="C31" s="26" t="s">
        <v>11</v>
      </c>
      <c r="D31" s="26" t="s">
        <v>452</v>
      </c>
      <c r="E31" s="63" t="s">
        <v>505</v>
      </c>
      <c r="F31" s="62" t="s">
        <v>506</v>
      </c>
      <c r="G31" s="63" t="s">
        <v>11</v>
      </c>
      <c r="H31" s="51" t="s">
        <v>507</v>
      </c>
    </row>
    <row r="32" spans="1:8" ht="70.5" customHeight="1">
      <c r="A32" s="12" t="s">
        <v>11</v>
      </c>
      <c r="B32" s="12"/>
      <c r="C32" s="12" t="s">
        <v>11</v>
      </c>
      <c r="D32" s="12" t="s">
        <v>97</v>
      </c>
      <c r="E32" s="64" t="s">
        <v>508</v>
      </c>
      <c r="F32" s="11" t="s">
        <v>509</v>
      </c>
      <c r="G32" s="13">
        <v>0.25</v>
      </c>
      <c r="H32" s="48" t="s">
        <v>510</v>
      </c>
    </row>
    <row r="33" spans="1:8" ht="31.5" customHeight="1">
      <c r="A33" s="113" t="s">
        <v>511</v>
      </c>
      <c r="B33" s="113"/>
      <c r="C33" s="113"/>
      <c r="D33" s="113"/>
      <c r="E33" s="113"/>
      <c r="F33" s="113"/>
      <c r="G33" s="113"/>
      <c r="H33" s="113"/>
    </row>
    <row r="34" spans="1:8" ht="105">
      <c r="A34" s="26" t="s">
        <v>10</v>
      </c>
      <c r="B34" s="26"/>
      <c r="C34" s="26" t="s">
        <v>11</v>
      </c>
      <c r="D34" s="26" t="s">
        <v>452</v>
      </c>
      <c r="E34" s="62" t="s">
        <v>512</v>
      </c>
      <c r="F34" s="62" t="s">
        <v>513</v>
      </c>
      <c r="G34" s="62" t="s">
        <v>514</v>
      </c>
      <c r="H34" s="62" t="s">
        <v>515</v>
      </c>
    </row>
    <row r="35" spans="1:8" ht="45">
      <c r="A35" s="26" t="s">
        <v>10</v>
      </c>
      <c r="B35" s="26"/>
      <c r="C35" s="26" t="s">
        <v>11</v>
      </c>
      <c r="D35" s="26" t="s">
        <v>452</v>
      </c>
      <c r="E35" s="62" t="s">
        <v>516</v>
      </c>
      <c r="F35" s="62" t="s">
        <v>517</v>
      </c>
      <c r="G35" s="63" t="s">
        <v>518</v>
      </c>
      <c r="H35" s="62" t="s">
        <v>519</v>
      </c>
    </row>
    <row r="36" spans="1:8" ht="90">
      <c r="A36" s="26" t="s">
        <v>10</v>
      </c>
      <c r="B36" s="26"/>
      <c r="C36" s="26" t="s">
        <v>11</v>
      </c>
      <c r="D36" s="26" t="s">
        <v>452</v>
      </c>
      <c r="E36" s="62" t="s">
        <v>520</v>
      </c>
      <c r="F36" s="62" t="s">
        <v>521</v>
      </c>
      <c r="G36" s="62" t="s">
        <v>522</v>
      </c>
      <c r="H36" s="51" t="s">
        <v>523</v>
      </c>
    </row>
    <row r="37" spans="1:8" ht="63" customHeight="1">
      <c r="A37" s="12" t="s">
        <v>11</v>
      </c>
      <c r="B37" s="12"/>
      <c r="C37" s="12" t="s">
        <v>11</v>
      </c>
      <c r="D37" s="12" t="s">
        <v>97</v>
      </c>
      <c r="E37" s="64" t="s">
        <v>508</v>
      </c>
      <c r="F37" s="11" t="s">
        <v>524</v>
      </c>
      <c r="G37" s="13">
        <f>'Tool 05.2 Power Plants'!G3</f>
        <v>1.7670440000000003</v>
      </c>
      <c r="H37" s="13" t="s">
        <v>525</v>
      </c>
    </row>
    <row r="38" spans="1:8" ht="49.5" customHeight="1">
      <c r="A38" s="12" t="s">
        <v>11</v>
      </c>
      <c r="B38" s="12"/>
      <c r="C38" s="12" t="s">
        <v>11</v>
      </c>
      <c r="D38" s="12" t="s">
        <v>97</v>
      </c>
      <c r="E38" s="64" t="s">
        <v>508</v>
      </c>
      <c r="F38" s="11" t="s">
        <v>526</v>
      </c>
      <c r="G38" s="13">
        <f>'Tool 05.2 Power Plants'!G4</f>
        <v>1.7253240000000001</v>
      </c>
      <c r="H38" s="21" t="s">
        <v>527</v>
      </c>
    </row>
    <row r="39" spans="1:8" ht="21">
      <c r="A39" s="113" t="s">
        <v>528</v>
      </c>
      <c r="B39" s="113"/>
      <c r="C39" s="113"/>
      <c r="D39" s="113"/>
      <c r="E39" s="113"/>
      <c r="F39" s="113"/>
      <c r="G39" s="113"/>
      <c r="H39" s="113"/>
    </row>
    <row r="40" spans="1:8" ht="90">
      <c r="A40" s="26" t="s">
        <v>10</v>
      </c>
      <c r="B40" s="26"/>
      <c r="C40" s="26" t="s">
        <v>11</v>
      </c>
      <c r="D40" s="26" t="s">
        <v>452</v>
      </c>
      <c r="E40" s="62" t="s">
        <v>529</v>
      </c>
      <c r="F40" s="62" t="s">
        <v>530</v>
      </c>
      <c r="G40" s="63" t="s">
        <v>269</v>
      </c>
      <c r="H40" s="51" t="s">
        <v>531</v>
      </c>
    </row>
    <row r="41" spans="1:8" ht="45" customHeight="1">
      <c r="A41" s="12" t="s">
        <v>11</v>
      </c>
      <c r="B41" s="12"/>
      <c r="C41" s="12" t="s">
        <v>11</v>
      </c>
      <c r="D41" s="12" t="s">
        <v>97</v>
      </c>
      <c r="E41" s="64" t="s">
        <v>508</v>
      </c>
      <c r="F41" s="11" t="s">
        <v>509</v>
      </c>
      <c r="G41" s="13">
        <v>1.3</v>
      </c>
      <c r="H41" s="13" t="s">
        <v>532</v>
      </c>
    </row>
    <row r="42" spans="1:8" ht="34.5" customHeight="1">
      <c r="A42" s="12" t="s">
        <v>11</v>
      </c>
      <c r="B42" s="12"/>
      <c r="C42" s="12" t="s">
        <v>11</v>
      </c>
      <c r="D42" s="12" t="s">
        <v>97</v>
      </c>
      <c r="E42" s="64" t="s">
        <v>508</v>
      </c>
      <c r="F42" s="11" t="s">
        <v>533</v>
      </c>
      <c r="G42" s="13">
        <v>0.4</v>
      </c>
      <c r="H42" s="13" t="s">
        <v>534</v>
      </c>
    </row>
    <row r="43" spans="1:8" ht="21">
      <c r="A43" s="113" t="s">
        <v>535</v>
      </c>
      <c r="B43" s="113"/>
      <c r="C43" s="113"/>
      <c r="D43" s="113"/>
      <c r="E43" s="113"/>
      <c r="F43" s="113"/>
      <c r="G43" s="113"/>
      <c r="H43" s="113"/>
    </row>
    <row r="44" spans="1:8" ht="225">
      <c r="A44" s="26" t="s">
        <v>10</v>
      </c>
      <c r="B44" s="26"/>
      <c r="C44" s="26" t="s">
        <v>11</v>
      </c>
      <c r="D44" s="26" t="s">
        <v>452</v>
      </c>
      <c r="E44" s="26"/>
      <c r="F44" s="62" t="s">
        <v>536</v>
      </c>
      <c r="G44" s="63" t="s">
        <v>537</v>
      </c>
      <c r="H44" s="27"/>
    </row>
    <row r="45" spans="1:8">
      <c r="A45" s="26" t="s">
        <v>10</v>
      </c>
      <c r="B45" s="26"/>
      <c r="C45" s="26" t="s">
        <v>11</v>
      </c>
      <c r="D45" s="26" t="s">
        <v>89</v>
      </c>
      <c r="E45" s="26"/>
      <c r="F45" s="27" t="s">
        <v>538</v>
      </c>
      <c r="G45" s="27" t="s">
        <v>539</v>
      </c>
      <c r="H45" s="27"/>
    </row>
    <row r="46" spans="1:8" ht="36.75" customHeight="1">
      <c r="A46" s="26" t="s">
        <v>10</v>
      </c>
      <c r="B46" s="26"/>
      <c r="C46" s="26" t="s">
        <v>11</v>
      </c>
      <c r="D46" s="26" t="s">
        <v>89</v>
      </c>
      <c r="E46" s="26"/>
      <c r="F46" s="27" t="s">
        <v>540</v>
      </c>
      <c r="G46" s="27" t="s">
        <v>541</v>
      </c>
      <c r="H46" s="27"/>
    </row>
    <row r="47" spans="1:8" ht="60">
      <c r="A47" s="26" t="s">
        <v>10</v>
      </c>
      <c r="B47" s="26"/>
      <c r="C47" s="26" t="s">
        <v>11</v>
      </c>
      <c r="D47" s="26" t="s">
        <v>89</v>
      </c>
      <c r="E47" s="26"/>
      <c r="F47" s="27" t="s">
        <v>542</v>
      </c>
      <c r="G47" s="27" t="s">
        <v>543</v>
      </c>
      <c r="H47" s="27" t="s">
        <v>544</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8829751C-53F9-47BD-9ED1-9E39AFE34850}">
      <formula1>"Option A1,Option A2"</formula1>
    </dataValidation>
    <dataValidation type="list" allowBlank="1" showInputMessage="1" showErrorMessage="1" sqref="G30" xr:uid="{C2EA1BA9-2B14-47F8-8FA5-00E2249A753F}">
      <formula1>"Option 2.1,Option 2.2"</formula1>
    </dataValidation>
    <dataValidation type="list" allowBlank="1" showInputMessage="1" showErrorMessage="1" sqref="G31" xr:uid="{B8023A05-7A82-4AA6-AC64-37DD55D7A3E7}">
      <formula1>"Yes,No"</formula1>
    </dataValidation>
    <dataValidation type="list" allowBlank="1" showInputMessage="1" showErrorMessage="1" sqref="G4" xr:uid="{B584C6B8-1A74-4C9C-9E6B-3BC98D7F5335}">
      <formula1>"A: From the Grid,B: Off-Grid Captive Power Plants,C: From the Grid and Captive Power Plant"</formula1>
    </dataValidation>
    <dataValidation type="list" allowBlank="1" showInputMessage="1" showErrorMessage="1" sqref="G34" xr:uid="{813C5104-6471-43ED-A77B-9D36B4B509F2}">
      <formula1>"Yes: Alternative Approach, No: Generic Approach"</formula1>
    </dataValidation>
    <dataValidation type="list" allowBlank="1" showInputMessage="1" showErrorMessage="1" sqref="G35" xr:uid="{748432C1-BDAB-4CDA-9664-6924389F0A9B}">
      <formula1>"Monitored Data, Default Values"</formula1>
    </dataValidation>
    <dataValidation type="list" allowBlank="1" showInputMessage="1" showErrorMessage="1" sqref="G36" xr:uid="{935CFF38-7FA8-42B8-A102-481890DF8668}">
      <formula1>"Heat Generation ignored,Fuel consumption between electricity and heat generation"</formula1>
    </dataValidation>
    <dataValidation type="list" allowBlank="1" showInputMessage="1" showErrorMessage="1" sqref="G40" xr:uid="{98826640-89E7-4307-9017-35ACDF878030}">
      <formula1>"Option A,Option B"</formula1>
    </dataValidation>
    <dataValidation type="list" allowBlank="1" showInputMessage="1" showErrorMessage="1" sqref="G44" xr:uid="{48800CEB-88E5-442B-8B17-6721680599EE}">
      <formula1>"Case 1,Case 2, Case 3"</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575ED-1757-4149-806E-649B3365A84E}">
  <dimension ref="A1:H40"/>
  <sheetViews>
    <sheetView topLeftCell="A41" workbookViewId="0">
      <selection activeCell="G6" sqref="G6"/>
    </sheetView>
  </sheetViews>
  <sheetFormatPr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36" t="s">
        <v>0</v>
      </c>
      <c r="B1" s="36" t="s">
        <v>1</v>
      </c>
      <c r="C1" s="35" t="s">
        <v>257</v>
      </c>
      <c r="D1" s="36" t="s">
        <v>3</v>
      </c>
      <c r="E1" s="36" t="s">
        <v>5</v>
      </c>
      <c r="F1" s="35" t="s">
        <v>6</v>
      </c>
      <c r="G1" s="36" t="s">
        <v>7</v>
      </c>
      <c r="H1" s="36" t="s">
        <v>8</v>
      </c>
    </row>
    <row r="2" spans="1:8" ht="18.75">
      <c r="A2" s="118" t="s">
        <v>545</v>
      </c>
      <c r="B2" s="118"/>
      <c r="C2" s="118"/>
      <c r="D2" s="118"/>
      <c r="E2" s="118"/>
      <c r="F2" s="118"/>
      <c r="G2" s="118"/>
      <c r="H2" s="118"/>
    </row>
    <row r="3" spans="1:8" ht="30.75">
      <c r="A3" s="12" t="s">
        <v>11</v>
      </c>
      <c r="B3" s="12"/>
      <c r="C3" s="12" t="s">
        <v>11</v>
      </c>
      <c r="D3" s="12" t="s">
        <v>340</v>
      </c>
      <c r="E3" s="64" t="s">
        <v>508</v>
      </c>
      <c r="F3" s="11" t="s">
        <v>546</v>
      </c>
      <c r="G3" s="13">
        <f>G7+G19+G31</f>
        <v>1.7670440000000003</v>
      </c>
      <c r="H3" s="65" t="s">
        <v>547</v>
      </c>
    </row>
    <row r="4" spans="1:8" ht="30.75">
      <c r="A4" s="12" t="s">
        <v>11</v>
      </c>
      <c r="B4" s="12"/>
      <c r="C4" s="12" t="s">
        <v>11</v>
      </c>
      <c r="D4" s="12" t="s">
        <v>340</v>
      </c>
      <c r="E4" s="64" t="s">
        <v>508</v>
      </c>
      <c r="F4" s="11" t="s">
        <v>526</v>
      </c>
      <c r="G4" s="13">
        <f>G8+G20+G32</f>
        <v>1.7253240000000001</v>
      </c>
      <c r="H4" s="14" t="s">
        <v>548</v>
      </c>
    </row>
    <row r="5" spans="1:8" ht="18.75">
      <c r="A5" s="118" t="s">
        <v>549</v>
      </c>
      <c r="B5" s="118"/>
      <c r="C5" s="118"/>
      <c r="D5" s="118"/>
      <c r="E5" s="118"/>
      <c r="F5" s="118"/>
      <c r="G5" s="118"/>
      <c r="H5" s="118"/>
    </row>
    <row r="6" spans="1:8">
      <c r="A6" s="9" t="s">
        <v>10</v>
      </c>
      <c r="B6" s="9"/>
      <c r="C6" s="9" t="s">
        <v>10</v>
      </c>
      <c r="D6" s="9" t="s">
        <v>12</v>
      </c>
      <c r="E6" s="25"/>
      <c r="F6" s="9" t="s">
        <v>550</v>
      </c>
      <c r="G6" s="9" t="s">
        <v>551</v>
      </c>
    </row>
    <row r="7" spans="1:8" ht="30.75">
      <c r="A7" s="12" t="s">
        <v>11</v>
      </c>
      <c r="B7" s="12"/>
      <c r="C7" s="12" t="s">
        <v>11</v>
      </c>
      <c r="D7" s="12" t="s">
        <v>340</v>
      </c>
      <c r="E7" s="64" t="s">
        <v>508</v>
      </c>
      <c r="F7" s="11" t="s">
        <v>546</v>
      </c>
      <c r="G7" s="13">
        <f>(G12*G10*G11)/G13</f>
        <v>0.60550999999999999</v>
      </c>
      <c r="H7" s="12"/>
    </row>
    <row r="8" spans="1:8" ht="30.75">
      <c r="A8" s="12" t="s">
        <v>11</v>
      </c>
      <c r="B8" s="12"/>
      <c r="C8" s="12" t="s">
        <v>11</v>
      </c>
      <c r="D8" s="12" t="s">
        <v>340</v>
      </c>
      <c r="E8" s="64" t="s">
        <v>508</v>
      </c>
      <c r="F8" s="11" t="s">
        <v>526</v>
      </c>
      <c r="G8" s="13">
        <f>ABS(((G12*G10)-(G14/G15))*G11)/G13</f>
        <v>0.59040999999999999</v>
      </c>
      <c r="H8" s="12"/>
    </row>
    <row r="9" spans="1:8">
      <c r="A9" s="26" t="s">
        <v>10</v>
      </c>
      <c r="B9" s="26"/>
      <c r="C9" s="26" t="s">
        <v>11</v>
      </c>
      <c r="D9" s="26" t="s">
        <v>304</v>
      </c>
      <c r="E9" s="26"/>
      <c r="F9" s="27" t="s">
        <v>552</v>
      </c>
      <c r="G9" s="33" t="s">
        <v>553</v>
      </c>
      <c r="H9" s="26"/>
    </row>
    <row r="10" spans="1:8" ht="30">
      <c r="A10" s="12" t="s">
        <v>11</v>
      </c>
      <c r="B10" s="12"/>
      <c r="C10" s="12" t="s">
        <v>11</v>
      </c>
      <c r="D10" s="12" t="s">
        <v>340</v>
      </c>
      <c r="E10" s="66" t="s">
        <v>554</v>
      </c>
      <c r="F10" s="11" t="s">
        <v>555</v>
      </c>
      <c r="G10" s="13">
        <f>IF(G9="","",VLOOKUP(G9,'Tool 05.3 Default Values'!B4:D56,2,FALSE))</f>
        <v>40.1</v>
      </c>
      <c r="H10" s="11" t="s">
        <v>556</v>
      </c>
    </row>
    <row r="11" spans="1:8" ht="30">
      <c r="A11" s="12" t="s">
        <v>11</v>
      </c>
      <c r="B11" s="12"/>
      <c r="C11" s="12" t="s">
        <v>11</v>
      </c>
      <c r="D11" s="12" t="s">
        <v>340</v>
      </c>
      <c r="E11" s="66" t="s">
        <v>557</v>
      </c>
      <c r="F11" s="11" t="s">
        <v>558</v>
      </c>
      <c r="G11" s="13">
        <f>IF(G9="","",VLOOKUP(G9,'Tool 05.3 Default Values'!B4:D56,3,FALSE))*0.001</f>
        <v>75.5</v>
      </c>
      <c r="H11" s="11" t="s">
        <v>559</v>
      </c>
    </row>
    <row r="12" spans="1:8" ht="30">
      <c r="A12" t="s">
        <v>10</v>
      </c>
      <c r="C12" t="s">
        <v>10</v>
      </c>
      <c r="D12" t="s">
        <v>128</v>
      </c>
      <c r="E12" s="67" t="s">
        <v>560</v>
      </c>
      <c r="F12" s="8" t="s">
        <v>561</v>
      </c>
      <c r="G12" s="10">
        <v>2</v>
      </c>
    </row>
    <row r="13" spans="1:8" ht="30">
      <c r="A13" t="s">
        <v>10</v>
      </c>
      <c r="C13" t="s">
        <v>10</v>
      </c>
      <c r="D13" t="s">
        <v>128</v>
      </c>
      <c r="E13" s="67" t="s">
        <v>562</v>
      </c>
      <c r="F13" s="8" t="s">
        <v>563</v>
      </c>
      <c r="G13" s="10">
        <v>10000</v>
      </c>
    </row>
    <row r="14" spans="1:8" ht="60">
      <c r="A14" t="s">
        <v>10</v>
      </c>
      <c r="C14" t="s">
        <v>10</v>
      </c>
      <c r="D14" t="s">
        <v>128</v>
      </c>
      <c r="E14" s="67" t="s">
        <v>564</v>
      </c>
      <c r="F14" s="8" t="s">
        <v>565</v>
      </c>
      <c r="G14" s="10">
        <v>2</v>
      </c>
    </row>
    <row r="15" spans="1:8" ht="33">
      <c r="A15" s="12" t="s">
        <v>11</v>
      </c>
      <c r="B15" s="12"/>
      <c r="C15" s="12" t="s">
        <v>11</v>
      </c>
      <c r="D15" s="12" t="s">
        <v>340</v>
      </c>
      <c r="E15" s="54" t="s">
        <v>566</v>
      </c>
      <c r="F15" s="11" t="s">
        <v>567</v>
      </c>
      <c r="G15" s="13">
        <v>1</v>
      </c>
      <c r="H15" s="12" t="s">
        <v>568</v>
      </c>
    </row>
    <row r="16" spans="1:8" ht="33">
      <c r="A16" s="12" t="s">
        <v>11</v>
      </c>
      <c r="B16" s="12"/>
      <c r="C16" s="12" t="s">
        <v>11</v>
      </c>
      <c r="D16" s="12" t="s">
        <v>340</v>
      </c>
      <c r="E16" s="54" t="s">
        <v>566</v>
      </c>
      <c r="F16" s="11" t="s">
        <v>569</v>
      </c>
      <c r="G16" s="13">
        <v>0.6</v>
      </c>
      <c r="H16" s="12" t="s">
        <v>568</v>
      </c>
    </row>
    <row r="17" spans="1:8" ht="18.75">
      <c r="A17" s="118" t="s">
        <v>549</v>
      </c>
      <c r="B17" s="118"/>
      <c r="C17" s="118"/>
      <c r="D17" s="118"/>
      <c r="E17" s="118"/>
      <c r="F17" s="118"/>
      <c r="G17" s="118"/>
      <c r="H17" s="118"/>
    </row>
    <row r="18" spans="1:8">
      <c r="A18" s="9" t="s">
        <v>10</v>
      </c>
      <c r="B18" s="9"/>
      <c r="C18" s="9" t="s">
        <v>10</v>
      </c>
      <c r="D18" s="9" t="s">
        <v>12</v>
      </c>
      <c r="E18" s="25"/>
      <c r="F18" s="9" t="s">
        <v>550</v>
      </c>
      <c r="G18" s="9" t="s">
        <v>570</v>
      </c>
    </row>
    <row r="19" spans="1:8" ht="30.75">
      <c r="A19" s="12" t="s">
        <v>11</v>
      </c>
      <c r="B19" s="12"/>
      <c r="C19" s="12" t="s">
        <v>11</v>
      </c>
      <c r="D19" s="12" t="s">
        <v>340</v>
      </c>
      <c r="E19" s="64" t="s">
        <v>508</v>
      </c>
      <c r="F19" s="11" t="s">
        <v>546</v>
      </c>
      <c r="G19" s="13">
        <f>(G24*G22*G23)/G25</f>
        <v>0.61934400000000001</v>
      </c>
      <c r="H19" s="12"/>
    </row>
    <row r="20" spans="1:8" ht="30.75">
      <c r="A20" s="12" t="s">
        <v>11</v>
      </c>
      <c r="B20" s="12"/>
      <c r="C20" s="12" t="s">
        <v>11</v>
      </c>
      <c r="D20" s="12" t="s">
        <v>340</v>
      </c>
      <c r="E20" s="64" t="s">
        <v>508</v>
      </c>
      <c r="F20" s="11" t="s">
        <v>526</v>
      </c>
      <c r="G20" s="13">
        <f>ABS(((G24*G22)-(G26/G27))*G23)/G25</f>
        <v>0.60438399999999992</v>
      </c>
      <c r="H20" s="12"/>
    </row>
    <row r="21" spans="1:8">
      <c r="A21" s="26" t="s">
        <v>10</v>
      </c>
      <c r="B21" s="26"/>
      <c r="C21" s="26" t="s">
        <v>11</v>
      </c>
      <c r="D21" s="26" t="s">
        <v>304</v>
      </c>
      <c r="E21" s="26"/>
      <c r="F21" s="27" t="s">
        <v>552</v>
      </c>
      <c r="G21" s="33" t="s">
        <v>571</v>
      </c>
      <c r="H21" s="26"/>
    </row>
    <row r="22" spans="1:8" ht="30">
      <c r="A22" s="12" t="s">
        <v>11</v>
      </c>
      <c r="B22" s="12"/>
      <c r="C22" s="12" t="s">
        <v>11</v>
      </c>
      <c r="D22" s="12" t="s">
        <v>340</v>
      </c>
      <c r="E22" s="66" t="s">
        <v>554</v>
      </c>
      <c r="F22" s="11" t="s">
        <v>555</v>
      </c>
      <c r="G22" s="13">
        <f>IF(G21="","",VLOOKUP(G21,'Tool 05.3 Default Values'!B4:D56,2,FALSE))</f>
        <v>41.4</v>
      </c>
      <c r="H22" s="11" t="s">
        <v>556</v>
      </c>
    </row>
    <row r="23" spans="1:8" ht="30">
      <c r="A23" s="12" t="s">
        <v>11</v>
      </c>
      <c r="B23" s="12"/>
      <c r="C23" s="12" t="s">
        <v>11</v>
      </c>
      <c r="D23" s="12" t="s">
        <v>340</v>
      </c>
      <c r="E23" s="66" t="s">
        <v>557</v>
      </c>
      <c r="F23" s="11" t="s">
        <v>558</v>
      </c>
      <c r="G23" s="13">
        <f>IF(G21="","",VLOOKUP(G21,'Tool 05.3 Default Values'!B4:D56,3,FALSE))*0.001</f>
        <v>74.8</v>
      </c>
      <c r="H23" s="11" t="s">
        <v>559</v>
      </c>
    </row>
    <row r="24" spans="1:8" ht="30">
      <c r="A24" t="s">
        <v>10</v>
      </c>
      <c r="C24" t="s">
        <v>10</v>
      </c>
      <c r="D24" t="s">
        <v>128</v>
      </c>
      <c r="E24" s="67" t="s">
        <v>560</v>
      </c>
      <c r="F24" s="8" t="s">
        <v>561</v>
      </c>
      <c r="G24" s="10">
        <v>2</v>
      </c>
    </row>
    <row r="25" spans="1:8" ht="30">
      <c r="A25" t="s">
        <v>10</v>
      </c>
      <c r="C25" t="s">
        <v>10</v>
      </c>
      <c r="D25" t="s">
        <v>128</v>
      </c>
      <c r="E25" s="67" t="s">
        <v>562</v>
      </c>
      <c r="F25" s="8" t="s">
        <v>563</v>
      </c>
      <c r="G25" s="10">
        <v>10000</v>
      </c>
    </row>
    <row r="26" spans="1:8" ht="60">
      <c r="A26" t="s">
        <v>10</v>
      </c>
      <c r="C26" t="s">
        <v>10</v>
      </c>
      <c r="D26" t="s">
        <v>128</v>
      </c>
      <c r="E26" s="67" t="s">
        <v>564</v>
      </c>
      <c r="F26" s="8" t="s">
        <v>565</v>
      </c>
      <c r="G26" s="10">
        <v>2</v>
      </c>
    </row>
    <row r="27" spans="1:8" ht="33">
      <c r="A27" s="12" t="s">
        <v>11</v>
      </c>
      <c r="B27" s="12"/>
      <c r="C27" s="12" t="s">
        <v>11</v>
      </c>
      <c r="D27" s="12" t="s">
        <v>340</v>
      </c>
      <c r="E27" s="54" t="s">
        <v>566</v>
      </c>
      <c r="F27" s="11" t="s">
        <v>567</v>
      </c>
      <c r="G27" s="13">
        <v>1</v>
      </c>
      <c r="H27" s="12" t="s">
        <v>568</v>
      </c>
    </row>
    <row r="28" spans="1:8" ht="33">
      <c r="A28" s="12" t="s">
        <v>11</v>
      </c>
      <c r="B28" s="12"/>
      <c r="C28" s="12" t="s">
        <v>11</v>
      </c>
      <c r="D28" s="12" t="s">
        <v>340</v>
      </c>
      <c r="E28" s="54" t="s">
        <v>566</v>
      </c>
      <c r="F28" s="11" t="s">
        <v>569</v>
      </c>
      <c r="G28" s="13">
        <v>0.6</v>
      </c>
      <c r="H28" s="12" t="s">
        <v>568</v>
      </c>
    </row>
    <row r="29" spans="1:8" ht="18.75">
      <c r="A29" s="118" t="s">
        <v>549</v>
      </c>
      <c r="B29" s="118"/>
      <c r="C29" s="118"/>
      <c r="D29" s="118"/>
      <c r="E29" s="118"/>
      <c r="F29" s="118"/>
      <c r="G29" s="118"/>
      <c r="H29" s="118"/>
    </row>
    <row r="30" spans="1:8">
      <c r="A30" s="9" t="s">
        <v>10</v>
      </c>
      <c r="B30" s="9"/>
      <c r="C30" s="9" t="s">
        <v>10</v>
      </c>
      <c r="D30" s="9" t="s">
        <v>12</v>
      </c>
      <c r="E30" s="25"/>
      <c r="F30" s="9" t="s">
        <v>550</v>
      </c>
      <c r="G30" s="9" t="s">
        <v>572</v>
      </c>
    </row>
    <row r="31" spans="1:8" ht="30.75">
      <c r="A31" s="12" t="s">
        <v>11</v>
      </c>
      <c r="B31" s="12"/>
      <c r="C31" s="12" t="s">
        <v>11</v>
      </c>
      <c r="D31" s="12" t="s">
        <v>340</v>
      </c>
      <c r="E31" s="64" t="s">
        <v>508</v>
      </c>
      <c r="F31" s="11" t="s">
        <v>546</v>
      </c>
      <c r="G31" s="13">
        <f>(G36*G34*G35)/G37</f>
        <v>0.54219000000000006</v>
      </c>
      <c r="H31" s="12"/>
    </row>
    <row r="32" spans="1:8" ht="30.75">
      <c r="A32" s="12" t="s">
        <v>11</v>
      </c>
      <c r="B32" s="12"/>
      <c r="C32" s="12" t="s">
        <v>11</v>
      </c>
      <c r="D32" s="12" t="s">
        <v>340</v>
      </c>
      <c r="E32" s="64" t="s">
        <v>508</v>
      </c>
      <c r="F32" s="11" t="s">
        <v>526</v>
      </c>
      <c r="G32" s="13">
        <f>ABS(((G36*G34)-(G38/G39))*G35)/G37</f>
        <v>0.53053000000000006</v>
      </c>
      <c r="H32" s="12"/>
    </row>
    <row r="33" spans="1:8">
      <c r="A33" s="26" t="s">
        <v>10</v>
      </c>
      <c r="B33" s="26"/>
      <c r="C33" s="26" t="s">
        <v>11</v>
      </c>
      <c r="D33" s="26" t="s">
        <v>304</v>
      </c>
      <c r="E33" s="26"/>
      <c r="F33" s="27" t="s">
        <v>552</v>
      </c>
      <c r="G33" s="33" t="s">
        <v>573</v>
      </c>
      <c r="H33" s="26"/>
    </row>
    <row r="34" spans="1:8" ht="30">
      <c r="A34" s="12" t="s">
        <v>11</v>
      </c>
      <c r="B34" s="12"/>
      <c r="C34" s="12" t="s">
        <v>11</v>
      </c>
      <c r="D34" s="12" t="s">
        <v>340</v>
      </c>
      <c r="E34" s="66" t="s">
        <v>554</v>
      </c>
      <c r="F34" s="11" t="s">
        <v>555</v>
      </c>
      <c r="G34" s="13">
        <f>IF(G33="","",VLOOKUP(G33,'Tool 05.3 Default Values'!B4:D56,2,FALSE))</f>
        <v>46.5</v>
      </c>
      <c r="H34" s="11" t="s">
        <v>556</v>
      </c>
    </row>
    <row r="35" spans="1:8" ht="30">
      <c r="A35" s="12" t="s">
        <v>11</v>
      </c>
      <c r="B35" s="12"/>
      <c r="C35" s="12" t="s">
        <v>11</v>
      </c>
      <c r="D35" s="12" t="s">
        <v>340</v>
      </c>
      <c r="E35" s="66" t="s">
        <v>557</v>
      </c>
      <c r="F35" s="11" t="s">
        <v>558</v>
      </c>
      <c r="G35" s="13">
        <f>IF(G33="","",VLOOKUP(G33,'Tool 05.3 Default Values'!B4:D56,3,FALSE))*0.001</f>
        <v>58.300000000000004</v>
      </c>
      <c r="H35" s="11" t="s">
        <v>559</v>
      </c>
    </row>
    <row r="36" spans="1:8" ht="30">
      <c r="A36" t="s">
        <v>10</v>
      </c>
      <c r="C36" t="s">
        <v>10</v>
      </c>
      <c r="D36" t="s">
        <v>128</v>
      </c>
      <c r="E36" s="67" t="s">
        <v>560</v>
      </c>
      <c r="F36" s="8" t="s">
        <v>561</v>
      </c>
      <c r="G36" s="10">
        <v>2</v>
      </c>
    </row>
    <row r="37" spans="1:8" ht="30">
      <c r="A37" t="s">
        <v>10</v>
      </c>
      <c r="C37" t="s">
        <v>10</v>
      </c>
      <c r="D37" t="s">
        <v>128</v>
      </c>
      <c r="E37" s="67" t="s">
        <v>562</v>
      </c>
      <c r="F37" s="8" t="s">
        <v>563</v>
      </c>
      <c r="G37" s="10">
        <v>10000</v>
      </c>
    </row>
    <row r="38" spans="1:8" ht="60">
      <c r="A38" t="s">
        <v>10</v>
      </c>
      <c r="C38" t="s">
        <v>10</v>
      </c>
      <c r="D38" t="s">
        <v>128</v>
      </c>
      <c r="E38" s="67" t="s">
        <v>564</v>
      </c>
      <c r="F38" s="8" t="s">
        <v>565</v>
      </c>
      <c r="G38" s="10">
        <v>2</v>
      </c>
    </row>
    <row r="39" spans="1:8" ht="33">
      <c r="A39" s="12" t="s">
        <v>11</v>
      </c>
      <c r="B39" s="12"/>
      <c r="C39" s="12" t="s">
        <v>11</v>
      </c>
      <c r="D39" s="12" t="s">
        <v>340</v>
      </c>
      <c r="E39" s="54" t="s">
        <v>566</v>
      </c>
      <c r="F39" s="11" t="s">
        <v>567</v>
      </c>
      <c r="G39" s="13">
        <v>1</v>
      </c>
      <c r="H39" s="12" t="s">
        <v>568</v>
      </c>
    </row>
    <row r="40" spans="1:8" ht="33">
      <c r="A40" s="12" t="s">
        <v>11</v>
      </c>
      <c r="B40" s="12"/>
      <c r="C40" s="12" t="s">
        <v>11</v>
      </c>
      <c r="D40" s="12" t="s">
        <v>340</v>
      </c>
      <c r="E40" s="54" t="s">
        <v>566</v>
      </c>
      <c r="F40" s="11" t="s">
        <v>569</v>
      </c>
      <c r="G40" s="13">
        <v>0.6</v>
      </c>
      <c r="H40" s="12" t="s">
        <v>568</v>
      </c>
    </row>
  </sheetData>
  <mergeCells count="4">
    <mergeCell ref="A2:H2"/>
    <mergeCell ref="A5:H5"/>
    <mergeCell ref="A17:H17"/>
    <mergeCell ref="A29:H29"/>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67A72EA-E7C7-4931-BC1F-2A339248E5BB}">
          <x14:formula1>
            <xm:f>'Tool 05.3 Default Values'!$B$4:$B$56</xm:f>
          </x14:formula1>
          <xm:sqref>G9 G21 G33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0B08-48D0-4950-B21E-5589F6ECEE7A}">
  <dimension ref="B1:D56"/>
  <sheetViews>
    <sheetView workbookViewId="0">
      <selection activeCell="G10" sqref="G10"/>
    </sheetView>
  </sheetViews>
  <sheetFormatPr defaultRowHeight="15"/>
  <cols>
    <col min="2" max="2" width="33.85546875" bestFit="1" customWidth="1"/>
    <col min="3" max="3" width="20.7109375" customWidth="1"/>
    <col min="4" max="4" width="40.42578125" customWidth="1"/>
  </cols>
  <sheetData>
    <row r="1" spans="2:4" ht="15.75" thickBot="1"/>
    <row r="2" spans="2:4" ht="19.5" thickBot="1">
      <c r="B2" s="119" t="s">
        <v>574</v>
      </c>
      <c r="C2" s="120"/>
      <c r="D2" s="121"/>
    </row>
    <row r="3" spans="2:4" ht="48" thickBot="1">
      <c r="B3" s="68" t="s">
        <v>575</v>
      </c>
      <c r="C3" s="69" t="s">
        <v>576</v>
      </c>
      <c r="D3" s="69" t="s">
        <v>577</v>
      </c>
    </row>
    <row r="4" spans="2:4">
      <c r="B4" s="70" t="s">
        <v>553</v>
      </c>
      <c r="C4" s="71">
        <v>40.1</v>
      </c>
      <c r="D4" s="72">
        <v>75500</v>
      </c>
    </row>
    <row r="5" spans="2:4">
      <c r="B5" s="73" t="s">
        <v>578</v>
      </c>
      <c r="C5" s="74">
        <v>27.5</v>
      </c>
      <c r="D5" s="75">
        <v>85400</v>
      </c>
    </row>
    <row r="6" spans="2:4">
      <c r="B6" s="73" t="s">
        <v>579</v>
      </c>
      <c r="C6" s="74">
        <v>40.9</v>
      </c>
      <c r="D6" s="75">
        <v>70400</v>
      </c>
    </row>
    <row r="7" spans="2:4">
      <c r="B7" s="73" t="s">
        <v>580</v>
      </c>
      <c r="C7" s="74">
        <v>42.5</v>
      </c>
      <c r="D7" s="75">
        <v>73000</v>
      </c>
    </row>
    <row r="8" spans="2:4">
      <c r="B8" s="73" t="s">
        <v>581</v>
      </c>
      <c r="C8" s="74">
        <v>42.5</v>
      </c>
      <c r="D8" s="75">
        <v>73000</v>
      </c>
    </row>
    <row r="9" spans="2:4">
      <c r="B9" s="73" t="s">
        <v>582</v>
      </c>
      <c r="C9" s="74">
        <v>42.5</v>
      </c>
      <c r="D9" s="75">
        <v>73000</v>
      </c>
    </row>
    <row r="10" spans="2:4">
      <c r="B10" s="73" t="s">
        <v>583</v>
      </c>
      <c r="C10" s="74">
        <v>42</v>
      </c>
      <c r="D10" s="75">
        <v>74400</v>
      </c>
    </row>
    <row r="11" spans="2:4">
      <c r="B11" s="73" t="s">
        <v>584</v>
      </c>
      <c r="C11" s="74">
        <v>42.4</v>
      </c>
      <c r="D11" s="75">
        <v>73700</v>
      </c>
    </row>
    <row r="12" spans="2:4">
      <c r="B12" s="73" t="s">
        <v>585</v>
      </c>
      <c r="C12" s="74">
        <v>32.1</v>
      </c>
      <c r="D12" s="75">
        <v>79200</v>
      </c>
    </row>
    <row r="13" spans="2:4">
      <c r="B13" s="73" t="s">
        <v>571</v>
      </c>
      <c r="C13" s="74">
        <v>41.4</v>
      </c>
      <c r="D13" s="75">
        <v>74800</v>
      </c>
    </row>
    <row r="14" spans="2:4">
      <c r="B14" s="73" t="s">
        <v>586</v>
      </c>
      <c r="C14" s="74">
        <v>39.799999999999997</v>
      </c>
      <c r="D14" s="75">
        <v>78800</v>
      </c>
    </row>
    <row r="15" spans="2:4">
      <c r="B15" s="73" t="s">
        <v>587</v>
      </c>
      <c r="C15" s="74">
        <v>44.8</v>
      </c>
      <c r="D15" s="75">
        <v>65600</v>
      </c>
    </row>
    <row r="16" spans="2:4">
      <c r="B16" s="73" t="s">
        <v>588</v>
      </c>
      <c r="C16" s="74">
        <v>44.9</v>
      </c>
      <c r="D16" s="75">
        <v>68600</v>
      </c>
    </row>
    <row r="17" spans="2:4">
      <c r="B17" s="73" t="s">
        <v>589</v>
      </c>
      <c r="C17" s="74">
        <v>41.8</v>
      </c>
      <c r="D17" s="75">
        <v>76300</v>
      </c>
    </row>
    <row r="18" spans="2:4">
      <c r="B18" s="73" t="s">
        <v>590</v>
      </c>
      <c r="C18" s="74">
        <v>33.5</v>
      </c>
      <c r="D18" s="75">
        <v>89900</v>
      </c>
    </row>
    <row r="19" spans="2:4">
      <c r="B19" s="73" t="s">
        <v>591</v>
      </c>
      <c r="C19" s="74">
        <v>33.5</v>
      </c>
      <c r="D19" s="75">
        <v>75200</v>
      </c>
    </row>
    <row r="20" spans="2:4">
      <c r="B20" s="73" t="s">
        <v>592</v>
      </c>
      <c r="C20" s="74">
        <v>29.7</v>
      </c>
      <c r="D20" s="75">
        <v>115000</v>
      </c>
    </row>
    <row r="21" spans="2:4">
      <c r="B21" s="73" t="s">
        <v>593</v>
      </c>
      <c r="C21" s="74">
        <v>36.299999999999997</v>
      </c>
      <c r="D21" s="75">
        <v>76600</v>
      </c>
    </row>
    <row r="22" spans="2:4">
      <c r="B22" s="73" t="s">
        <v>594</v>
      </c>
      <c r="C22" s="74">
        <v>47.5</v>
      </c>
      <c r="D22" s="75">
        <v>69000</v>
      </c>
    </row>
    <row r="23" spans="2:4">
      <c r="B23" s="73" t="s">
        <v>595</v>
      </c>
      <c r="C23" s="74">
        <v>33.700000000000003</v>
      </c>
      <c r="D23" s="75">
        <v>74400</v>
      </c>
    </row>
    <row r="24" spans="2:4">
      <c r="B24" s="73" t="s">
        <v>596</v>
      </c>
      <c r="C24" s="74">
        <v>33.700000000000003</v>
      </c>
      <c r="D24" s="75">
        <v>74400</v>
      </c>
    </row>
    <row r="25" spans="2:4">
      <c r="B25" s="73" t="s">
        <v>597</v>
      </c>
      <c r="C25" s="74">
        <v>33.700000000000003</v>
      </c>
      <c r="D25" s="75">
        <v>74400</v>
      </c>
    </row>
    <row r="26" spans="2:4">
      <c r="B26" s="73" t="s">
        <v>598</v>
      </c>
      <c r="C26" s="74">
        <v>21.6</v>
      </c>
      <c r="D26" s="75">
        <v>101000</v>
      </c>
    </row>
    <row r="27" spans="2:4">
      <c r="B27" s="73" t="s">
        <v>599</v>
      </c>
      <c r="C27" s="74">
        <v>24</v>
      </c>
      <c r="D27" s="75">
        <v>101000</v>
      </c>
    </row>
    <row r="28" spans="2:4">
      <c r="B28" s="73" t="s">
        <v>600</v>
      </c>
      <c r="C28" s="74">
        <v>19.899999999999999</v>
      </c>
      <c r="D28" s="75">
        <v>99700</v>
      </c>
    </row>
    <row r="29" spans="2:4">
      <c r="B29" s="73" t="s">
        <v>601</v>
      </c>
      <c r="C29" s="74">
        <v>11.5</v>
      </c>
      <c r="D29" s="75">
        <v>100000</v>
      </c>
    </row>
    <row r="30" spans="2:4">
      <c r="B30" s="73" t="s">
        <v>602</v>
      </c>
      <c r="C30" s="74">
        <v>5.5</v>
      </c>
      <c r="D30" s="75">
        <v>115000</v>
      </c>
    </row>
    <row r="31" spans="2:4">
      <c r="B31" s="73" t="s">
        <v>603</v>
      </c>
      <c r="C31" s="74">
        <v>7.1</v>
      </c>
      <c r="D31" s="75">
        <v>125000</v>
      </c>
    </row>
    <row r="32" spans="2:4">
      <c r="B32" s="73" t="s">
        <v>604</v>
      </c>
      <c r="C32" s="74">
        <v>15.1</v>
      </c>
      <c r="D32" s="75">
        <v>109000</v>
      </c>
    </row>
    <row r="33" spans="2:4">
      <c r="B33" s="73" t="s">
        <v>605</v>
      </c>
      <c r="C33" s="74">
        <v>15.1</v>
      </c>
      <c r="D33" s="75">
        <v>109000</v>
      </c>
    </row>
    <row r="34" spans="2:4">
      <c r="B34" s="73" t="s">
        <v>606</v>
      </c>
      <c r="C34" s="74">
        <v>25.1</v>
      </c>
      <c r="D34" s="75">
        <v>119000</v>
      </c>
    </row>
    <row r="35" spans="2:4">
      <c r="B35" s="73" t="s">
        <v>607</v>
      </c>
      <c r="C35" s="74">
        <v>25.1</v>
      </c>
      <c r="D35" s="75">
        <v>119000</v>
      </c>
    </row>
    <row r="36" spans="2:4">
      <c r="B36" s="73" t="s">
        <v>608</v>
      </c>
      <c r="C36" s="74">
        <v>14.1</v>
      </c>
      <c r="D36" s="75">
        <v>95300</v>
      </c>
    </row>
    <row r="37" spans="2:4">
      <c r="B37" s="73" t="s">
        <v>609</v>
      </c>
      <c r="C37" s="74">
        <v>19.600000000000001</v>
      </c>
      <c r="D37" s="75">
        <v>54100</v>
      </c>
    </row>
    <row r="38" spans="2:4">
      <c r="B38" s="73" t="s">
        <v>610</v>
      </c>
      <c r="C38" s="74">
        <v>19.600000000000001</v>
      </c>
      <c r="D38" s="75">
        <v>54100</v>
      </c>
    </row>
    <row r="39" spans="2:4">
      <c r="B39" s="73" t="s">
        <v>611</v>
      </c>
      <c r="C39" s="74">
        <v>1.2</v>
      </c>
      <c r="D39" s="75">
        <v>308000</v>
      </c>
    </row>
    <row r="40" spans="2:4">
      <c r="B40" s="73" t="s">
        <v>612</v>
      </c>
      <c r="C40" s="74">
        <v>3.8</v>
      </c>
      <c r="D40" s="75">
        <v>202000</v>
      </c>
    </row>
    <row r="41" spans="2:4">
      <c r="B41" s="73" t="s">
        <v>573</v>
      </c>
      <c r="C41" s="74">
        <v>46.5</v>
      </c>
      <c r="D41" s="75">
        <v>58300</v>
      </c>
    </row>
    <row r="42" spans="2:4" ht="30">
      <c r="B42" s="76" t="s">
        <v>613</v>
      </c>
      <c r="C42" s="74">
        <v>7</v>
      </c>
      <c r="D42" s="75">
        <v>121000</v>
      </c>
    </row>
    <row r="43" spans="2:4">
      <c r="B43" s="73" t="s">
        <v>614</v>
      </c>
      <c r="C43" s="74">
        <v>20.3</v>
      </c>
      <c r="D43" s="75">
        <v>74400</v>
      </c>
    </row>
    <row r="44" spans="2:4">
      <c r="B44" s="73" t="s">
        <v>615</v>
      </c>
      <c r="C44" s="74">
        <v>7.8</v>
      </c>
      <c r="D44" s="75">
        <v>108000</v>
      </c>
    </row>
    <row r="45" spans="2:4">
      <c r="B45" s="73" t="s">
        <v>616</v>
      </c>
      <c r="C45" s="74">
        <v>7.9</v>
      </c>
      <c r="D45" s="75">
        <v>132000</v>
      </c>
    </row>
    <row r="46" spans="2:4">
      <c r="B46" s="73" t="s">
        <v>617</v>
      </c>
      <c r="C46" s="74">
        <v>5.9</v>
      </c>
      <c r="D46" s="75">
        <v>110000</v>
      </c>
    </row>
    <row r="47" spans="2:4">
      <c r="B47" s="73" t="s">
        <v>618</v>
      </c>
      <c r="C47" s="74">
        <v>5.9</v>
      </c>
      <c r="D47" s="75">
        <v>117000</v>
      </c>
    </row>
    <row r="48" spans="2:4">
      <c r="B48" s="73" t="s">
        <v>619</v>
      </c>
      <c r="C48" s="74">
        <v>14.9</v>
      </c>
      <c r="D48" s="75">
        <v>132000</v>
      </c>
    </row>
    <row r="49" spans="2:4">
      <c r="B49" s="73" t="s">
        <v>620</v>
      </c>
      <c r="C49" s="74">
        <v>13.6</v>
      </c>
      <c r="D49" s="75">
        <v>84300</v>
      </c>
    </row>
    <row r="50" spans="2:4">
      <c r="B50" s="73" t="s">
        <v>621</v>
      </c>
      <c r="C50" s="74">
        <v>13.6</v>
      </c>
      <c r="D50" s="75">
        <v>84300</v>
      </c>
    </row>
    <row r="51" spans="2:4">
      <c r="B51" s="73" t="s">
        <v>622</v>
      </c>
      <c r="C51" s="74">
        <v>13.8</v>
      </c>
      <c r="D51" s="75">
        <v>95300</v>
      </c>
    </row>
    <row r="52" spans="2:4">
      <c r="B52" s="73" t="s">
        <v>623</v>
      </c>
      <c r="C52" s="74">
        <v>25.4</v>
      </c>
      <c r="D52" s="75">
        <v>66000</v>
      </c>
    </row>
    <row r="53" spans="2:4">
      <c r="B53" s="73" t="s">
        <v>624</v>
      </c>
      <c r="C53" s="74">
        <v>25.4</v>
      </c>
      <c r="D53" s="75">
        <v>66000</v>
      </c>
    </row>
    <row r="54" spans="2:4">
      <c r="B54" s="73" t="s">
        <v>625</v>
      </c>
      <c r="C54" s="74">
        <v>25.4</v>
      </c>
      <c r="D54" s="75">
        <v>66000</v>
      </c>
    </row>
    <row r="55" spans="2:4">
      <c r="B55" s="73" t="s">
        <v>626</v>
      </c>
      <c r="C55" s="74">
        <v>6.8</v>
      </c>
      <c r="D55" s="75">
        <v>117000</v>
      </c>
    </row>
    <row r="56" spans="2:4" ht="15.75" thickBot="1">
      <c r="B56" s="77" t="s">
        <v>627</v>
      </c>
      <c r="C56" s="78" t="s">
        <v>14</v>
      </c>
      <c r="D56" s="79">
        <v>183000</v>
      </c>
    </row>
  </sheetData>
  <mergeCells count="1">
    <mergeCell ref="B2:D2"/>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DCE16-D376-4F40-8D64-9580664811FB}">
  <dimension ref="A1:F69"/>
  <sheetViews>
    <sheetView workbookViewId="0">
      <selection activeCell="E3" sqref="E3"/>
    </sheetView>
  </sheetViews>
  <sheetFormatPr defaultRowHeight="15"/>
  <cols>
    <col min="1" max="1" width="18.140625" bestFit="1" customWidth="1"/>
    <col min="2" max="2" width="18.140625" customWidth="1"/>
    <col min="3" max="3" width="16.140625" bestFit="1" customWidth="1"/>
    <col min="4" max="4" width="44.42578125" customWidth="1"/>
    <col min="5" max="5" width="29.28515625" bestFit="1" customWidth="1"/>
    <col min="6" max="6" width="81" customWidth="1"/>
  </cols>
  <sheetData>
    <row r="1" spans="1:6" ht="18.75">
      <c r="A1" s="1" t="s">
        <v>0</v>
      </c>
      <c r="B1" s="1" t="s">
        <v>3</v>
      </c>
      <c r="C1" s="1" t="s">
        <v>5</v>
      </c>
      <c r="D1" s="2" t="s">
        <v>6</v>
      </c>
      <c r="E1" s="2" t="s">
        <v>2</v>
      </c>
      <c r="F1" s="1" t="s">
        <v>7</v>
      </c>
    </row>
    <row r="2" spans="1:6" s="17" customFormat="1" ht="18.75">
      <c r="A2" s="15"/>
      <c r="B2" s="15"/>
      <c r="C2" s="16"/>
      <c r="D2" s="15" t="s">
        <v>628</v>
      </c>
      <c r="E2" s="16"/>
      <c r="F2" s="16"/>
    </row>
    <row r="3" spans="1:6" ht="113.25" customHeight="1">
      <c r="A3" t="s">
        <v>10</v>
      </c>
      <c r="B3" t="s">
        <v>452</v>
      </c>
      <c r="D3" s="8" t="s">
        <v>629</v>
      </c>
      <c r="E3" t="s">
        <v>11</v>
      </c>
      <c r="F3" s="8" t="s">
        <v>630</v>
      </c>
    </row>
    <row r="4" spans="1:6" s="17" customFormat="1" ht="18.75">
      <c r="A4" s="15"/>
      <c r="B4" s="15"/>
      <c r="C4" s="16"/>
      <c r="D4" s="15" t="s">
        <v>631</v>
      </c>
      <c r="E4" s="16"/>
      <c r="F4" s="16"/>
    </row>
    <row r="5" spans="1:6" s="12" customFormat="1">
      <c r="A5" s="12" t="s">
        <v>11</v>
      </c>
      <c r="B5" s="12" t="s">
        <v>97</v>
      </c>
      <c r="C5" s="24" t="s">
        <v>632</v>
      </c>
      <c r="D5" s="12" t="s">
        <v>633</v>
      </c>
      <c r="E5" s="13" t="s">
        <v>11</v>
      </c>
      <c r="F5" s="13">
        <v>16.04</v>
      </c>
    </row>
    <row r="6" spans="1:6" s="12" customFormat="1">
      <c r="A6" s="12" t="s">
        <v>11</v>
      </c>
      <c r="B6" s="12" t="s">
        <v>97</v>
      </c>
      <c r="C6" s="12" t="s">
        <v>634</v>
      </c>
      <c r="D6" s="12" t="s">
        <v>635</v>
      </c>
      <c r="E6" s="13" t="s">
        <v>11</v>
      </c>
      <c r="F6" s="13">
        <v>28.01</v>
      </c>
    </row>
    <row r="7" spans="1:6" s="12" customFormat="1">
      <c r="A7" s="12" t="s">
        <v>11</v>
      </c>
      <c r="B7" s="12" t="s">
        <v>97</v>
      </c>
      <c r="C7" s="12" t="s">
        <v>636</v>
      </c>
      <c r="D7" s="12" t="s">
        <v>637</v>
      </c>
      <c r="E7" s="13" t="s">
        <v>11</v>
      </c>
      <c r="F7" s="13">
        <v>44.01</v>
      </c>
    </row>
    <row r="8" spans="1:6" s="12" customFormat="1">
      <c r="A8" s="12" t="s">
        <v>11</v>
      </c>
      <c r="B8" s="12" t="s">
        <v>97</v>
      </c>
      <c r="C8" s="12" t="s">
        <v>638</v>
      </c>
      <c r="D8" s="12" t="s">
        <v>639</v>
      </c>
      <c r="E8" s="13" t="s">
        <v>11</v>
      </c>
      <c r="F8" s="13">
        <v>32</v>
      </c>
    </row>
    <row r="9" spans="1:6" s="12" customFormat="1">
      <c r="A9" s="12" t="s">
        <v>11</v>
      </c>
      <c r="B9" s="12" t="s">
        <v>97</v>
      </c>
      <c r="C9" s="12" t="s">
        <v>640</v>
      </c>
      <c r="D9" s="12" t="s">
        <v>641</v>
      </c>
      <c r="E9" s="13" t="s">
        <v>11</v>
      </c>
      <c r="F9" s="13">
        <v>2.02</v>
      </c>
    </row>
    <row r="10" spans="1:6" s="12" customFormat="1">
      <c r="A10" s="12" t="s">
        <v>11</v>
      </c>
      <c r="B10" s="12" t="s">
        <v>97</v>
      </c>
      <c r="C10" s="12" t="s">
        <v>642</v>
      </c>
      <c r="D10" s="12" t="s">
        <v>643</v>
      </c>
      <c r="E10" s="13" t="s">
        <v>11</v>
      </c>
      <c r="F10" s="13">
        <v>28.02</v>
      </c>
    </row>
    <row r="11" spans="1:6" s="12" customFormat="1">
      <c r="A11" s="12" t="s">
        <v>11</v>
      </c>
      <c r="B11" s="12" t="s">
        <v>97</v>
      </c>
      <c r="C11" s="12" t="s">
        <v>644</v>
      </c>
      <c r="D11" s="12" t="s">
        <v>645</v>
      </c>
      <c r="E11" s="13" t="s">
        <v>11</v>
      </c>
      <c r="F11" s="13">
        <v>12</v>
      </c>
    </row>
    <row r="12" spans="1:6" s="12" customFormat="1">
      <c r="A12" s="12" t="s">
        <v>11</v>
      </c>
      <c r="B12" s="12" t="s">
        <v>97</v>
      </c>
      <c r="C12" s="12" t="s">
        <v>646</v>
      </c>
      <c r="D12" s="12" t="s">
        <v>647</v>
      </c>
      <c r="E12" s="13" t="s">
        <v>11</v>
      </c>
      <c r="F12" s="13">
        <v>1.01</v>
      </c>
    </row>
    <row r="13" spans="1:6" s="12" customFormat="1">
      <c r="A13" s="12" t="s">
        <v>11</v>
      </c>
      <c r="B13" s="12" t="s">
        <v>97</v>
      </c>
      <c r="C13" s="12" t="s">
        <v>648</v>
      </c>
      <c r="D13" s="12" t="s">
        <v>649</v>
      </c>
      <c r="E13" s="13" t="s">
        <v>11</v>
      </c>
      <c r="F13" s="13">
        <v>16</v>
      </c>
    </row>
    <row r="14" spans="1:6" s="12" customFormat="1">
      <c r="A14" s="12" t="s">
        <v>11</v>
      </c>
      <c r="B14" s="12" t="s">
        <v>97</v>
      </c>
      <c r="C14" s="12" t="s">
        <v>650</v>
      </c>
      <c r="D14" s="12" t="s">
        <v>651</v>
      </c>
      <c r="E14" s="13" t="s">
        <v>11</v>
      </c>
      <c r="F14" s="13">
        <v>14.01</v>
      </c>
    </row>
    <row r="15" spans="1:6" s="12" customFormat="1">
      <c r="A15" s="12" t="s">
        <v>11</v>
      </c>
      <c r="B15" s="12" t="s">
        <v>97</v>
      </c>
      <c r="C15" s="12" t="s">
        <v>652</v>
      </c>
      <c r="D15" s="12" t="s">
        <v>653</v>
      </c>
      <c r="E15" s="13" t="s">
        <v>11</v>
      </c>
      <c r="F15" s="13">
        <v>101325</v>
      </c>
    </row>
    <row r="16" spans="1:6" s="12" customFormat="1">
      <c r="A16" s="12" t="s">
        <v>11</v>
      </c>
      <c r="B16" s="12" t="s">
        <v>97</v>
      </c>
      <c r="C16" s="12" t="s">
        <v>654</v>
      </c>
      <c r="D16" s="12" t="s">
        <v>655</v>
      </c>
      <c r="E16" s="13" t="s">
        <v>11</v>
      </c>
      <c r="F16" s="13">
        <v>8314.4719999999998</v>
      </c>
    </row>
    <row r="17" spans="1:6" s="12" customFormat="1">
      <c r="A17" s="12" t="s">
        <v>11</v>
      </c>
      <c r="B17" s="12" t="s">
        <v>97</v>
      </c>
      <c r="C17" s="12" t="s">
        <v>656</v>
      </c>
      <c r="D17" s="12" t="s">
        <v>657</v>
      </c>
      <c r="E17" s="13" t="s">
        <v>11</v>
      </c>
      <c r="F17" s="13">
        <v>273.14999999999998</v>
      </c>
    </row>
    <row r="18" spans="1:6" s="12" customFormat="1">
      <c r="A18" s="12" t="s">
        <v>11</v>
      </c>
      <c r="B18" s="12" t="s">
        <v>97</v>
      </c>
      <c r="C18" s="12" t="s">
        <v>658</v>
      </c>
      <c r="D18" s="12" t="s">
        <v>659</v>
      </c>
      <c r="E18" s="13" t="s">
        <v>11</v>
      </c>
      <c r="F18" s="13">
        <v>0.21</v>
      </c>
    </row>
    <row r="19" spans="1:6" s="12" customFormat="1">
      <c r="A19" s="12" t="s">
        <v>11</v>
      </c>
      <c r="B19" s="12" t="s">
        <v>97</v>
      </c>
      <c r="C19" s="12" t="s">
        <v>660</v>
      </c>
      <c r="D19" s="12" t="s">
        <v>661</v>
      </c>
      <c r="E19" s="13" t="s">
        <v>11</v>
      </c>
      <c r="F19" s="13">
        <v>25</v>
      </c>
    </row>
    <row r="20" spans="1:6" s="12" customFormat="1" ht="30">
      <c r="A20" s="12" t="s">
        <v>11</v>
      </c>
      <c r="B20" s="12" t="s">
        <v>97</v>
      </c>
      <c r="C20" s="12" t="s">
        <v>662</v>
      </c>
      <c r="D20" s="11" t="s">
        <v>663</v>
      </c>
      <c r="E20" s="13" t="s">
        <v>11</v>
      </c>
      <c r="F20" s="13">
        <v>22.414000000000001</v>
      </c>
    </row>
    <row r="21" spans="1:6" s="12" customFormat="1">
      <c r="A21" s="12" t="s">
        <v>11</v>
      </c>
      <c r="B21" s="12" t="s">
        <v>97</v>
      </c>
      <c r="C21" s="12" t="s">
        <v>664</v>
      </c>
      <c r="D21" s="12" t="s">
        <v>665</v>
      </c>
      <c r="E21" s="13" t="s">
        <v>11</v>
      </c>
      <c r="F21" s="13">
        <v>0.71599999999999997</v>
      </c>
    </row>
    <row r="22" spans="1:6" s="12" customFormat="1" ht="30">
      <c r="A22" s="12" t="s">
        <v>11</v>
      </c>
      <c r="B22" s="12" t="s">
        <v>97</v>
      </c>
      <c r="C22" s="12" t="s">
        <v>666</v>
      </c>
      <c r="D22" s="11" t="s">
        <v>667</v>
      </c>
      <c r="E22" s="13" t="s">
        <v>11</v>
      </c>
      <c r="F22" s="13" t="s">
        <v>668</v>
      </c>
    </row>
    <row r="23" spans="1:6" s="12" customFormat="1" ht="30">
      <c r="A23" s="12" t="s">
        <v>11</v>
      </c>
      <c r="B23" s="12" t="s">
        <v>97</v>
      </c>
      <c r="C23" s="12" t="s">
        <v>669</v>
      </c>
      <c r="D23" s="11" t="s">
        <v>670</v>
      </c>
      <c r="E23" s="13" t="s">
        <v>11</v>
      </c>
      <c r="F23" s="13">
        <v>1</v>
      </c>
    </row>
    <row r="24" spans="1:6" s="12" customFormat="1">
      <c r="A24" s="12" t="s">
        <v>11</v>
      </c>
      <c r="B24" s="12" t="s">
        <v>97</v>
      </c>
      <c r="C24" s="12" t="s">
        <v>671</v>
      </c>
      <c r="D24" s="12" t="s">
        <v>672</v>
      </c>
      <c r="E24" s="13" t="s">
        <v>11</v>
      </c>
      <c r="F24" s="13">
        <v>1</v>
      </c>
    </row>
    <row r="25" spans="1:6" s="12" customFormat="1" ht="30">
      <c r="A25" s="12" t="s">
        <v>11</v>
      </c>
      <c r="B25" s="12" t="s">
        <v>97</v>
      </c>
      <c r="C25" s="12" t="s">
        <v>673</v>
      </c>
      <c r="D25" s="11" t="s">
        <v>674</v>
      </c>
      <c r="E25" s="13" t="s">
        <v>11</v>
      </c>
      <c r="F25" s="13">
        <v>1</v>
      </c>
    </row>
    <row r="26" spans="1:6" s="12" customFormat="1" ht="30">
      <c r="A26" s="12" t="s">
        <v>11</v>
      </c>
      <c r="B26" s="12" t="s">
        <v>97</v>
      </c>
      <c r="C26" s="12" t="s">
        <v>675</v>
      </c>
      <c r="D26" s="11" t="s">
        <v>676</v>
      </c>
      <c r="E26" s="13" t="s">
        <v>11</v>
      </c>
      <c r="F26" s="13">
        <v>4</v>
      </c>
    </row>
    <row r="27" spans="1:6" s="12" customFormat="1">
      <c r="A27" s="12" t="s">
        <v>11</v>
      </c>
      <c r="B27" s="12" t="s">
        <v>97</v>
      </c>
      <c r="C27" s="12" t="s">
        <v>677</v>
      </c>
      <c r="D27" s="12" t="s">
        <v>678</v>
      </c>
      <c r="E27" s="13" t="s">
        <v>11</v>
      </c>
      <c r="F27" s="13">
        <v>2</v>
      </c>
    </row>
    <row r="28" spans="1:6" s="12" customFormat="1">
      <c r="A28" s="12" t="s">
        <v>11</v>
      </c>
      <c r="B28" s="12" t="s">
        <v>97</v>
      </c>
      <c r="C28" s="12" t="s">
        <v>679</v>
      </c>
      <c r="D28" s="12" t="s">
        <v>680</v>
      </c>
      <c r="E28" s="13" t="s">
        <v>11</v>
      </c>
      <c r="F28" s="13">
        <v>1</v>
      </c>
    </row>
    <row r="29" spans="1:6" s="12" customFormat="1" ht="30">
      <c r="A29" s="12" t="s">
        <v>11</v>
      </c>
      <c r="B29" s="12" t="s">
        <v>97</v>
      </c>
      <c r="C29" s="12" t="s">
        <v>681</v>
      </c>
      <c r="D29" s="11" t="s">
        <v>682</v>
      </c>
      <c r="E29" s="13" t="s">
        <v>11</v>
      </c>
      <c r="F29" s="13">
        <v>2</v>
      </c>
    </row>
    <row r="30" spans="1:6" s="12" customFormat="1">
      <c r="A30" s="12" t="s">
        <v>11</v>
      </c>
      <c r="B30" s="12" t="s">
        <v>97</v>
      </c>
      <c r="C30" s="12" t="s">
        <v>683</v>
      </c>
      <c r="D30" s="12" t="s">
        <v>684</v>
      </c>
      <c r="E30" s="13" t="s">
        <v>11</v>
      </c>
      <c r="F30" s="13">
        <v>2</v>
      </c>
    </row>
    <row r="31" spans="1:6" s="12" customFormat="1">
      <c r="A31" s="12" t="s">
        <v>11</v>
      </c>
      <c r="B31" s="12" t="s">
        <v>97</v>
      </c>
      <c r="C31" s="12" t="s">
        <v>685</v>
      </c>
      <c r="D31" s="12" t="s">
        <v>686</v>
      </c>
      <c r="E31" s="13" t="s">
        <v>11</v>
      </c>
      <c r="F31" s="13">
        <v>2</v>
      </c>
    </row>
    <row r="32" spans="1:6" s="17" customFormat="1" ht="18.75">
      <c r="A32" s="15"/>
      <c r="B32" s="15"/>
      <c r="C32" s="16"/>
      <c r="D32" s="15" t="s">
        <v>687</v>
      </c>
      <c r="E32" s="16"/>
      <c r="F32" s="16"/>
    </row>
    <row r="33" spans="1:6">
      <c r="A33" t="s">
        <v>10</v>
      </c>
      <c r="B33" t="s">
        <v>128</v>
      </c>
      <c r="C33" t="s">
        <v>688</v>
      </c>
      <c r="D33" t="s">
        <v>689</v>
      </c>
      <c r="E33" s="10" t="s">
        <v>10</v>
      </c>
      <c r="F33" s="18">
        <v>0.55000000000000004</v>
      </c>
    </row>
    <row r="34" spans="1:6">
      <c r="A34" t="s">
        <v>10</v>
      </c>
      <c r="B34" t="s">
        <v>128</v>
      </c>
      <c r="C34" t="s">
        <v>690</v>
      </c>
      <c r="D34" t="s">
        <v>691</v>
      </c>
      <c r="E34" s="10" t="s">
        <v>10</v>
      </c>
      <c r="F34" s="18">
        <v>0</v>
      </c>
    </row>
    <row r="35" spans="1:6">
      <c r="A35" t="s">
        <v>10</v>
      </c>
      <c r="B35" t="s">
        <v>128</v>
      </c>
      <c r="C35" t="s">
        <v>692</v>
      </c>
      <c r="D35" t="s">
        <v>693</v>
      </c>
      <c r="E35" s="10" t="s">
        <v>10</v>
      </c>
      <c r="F35" s="18">
        <v>0.35</v>
      </c>
    </row>
    <row r="36" spans="1:6">
      <c r="A36" t="s">
        <v>10</v>
      </c>
      <c r="B36" t="s">
        <v>128</v>
      </c>
      <c r="C36" t="s">
        <v>694</v>
      </c>
      <c r="D36" t="s">
        <v>695</v>
      </c>
      <c r="E36" s="10" t="s">
        <v>10</v>
      </c>
      <c r="F36" s="18">
        <v>0.05</v>
      </c>
    </row>
    <row r="37" spans="1:6">
      <c r="A37" t="s">
        <v>10</v>
      </c>
      <c r="B37" t="s">
        <v>128</v>
      </c>
      <c r="C37" t="s">
        <v>696</v>
      </c>
      <c r="D37" t="s">
        <v>697</v>
      </c>
      <c r="E37" s="10" t="s">
        <v>10</v>
      </c>
      <c r="F37" s="18">
        <v>0.01</v>
      </c>
    </row>
    <row r="38" spans="1:6">
      <c r="A38" t="s">
        <v>10</v>
      </c>
      <c r="B38" t="s">
        <v>128</v>
      </c>
      <c r="C38" t="s">
        <v>698</v>
      </c>
      <c r="D38" t="s">
        <v>699</v>
      </c>
      <c r="E38" s="10" t="s">
        <v>10</v>
      </c>
      <c r="F38" s="18">
        <v>0.04</v>
      </c>
    </row>
    <row r="39" spans="1:6" ht="30">
      <c r="A39" t="s">
        <v>10</v>
      </c>
      <c r="B39" t="s">
        <v>128</v>
      </c>
      <c r="C39" t="s">
        <v>700</v>
      </c>
      <c r="D39" s="8" t="s">
        <v>701</v>
      </c>
      <c r="E39" s="10" t="s">
        <v>10</v>
      </c>
      <c r="F39" s="19">
        <v>1000</v>
      </c>
    </row>
    <row r="40" spans="1:6">
      <c r="A40" t="s">
        <v>10</v>
      </c>
      <c r="B40" t="s">
        <v>128</v>
      </c>
      <c r="C40" t="s">
        <v>702</v>
      </c>
      <c r="D40" t="s">
        <v>703</v>
      </c>
      <c r="E40" s="10" t="s">
        <v>10</v>
      </c>
      <c r="F40" s="18">
        <v>0.1</v>
      </c>
    </row>
    <row r="41" spans="1:6" ht="30">
      <c r="A41" t="s">
        <v>10</v>
      </c>
      <c r="B41" t="s">
        <v>128</v>
      </c>
      <c r="C41" t="s">
        <v>704</v>
      </c>
      <c r="D41" s="8" t="s">
        <v>705</v>
      </c>
      <c r="E41" s="10" t="s">
        <v>10</v>
      </c>
      <c r="F41" s="10">
        <v>1000</v>
      </c>
    </row>
    <row r="42" spans="1:6">
      <c r="A42" t="s">
        <v>10</v>
      </c>
      <c r="B42" t="s">
        <v>128</v>
      </c>
      <c r="C42" t="s">
        <v>706</v>
      </c>
      <c r="D42" t="s">
        <v>707</v>
      </c>
      <c r="E42" s="10" t="s">
        <v>10</v>
      </c>
      <c r="F42" s="20">
        <v>876</v>
      </c>
    </row>
    <row r="43" spans="1:6" s="17" customFormat="1" ht="18.75">
      <c r="A43" s="15"/>
      <c r="B43" s="15"/>
      <c r="C43" s="16"/>
      <c r="D43" s="15" t="s">
        <v>708</v>
      </c>
      <c r="E43" s="16"/>
      <c r="F43" s="16"/>
    </row>
    <row r="44" spans="1:6" s="12" customFormat="1" ht="30">
      <c r="A44" s="12" t="s">
        <v>11</v>
      </c>
      <c r="B44" s="12" t="s">
        <v>97</v>
      </c>
      <c r="C44" s="12" t="s">
        <v>709</v>
      </c>
      <c r="D44" s="11" t="s">
        <v>710</v>
      </c>
      <c r="E44" s="12" t="s">
        <v>11</v>
      </c>
      <c r="F44" s="13">
        <f>F45*F46</f>
        <v>1203.109940767265</v>
      </c>
    </row>
    <row r="45" spans="1:6" s="12" customFormat="1" ht="30">
      <c r="A45" s="12" t="s">
        <v>11</v>
      </c>
      <c r="B45" s="12" t="s">
        <v>97</v>
      </c>
      <c r="C45" s="12" t="s">
        <v>711</v>
      </c>
      <c r="D45" s="11" t="s">
        <v>712</v>
      </c>
      <c r="E45" s="12" t="s">
        <v>11</v>
      </c>
      <c r="F45" s="13">
        <f>F47/(F16*F17)</f>
        <v>1.203109940767265</v>
      </c>
    </row>
    <row r="46" spans="1:6" s="12" customFormat="1" ht="33" customHeight="1">
      <c r="A46" s="12" t="s">
        <v>11</v>
      </c>
      <c r="B46" s="12" t="s">
        <v>97</v>
      </c>
      <c r="C46" s="12" t="s">
        <v>713</v>
      </c>
      <c r="D46" s="11" t="s">
        <v>714</v>
      </c>
      <c r="E46" s="12" t="s">
        <v>11</v>
      </c>
      <c r="F46" s="13">
        <v>1000</v>
      </c>
    </row>
    <row r="47" spans="1:6" s="12" customFormat="1" ht="30">
      <c r="A47" s="12" t="s">
        <v>11</v>
      </c>
      <c r="B47" s="12" t="s">
        <v>97</v>
      </c>
      <c r="C47" s="12" t="s">
        <v>715</v>
      </c>
      <c r="D47" s="11" t="s">
        <v>716</v>
      </c>
      <c r="E47" s="12" t="s">
        <v>11</v>
      </c>
      <c r="F47" s="13">
        <f>F15*F48</f>
        <v>2732380.6124999998</v>
      </c>
    </row>
    <row r="48" spans="1:6" s="12" customFormat="1" ht="30">
      <c r="A48" s="12" t="s">
        <v>11</v>
      </c>
      <c r="B48" s="12" t="s">
        <v>97</v>
      </c>
      <c r="C48" s="12" t="s">
        <v>717</v>
      </c>
      <c r="D48" s="11" t="s">
        <v>718</v>
      </c>
      <c r="E48" s="12" t="s">
        <v>11</v>
      </c>
      <c r="F48" s="13">
        <f>F5*F33+F6*F34+F7*F35+F8*F36+F9*F37+F10*F38</f>
        <v>26.966499999999996</v>
      </c>
    </row>
    <row r="49" spans="1:6" s="17" customFormat="1" ht="18.75">
      <c r="A49" s="15"/>
      <c r="B49" s="15"/>
      <c r="C49" s="16"/>
      <c r="D49" s="15" t="s">
        <v>719</v>
      </c>
      <c r="E49" s="16"/>
      <c r="F49" s="16"/>
    </row>
    <row r="50" spans="1:6" s="13" customFormat="1" ht="30">
      <c r="A50" s="13" t="s">
        <v>11</v>
      </c>
      <c r="B50" s="13" t="s">
        <v>97</v>
      </c>
      <c r="C50" s="13" t="s">
        <v>720</v>
      </c>
      <c r="D50" s="21" t="s">
        <v>721</v>
      </c>
      <c r="E50" s="13" t="s">
        <v>11</v>
      </c>
      <c r="F50" s="13">
        <f>F39*F33*F21</f>
        <v>393.8</v>
      </c>
    </row>
    <row r="51" spans="1:6" s="17" customFormat="1" ht="18.75">
      <c r="A51" s="15"/>
      <c r="B51" s="15"/>
      <c r="C51" s="16"/>
      <c r="D51" s="15" t="s">
        <v>722</v>
      </c>
      <c r="E51" s="16"/>
      <c r="F51" s="16"/>
    </row>
    <row r="52" spans="1:6" s="12" customFormat="1">
      <c r="A52" s="12" t="s">
        <v>11</v>
      </c>
      <c r="B52" s="12" t="s">
        <v>97</v>
      </c>
      <c r="C52" s="12" t="s">
        <v>723</v>
      </c>
      <c r="D52" s="12" t="s">
        <v>724</v>
      </c>
      <c r="E52" s="12" t="s">
        <v>11</v>
      </c>
      <c r="F52" s="13">
        <f>(1-(F54/F50))*100</f>
        <v>97.620272779259992</v>
      </c>
    </row>
    <row r="53" spans="1:6" s="17" customFormat="1" ht="18.75">
      <c r="A53" s="15"/>
      <c r="B53" s="15"/>
      <c r="C53" s="16"/>
      <c r="D53" s="15" t="s">
        <v>725</v>
      </c>
      <c r="E53" s="16"/>
      <c r="F53" s="16"/>
    </row>
    <row r="54" spans="1:6" s="12" customFormat="1" ht="45">
      <c r="A54" s="12" t="s">
        <v>11</v>
      </c>
      <c r="B54" s="12" t="s">
        <v>97</v>
      </c>
      <c r="C54" s="12" t="s">
        <v>726</v>
      </c>
      <c r="D54" s="23" t="s">
        <v>727</v>
      </c>
      <c r="E54" s="12" t="s">
        <v>11</v>
      </c>
      <c r="F54" s="13">
        <f>F56*F41/1000000</f>
        <v>9.3713657952741762</v>
      </c>
    </row>
    <row r="55" spans="1:6" s="17" customFormat="1" ht="18.75">
      <c r="A55" s="15"/>
      <c r="B55" s="15"/>
      <c r="C55" s="16"/>
      <c r="D55" s="15" t="s">
        <v>728</v>
      </c>
      <c r="E55" s="16"/>
      <c r="F55" s="16"/>
    </row>
    <row r="56" spans="1:6" s="12" customFormat="1" ht="34.5" customHeight="1">
      <c r="A56" s="12" t="s">
        <v>11</v>
      </c>
      <c r="B56" s="12" t="s">
        <v>97</v>
      </c>
      <c r="C56" s="12" t="s">
        <v>729</v>
      </c>
      <c r="D56" s="11" t="s">
        <v>730</v>
      </c>
      <c r="E56" s="12" t="s">
        <v>11</v>
      </c>
      <c r="F56" s="13">
        <f>F57*F44</f>
        <v>9371.365795274176</v>
      </c>
    </row>
    <row r="57" spans="1:6" s="12" customFormat="1" ht="47.25" customHeight="1">
      <c r="A57" s="12" t="s">
        <v>11</v>
      </c>
      <c r="B57" s="12" t="s">
        <v>97</v>
      </c>
      <c r="C57" s="22" t="s">
        <v>731</v>
      </c>
      <c r="D57" s="11" t="s">
        <v>732</v>
      </c>
      <c r="E57" s="12" t="s">
        <v>11</v>
      </c>
      <c r="F57" s="13">
        <f>F60+F59+F58</f>
        <v>7.7892846511580895</v>
      </c>
    </row>
    <row r="58" spans="1:6" s="12" customFormat="1" ht="45">
      <c r="A58" s="12" t="s">
        <v>11</v>
      </c>
      <c r="B58" s="12" t="s">
        <v>97</v>
      </c>
      <c r="C58" s="12" t="s">
        <v>733</v>
      </c>
      <c r="D58" s="11" t="s">
        <v>734</v>
      </c>
      <c r="E58" s="12" t="s">
        <v>11</v>
      </c>
      <c r="F58" s="13">
        <f>F61*F20</f>
        <v>0.77892846511580904</v>
      </c>
    </row>
    <row r="59" spans="1:6" s="12" customFormat="1" ht="46.5" customHeight="1">
      <c r="A59" s="12" t="s">
        <v>11</v>
      </c>
      <c r="B59" s="12" t="s">
        <v>97</v>
      </c>
      <c r="C59" s="12" t="s">
        <v>735</v>
      </c>
      <c r="D59" s="11" t="s">
        <v>736</v>
      </c>
      <c r="E59" s="12" t="s">
        <v>11</v>
      </c>
      <c r="F59" s="13">
        <f>F20*((F67/(2*F14)+((1-F18)/F18)*(F62+F61)))</f>
        <v>6.2622947023495508</v>
      </c>
    </row>
    <row r="60" spans="1:6" s="12" customFormat="1" ht="47.25" customHeight="1">
      <c r="A60" s="12" t="s">
        <v>11</v>
      </c>
      <c r="B60" s="12" t="s">
        <v>97</v>
      </c>
      <c r="C60" s="12" t="s">
        <v>737</v>
      </c>
      <c r="D60" s="11" t="s">
        <v>738</v>
      </c>
      <c r="E60" s="12" t="s">
        <v>11</v>
      </c>
      <c r="F60" s="13">
        <f>(F64/F11)*F20</f>
        <v>0.74806148369272996</v>
      </c>
    </row>
    <row r="61" spans="1:6" s="12" customFormat="1" ht="45">
      <c r="A61" s="12" t="s">
        <v>11</v>
      </c>
      <c r="B61" s="12" t="s">
        <v>97</v>
      </c>
      <c r="C61" s="12" t="s">
        <v>739</v>
      </c>
      <c r="D61" s="11" t="s">
        <v>740</v>
      </c>
      <c r="E61" s="12" t="s">
        <v>11</v>
      </c>
      <c r="F61" s="13">
        <f>(F40/(1-(F40/F18))*(F64/F11+F67/(2*F14)+((1-F18)/F18)*F62))</f>
        <v>3.4751872272499734E-2</v>
      </c>
    </row>
    <row r="62" spans="1:6" s="12" customFormat="1" ht="45">
      <c r="A62" s="12" t="s">
        <v>11</v>
      </c>
      <c r="B62" s="12" t="s">
        <v>97</v>
      </c>
      <c r="C62" s="12" t="s">
        <v>741</v>
      </c>
      <c r="D62" s="11" t="s">
        <v>742</v>
      </c>
      <c r="E62" s="12" t="s">
        <v>11</v>
      </c>
      <c r="F62" s="13">
        <f>((F64/F11)+(F65/(4*F12)-(F66)/(2*F13)))</f>
        <v>3.9122615096508641E-2</v>
      </c>
    </row>
    <row r="63" spans="1:6" s="17" customFormat="1" ht="18.75">
      <c r="A63" s="15"/>
      <c r="B63" s="15"/>
      <c r="D63" s="15" t="s">
        <v>743</v>
      </c>
      <c r="E63" s="16"/>
      <c r="F63" s="16"/>
    </row>
    <row r="64" spans="1:6" s="12" customFormat="1" ht="30">
      <c r="A64" s="12" t="s">
        <v>11</v>
      </c>
      <c r="B64" s="12" t="s">
        <v>97</v>
      </c>
      <c r="C64" s="22" t="s">
        <v>744</v>
      </c>
      <c r="D64" s="11" t="s">
        <v>745</v>
      </c>
      <c r="E64" s="12" t="s">
        <v>11</v>
      </c>
      <c r="F64" s="13">
        <f>((F33*F23+F34*F24+F35*F25)*F11)/F48</f>
        <v>0.40049691283629696</v>
      </c>
    </row>
    <row r="65" spans="1:6" s="12" customFormat="1" ht="30">
      <c r="A65" s="12" t="s">
        <v>11</v>
      </c>
      <c r="B65" s="12" t="s">
        <v>97</v>
      </c>
      <c r="C65" s="12" t="s">
        <v>746</v>
      </c>
      <c r="D65" s="11" t="s">
        <v>747</v>
      </c>
      <c r="E65" s="12" t="s">
        <v>11</v>
      </c>
      <c r="F65" s="13">
        <f>(F33*F26+F37*F27)*F12/F48</f>
        <v>8.314760907051344E-2</v>
      </c>
    </row>
    <row r="66" spans="1:6" s="12" customFormat="1" ht="30">
      <c r="A66" s="12" t="s">
        <v>11</v>
      </c>
      <c r="B66" s="12" t="s">
        <v>97</v>
      </c>
      <c r="C66" s="12" t="s">
        <v>748</v>
      </c>
      <c r="D66" s="11" t="s">
        <v>749</v>
      </c>
      <c r="E66" s="12" t="s">
        <v>11</v>
      </c>
      <c r="F66" s="13">
        <f>(F34*F28+F35*F29+F36*F30)*F13/F48</f>
        <v>0.47466300780598153</v>
      </c>
    </row>
    <row r="67" spans="1:6" s="12" customFormat="1" ht="30">
      <c r="A67" s="12" t="s">
        <v>11</v>
      </c>
      <c r="B67" s="12" t="s">
        <v>97</v>
      </c>
      <c r="C67" s="12" t="s">
        <v>750</v>
      </c>
      <c r="D67" s="11" t="s">
        <v>751</v>
      </c>
      <c r="E67" s="12" t="s">
        <v>11</v>
      </c>
      <c r="F67" s="13">
        <f>F38*F31*F14/F48</f>
        <v>4.1562679621011261E-2</v>
      </c>
    </row>
    <row r="68" spans="1:6" s="17" customFormat="1" ht="18.75">
      <c r="A68" s="15"/>
      <c r="B68" s="15"/>
      <c r="D68" s="15" t="s">
        <v>752</v>
      </c>
      <c r="E68" s="16"/>
      <c r="F68" s="16"/>
    </row>
    <row r="69" spans="1:6" s="12" customFormat="1" ht="30">
      <c r="A69" s="12" t="s">
        <v>11</v>
      </c>
      <c r="B69" s="12" t="s">
        <v>97</v>
      </c>
      <c r="C69" s="12" t="s">
        <v>753</v>
      </c>
      <c r="D69" s="11" t="s">
        <v>754</v>
      </c>
      <c r="E69" s="12" t="s">
        <v>11</v>
      </c>
      <c r="F69" s="13">
        <f>(F42*(1-F52/100)*F50)*F19/100</f>
        <v>2052.329109165044</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C25A-6E3D-4361-ABFB-66480E4F7E94}">
  <dimension ref="A1:I73"/>
  <sheetViews>
    <sheetView topLeftCell="A13" workbookViewId="0">
      <selection activeCell="G16" sqref="G16"/>
    </sheetView>
  </sheetViews>
  <sheetFormatPr defaultRowHeight="15"/>
  <cols>
    <col min="1" max="1" width="13.140625" customWidth="1"/>
    <col min="2" max="2" width="13.7109375" customWidth="1"/>
    <col min="3" max="3" width="12.140625" customWidth="1"/>
    <col min="4" max="4" width="15.28515625" customWidth="1"/>
    <col min="5" max="5" width="17.85546875" bestFit="1" customWidth="1"/>
    <col min="6" max="6" width="69.85546875" customWidth="1"/>
    <col min="7" max="7" width="45.7109375" customWidth="1"/>
    <col min="8" max="8" width="46" customWidth="1"/>
  </cols>
  <sheetData>
    <row r="1" spans="1:9" ht="37.5">
      <c r="A1" s="36" t="s">
        <v>0</v>
      </c>
      <c r="B1" s="36" t="s">
        <v>1</v>
      </c>
      <c r="C1" s="35" t="s">
        <v>257</v>
      </c>
      <c r="D1" s="35" t="s">
        <v>3</v>
      </c>
      <c r="E1" s="36" t="s">
        <v>5</v>
      </c>
      <c r="F1" s="2" t="s">
        <v>6</v>
      </c>
      <c r="G1" s="2" t="s">
        <v>7</v>
      </c>
      <c r="H1" s="35" t="s">
        <v>8</v>
      </c>
      <c r="I1" s="6"/>
    </row>
    <row r="2" spans="1:9" ht="21">
      <c r="A2" s="114" t="s">
        <v>755</v>
      </c>
      <c r="B2" s="114"/>
      <c r="C2" s="114"/>
      <c r="D2" s="114"/>
      <c r="E2" s="114"/>
      <c r="F2" s="114"/>
      <c r="G2" s="114"/>
      <c r="H2" s="114"/>
      <c r="I2" s="6"/>
    </row>
    <row r="3" spans="1:9" ht="18.75">
      <c r="A3" s="96" t="s">
        <v>11</v>
      </c>
      <c r="B3" s="97"/>
      <c r="C3" s="23" t="s">
        <v>11</v>
      </c>
      <c r="D3" s="23" t="s">
        <v>756</v>
      </c>
      <c r="E3" s="96" t="s">
        <v>757</v>
      </c>
      <c r="F3" s="12" t="s">
        <v>758</v>
      </c>
      <c r="G3" s="98">
        <f>G16+(IF(AND(G18="Option 1"),G20,IF(AND(G18="Option 2"),G22)))+G27+G41+G57</f>
        <v>95.130333333333326</v>
      </c>
      <c r="H3" s="99"/>
      <c r="I3" s="6"/>
    </row>
    <row r="4" spans="1:9" ht="21">
      <c r="A4" s="114" t="s">
        <v>759</v>
      </c>
      <c r="B4" s="114"/>
      <c r="C4" s="114"/>
      <c r="D4" s="114"/>
      <c r="E4" s="114"/>
      <c r="F4" s="114"/>
      <c r="G4" s="114"/>
      <c r="H4" s="114"/>
      <c r="I4" s="9"/>
    </row>
    <row r="5" spans="1:9" ht="60">
      <c r="A5" t="s">
        <v>10</v>
      </c>
      <c r="C5" t="s">
        <v>10</v>
      </c>
      <c r="D5" t="s">
        <v>89</v>
      </c>
      <c r="E5" t="s">
        <v>6</v>
      </c>
      <c r="F5" s="8" t="s">
        <v>760</v>
      </c>
      <c r="G5" t="s">
        <v>761</v>
      </c>
    </row>
    <row r="6" spans="1:9" ht="21">
      <c r="A6" s="114" t="s">
        <v>762</v>
      </c>
      <c r="B6" s="114"/>
      <c r="C6" s="114"/>
      <c r="D6" s="114"/>
      <c r="E6" s="114"/>
      <c r="F6" s="114"/>
      <c r="G6" s="114"/>
      <c r="H6" s="114"/>
      <c r="I6" s="9"/>
    </row>
    <row r="7" spans="1:9">
      <c r="A7" t="s">
        <v>10</v>
      </c>
      <c r="C7" t="s">
        <v>10</v>
      </c>
      <c r="D7" t="s">
        <v>128</v>
      </c>
      <c r="E7" t="s">
        <v>139</v>
      </c>
      <c r="F7" t="s">
        <v>763</v>
      </c>
      <c r="G7">
        <v>1</v>
      </c>
    </row>
    <row r="8" spans="1:9" ht="21">
      <c r="A8" s="114" t="s">
        <v>764</v>
      </c>
      <c r="B8" s="114"/>
      <c r="C8" s="114"/>
      <c r="D8" s="114"/>
      <c r="E8" s="114"/>
      <c r="F8" s="114"/>
      <c r="G8" s="114"/>
      <c r="H8" s="114"/>
      <c r="I8" s="9"/>
    </row>
    <row r="9" spans="1:9">
      <c r="A9" s="96" t="s">
        <v>11</v>
      </c>
      <c r="B9" s="12"/>
      <c r="C9" s="12" t="s">
        <v>11</v>
      </c>
      <c r="D9" s="23" t="s">
        <v>756</v>
      </c>
      <c r="E9" s="12" t="s">
        <v>139</v>
      </c>
      <c r="F9" s="12" t="s">
        <v>763</v>
      </c>
      <c r="G9" s="12">
        <f>SUM(G11,G13)</f>
        <v>2</v>
      </c>
      <c r="H9" s="12"/>
    </row>
    <row r="10" spans="1:9" ht="29.25" customHeight="1">
      <c r="A10" s="122" t="s">
        <v>765</v>
      </c>
      <c r="B10" s="122"/>
      <c r="C10" s="122"/>
      <c r="D10" s="122"/>
      <c r="E10" s="122"/>
      <c r="F10" s="122"/>
      <c r="G10" s="122"/>
      <c r="H10" s="122"/>
      <c r="I10" s="9"/>
    </row>
    <row r="11" spans="1:9" ht="29.25" customHeight="1">
      <c r="A11" t="s">
        <v>10</v>
      </c>
      <c r="C11" t="s">
        <v>10</v>
      </c>
      <c r="D11" t="s">
        <v>128</v>
      </c>
      <c r="E11" t="s">
        <v>766</v>
      </c>
      <c r="F11" s="8" t="s">
        <v>767</v>
      </c>
      <c r="G11">
        <v>1</v>
      </c>
    </row>
    <row r="12" spans="1:9" ht="29.25" customHeight="1">
      <c r="A12" s="122" t="s">
        <v>765</v>
      </c>
      <c r="B12" s="122"/>
      <c r="C12" s="122"/>
      <c r="D12" s="122"/>
      <c r="E12" s="122"/>
      <c r="F12" s="122"/>
      <c r="G12" s="122"/>
      <c r="H12" s="122"/>
      <c r="I12" s="9"/>
    </row>
    <row r="13" spans="1:9" ht="29.25" customHeight="1">
      <c r="A13" t="s">
        <v>10</v>
      </c>
      <c r="C13" t="s">
        <v>10</v>
      </c>
      <c r="D13" t="s">
        <v>128</v>
      </c>
      <c r="E13" t="s">
        <v>766</v>
      </c>
      <c r="F13" s="8" t="s">
        <v>767</v>
      </c>
      <c r="G13">
        <v>1</v>
      </c>
    </row>
    <row r="14" spans="1:9" ht="21">
      <c r="A14" s="114" t="s">
        <v>768</v>
      </c>
      <c r="B14" s="114"/>
      <c r="C14" s="114"/>
      <c r="D14" s="114"/>
      <c r="E14" s="114"/>
      <c r="F14" s="114"/>
      <c r="G14" s="114"/>
      <c r="H14" s="114"/>
    </row>
    <row r="15" spans="1:9" ht="90">
      <c r="A15" t="s">
        <v>10</v>
      </c>
      <c r="C15" t="s">
        <v>10</v>
      </c>
      <c r="D15" t="s">
        <v>89</v>
      </c>
      <c r="E15" t="s">
        <v>6</v>
      </c>
      <c r="F15" s="8" t="s">
        <v>769</v>
      </c>
      <c r="G15" t="s">
        <v>10</v>
      </c>
    </row>
    <row r="16" spans="1:9" ht="30">
      <c r="A16" s="96" t="s">
        <v>11</v>
      </c>
      <c r="B16" s="12"/>
      <c r="C16" s="12" t="s">
        <v>11</v>
      </c>
      <c r="D16" s="23" t="s">
        <v>756</v>
      </c>
      <c r="E16" s="12" t="s">
        <v>770</v>
      </c>
      <c r="F16" s="11" t="s">
        <v>771</v>
      </c>
      <c r="G16" s="12">
        <f>'[1]Tool 05.1'!G6</f>
        <v>0.73499999999999999</v>
      </c>
      <c r="H16" s="12"/>
    </row>
    <row r="17" spans="1:8" ht="21">
      <c r="A17" s="114" t="s">
        <v>772</v>
      </c>
      <c r="B17" s="114"/>
      <c r="C17" s="114"/>
      <c r="D17" s="114"/>
      <c r="E17" s="114"/>
      <c r="F17" s="114"/>
      <c r="G17" s="114"/>
      <c r="H17" s="114"/>
    </row>
    <row r="18" spans="1:8" ht="60">
      <c r="A18" t="s">
        <v>10</v>
      </c>
      <c r="C18" t="s">
        <v>10</v>
      </c>
      <c r="D18" t="s">
        <v>89</v>
      </c>
      <c r="E18" t="s">
        <v>6</v>
      </c>
      <c r="F18" s="8" t="s">
        <v>773</v>
      </c>
      <c r="G18" t="s">
        <v>761</v>
      </c>
    </row>
    <row r="19" spans="1:8" ht="21">
      <c r="A19" s="114" t="s">
        <v>774</v>
      </c>
      <c r="B19" s="114"/>
      <c r="C19" s="114"/>
      <c r="D19" s="114"/>
      <c r="E19" s="114"/>
      <c r="F19" s="114"/>
      <c r="G19" s="114"/>
      <c r="H19" s="114"/>
    </row>
    <row r="20" spans="1:8" ht="30">
      <c r="A20" s="96" t="s">
        <v>11</v>
      </c>
      <c r="B20" s="12"/>
      <c r="C20" s="12" t="s">
        <v>11</v>
      </c>
      <c r="D20" s="23" t="s">
        <v>756</v>
      </c>
      <c r="E20" s="12" t="s">
        <v>775</v>
      </c>
      <c r="F20" s="11" t="s">
        <v>776</v>
      </c>
      <c r="G20" s="12">
        <f>'[1](Revised) Tool 03'!G3</f>
        <v>73.333333333333329</v>
      </c>
      <c r="H20" s="12"/>
    </row>
    <row r="21" spans="1:8" ht="21">
      <c r="A21" s="114" t="s">
        <v>777</v>
      </c>
      <c r="B21" s="114"/>
      <c r="C21" s="114"/>
      <c r="D21" s="114"/>
      <c r="E21" s="114"/>
      <c r="F21" s="114"/>
      <c r="G21" s="114"/>
      <c r="H21" s="114"/>
    </row>
    <row r="22" spans="1:8" ht="30">
      <c r="A22" s="96" t="s">
        <v>11</v>
      </c>
      <c r="B22" s="12"/>
      <c r="C22" s="12" t="s">
        <v>11</v>
      </c>
      <c r="D22" s="23" t="s">
        <v>756</v>
      </c>
      <c r="E22" s="12" t="s">
        <v>775</v>
      </c>
      <c r="F22" s="11" t="s">
        <v>776</v>
      </c>
      <c r="G22" s="12">
        <f>G23*G24</f>
        <v>2.07E-2</v>
      </c>
      <c r="H22" s="12"/>
    </row>
    <row r="23" spans="1:8">
      <c r="A23" t="s">
        <v>10</v>
      </c>
      <c r="C23" t="s">
        <v>10</v>
      </c>
      <c r="D23" t="s">
        <v>128</v>
      </c>
      <c r="E23" t="s">
        <v>139</v>
      </c>
      <c r="F23" t="s">
        <v>778</v>
      </c>
      <c r="G23">
        <v>1</v>
      </c>
    </row>
    <row r="24" spans="1:8" ht="30">
      <c r="A24" s="96" t="s">
        <v>11</v>
      </c>
      <c r="B24" s="12"/>
      <c r="C24" s="12" t="s">
        <v>11</v>
      </c>
      <c r="D24" s="23" t="s">
        <v>756</v>
      </c>
      <c r="E24" s="12" t="s">
        <v>779</v>
      </c>
      <c r="F24" s="11" t="s">
        <v>780</v>
      </c>
      <c r="G24" s="12">
        <f>0.0207</f>
        <v>2.07E-2</v>
      </c>
      <c r="H24" s="12"/>
    </row>
    <row r="25" spans="1:8" ht="21">
      <c r="A25" s="114" t="s">
        <v>781</v>
      </c>
      <c r="B25" s="114"/>
      <c r="C25" s="114"/>
      <c r="D25" s="114"/>
      <c r="E25" s="114"/>
      <c r="F25" s="114"/>
      <c r="G25" s="114"/>
      <c r="H25" s="114"/>
    </row>
    <row r="26" spans="1:8" ht="60">
      <c r="A26" t="s">
        <v>10</v>
      </c>
      <c r="C26" t="s">
        <v>10</v>
      </c>
      <c r="D26" t="s">
        <v>89</v>
      </c>
      <c r="E26" t="s">
        <v>6</v>
      </c>
      <c r="F26" s="8" t="s">
        <v>782</v>
      </c>
      <c r="G26" s="100" t="s">
        <v>761</v>
      </c>
    </row>
    <row r="27" spans="1:8" ht="30">
      <c r="A27" s="96" t="s">
        <v>11</v>
      </c>
      <c r="B27" s="12"/>
      <c r="C27" s="12" t="s">
        <v>11</v>
      </c>
      <c r="D27" s="23" t="s">
        <v>756</v>
      </c>
      <c r="E27" s="12" t="s">
        <v>783</v>
      </c>
      <c r="F27" s="11" t="s">
        <v>784</v>
      </c>
      <c r="G27" s="101">
        <f>(IF(AND(G5="Option 1"),G7,IF(AND(G5="Option 2"),G9)))*G28*G63</f>
        <v>21</v>
      </c>
      <c r="H27" s="12"/>
    </row>
    <row r="28" spans="1:8" ht="30">
      <c r="A28" s="96" t="s">
        <v>11</v>
      </c>
      <c r="B28" s="12"/>
      <c r="C28" s="12" t="s">
        <v>11</v>
      </c>
      <c r="D28" s="23" t="s">
        <v>756</v>
      </c>
      <c r="E28" s="12" t="s">
        <v>785</v>
      </c>
      <c r="F28" s="11" t="s">
        <v>786</v>
      </c>
      <c r="G28" s="101">
        <f>IF(AND(G26="Option 1"),(SUM((G33/G34),(G37/G38))/G30),IF(AND(G26="Option 2"),0.002))</f>
        <v>1</v>
      </c>
      <c r="H28" s="12"/>
    </row>
    <row r="29" spans="1:8" ht="21">
      <c r="A29" s="114" t="s">
        <v>787</v>
      </c>
      <c r="B29" s="114"/>
      <c r="C29" s="114"/>
      <c r="D29" s="114"/>
      <c r="E29" s="114"/>
      <c r="F29" s="114"/>
      <c r="G29" s="114"/>
      <c r="H29" s="114"/>
    </row>
    <row r="30" spans="1:8" ht="30">
      <c r="A30" t="s">
        <v>10</v>
      </c>
      <c r="C30" t="s">
        <v>10</v>
      </c>
      <c r="D30" t="s">
        <v>128</v>
      </c>
      <c r="E30" t="s">
        <v>788</v>
      </c>
      <c r="F30" s="8" t="s">
        <v>789</v>
      </c>
      <c r="G30">
        <v>2</v>
      </c>
    </row>
    <row r="31" spans="1:8" ht="21">
      <c r="A31" s="122" t="s">
        <v>790</v>
      </c>
      <c r="B31" s="122"/>
      <c r="C31" s="122"/>
      <c r="D31" s="122"/>
      <c r="E31" s="122"/>
      <c r="F31" s="122"/>
      <c r="G31" s="122"/>
      <c r="H31" s="122"/>
    </row>
    <row r="32" spans="1:8">
      <c r="A32" t="s">
        <v>10</v>
      </c>
      <c r="C32" t="s">
        <v>10</v>
      </c>
      <c r="E32" t="s">
        <v>791</v>
      </c>
      <c r="F32" t="s">
        <v>792</v>
      </c>
      <c r="G32" s="100" t="s">
        <v>793</v>
      </c>
    </row>
    <row r="33" spans="1:8">
      <c r="A33" t="s">
        <v>10</v>
      </c>
      <c r="C33" t="s">
        <v>10</v>
      </c>
      <c r="D33" t="s">
        <v>128</v>
      </c>
      <c r="E33" t="s">
        <v>794</v>
      </c>
      <c r="F33" t="s">
        <v>795</v>
      </c>
      <c r="G33">
        <v>1</v>
      </c>
    </row>
    <row r="34" spans="1:8">
      <c r="A34" t="s">
        <v>10</v>
      </c>
      <c r="C34" t="s">
        <v>10</v>
      </c>
      <c r="D34" t="s">
        <v>128</v>
      </c>
      <c r="E34" t="s">
        <v>796</v>
      </c>
      <c r="F34" t="s">
        <v>797</v>
      </c>
      <c r="G34">
        <v>1</v>
      </c>
    </row>
    <row r="35" spans="1:8" ht="21">
      <c r="A35" s="122" t="s">
        <v>790</v>
      </c>
      <c r="B35" s="122"/>
      <c r="C35" s="122"/>
      <c r="D35" s="122"/>
      <c r="E35" s="122"/>
      <c r="F35" s="122"/>
      <c r="G35" s="122"/>
      <c r="H35" s="122"/>
    </row>
    <row r="36" spans="1:8">
      <c r="A36" t="s">
        <v>10</v>
      </c>
      <c r="C36" t="s">
        <v>10</v>
      </c>
      <c r="E36" t="s">
        <v>798</v>
      </c>
      <c r="F36" t="s">
        <v>792</v>
      </c>
      <c r="G36" s="100" t="s">
        <v>799</v>
      </c>
    </row>
    <row r="37" spans="1:8">
      <c r="A37" t="s">
        <v>10</v>
      </c>
      <c r="C37" t="s">
        <v>10</v>
      </c>
      <c r="D37" t="s">
        <v>128</v>
      </c>
      <c r="E37" t="s">
        <v>794</v>
      </c>
      <c r="F37" t="s">
        <v>795</v>
      </c>
      <c r="G37">
        <v>1</v>
      </c>
    </row>
    <row r="38" spans="1:8">
      <c r="A38" t="s">
        <v>10</v>
      </c>
      <c r="C38" t="s">
        <v>10</v>
      </c>
      <c r="D38" t="s">
        <v>128</v>
      </c>
      <c r="E38" t="s">
        <v>796</v>
      </c>
      <c r="F38" t="s">
        <v>797</v>
      </c>
      <c r="G38">
        <v>1</v>
      </c>
    </row>
    <row r="39" spans="1:8" ht="21">
      <c r="A39" s="114" t="s">
        <v>800</v>
      </c>
      <c r="B39" s="114"/>
      <c r="C39" s="114"/>
      <c r="D39" s="114"/>
      <c r="E39" s="114"/>
      <c r="F39" s="114"/>
      <c r="G39" s="114"/>
      <c r="H39" s="114"/>
    </row>
    <row r="40" spans="1:8" ht="60">
      <c r="A40" t="s">
        <v>10</v>
      </c>
      <c r="C40" t="s">
        <v>10</v>
      </c>
      <c r="D40" t="s">
        <v>89</v>
      </c>
      <c r="E40" t="s">
        <v>6</v>
      </c>
      <c r="F40" s="8" t="s">
        <v>801</v>
      </c>
      <c r="G40" s="100" t="s">
        <v>802</v>
      </c>
    </row>
    <row r="41" spans="1:8">
      <c r="A41" s="96" t="s">
        <v>11</v>
      </c>
      <c r="B41" s="12"/>
      <c r="C41" s="12" t="s">
        <v>11</v>
      </c>
      <c r="D41" s="23" t="s">
        <v>756</v>
      </c>
      <c r="E41" s="12" t="s">
        <v>803</v>
      </c>
      <c r="F41" s="12" t="s">
        <v>804</v>
      </c>
      <c r="G41" s="101">
        <f>(IF(AND(G5="Option 1"),G7,IF(AND(G5="Option 2"),G9)))*G42*G43</f>
        <v>6.2E-2</v>
      </c>
      <c r="H41" s="12"/>
    </row>
    <row r="42" spans="1:8" ht="30">
      <c r="A42" s="96" t="s">
        <v>11</v>
      </c>
      <c r="B42" s="12"/>
      <c r="C42" s="12" t="s">
        <v>11</v>
      </c>
      <c r="D42" s="23" t="s">
        <v>756</v>
      </c>
      <c r="E42" s="12" t="s">
        <v>805</v>
      </c>
      <c r="F42" s="11" t="s">
        <v>806</v>
      </c>
      <c r="G42" s="101">
        <f>IF(AND(G40="Option 1"),(SUM((G48/G49),(G52/G53))/G45),IF(AND(G40="Option 2"),0.0002))</f>
        <v>2.0000000000000001E-4</v>
      </c>
      <c r="H42" s="12"/>
    </row>
    <row r="43" spans="1:8">
      <c r="A43" s="96" t="s">
        <v>11</v>
      </c>
      <c r="B43" s="12"/>
      <c r="C43" s="12" t="s">
        <v>11</v>
      </c>
      <c r="D43" s="23" t="s">
        <v>756</v>
      </c>
      <c r="E43" s="12" t="s">
        <v>807</v>
      </c>
      <c r="F43" s="12" t="s">
        <v>808</v>
      </c>
      <c r="G43" s="101">
        <v>310</v>
      </c>
      <c r="H43" s="12"/>
    </row>
    <row r="44" spans="1:8" ht="21">
      <c r="A44" s="114" t="s">
        <v>809</v>
      </c>
      <c r="B44" s="114"/>
      <c r="C44" s="114"/>
      <c r="D44" s="114"/>
      <c r="E44" s="114"/>
      <c r="F44" s="114"/>
      <c r="G44" s="114"/>
      <c r="H44" s="114"/>
    </row>
    <row r="45" spans="1:8" ht="30">
      <c r="A45" t="s">
        <v>10</v>
      </c>
      <c r="C45" t="s">
        <v>10</v>
      </c>
      <c r="D45" t="s">
        <v>128</v>
      </c>
      <c r="E45" t="s">
        <v>788</v>
      </c>
      <c r="F45" s="8" t="s">
        <v>789</v>
      </c>
      <c r="G45">
        <v>2</v>
      </c>
    </row>
    <row r="46" spans="1:8" ht="21">
      <c r="A46" s="122" t="s">
        <v>810</v>
      </c>
      <c r="B46" s="122"/>
      <c r="C46" s="122"/>
      <c r="D46" s="122"/>
      <c r="E46" s="122"/>
      <c r="F46" s="122"/>
      <c r="G46" s="122"/>
      <c r="H46" s="122"/>
    </row>
    <row r="47" spans="1:8">
      <c r="A47" t="s">
        <v>10</v>
      </c>
      <c r="C47" t="s">
        <v>10</v>
      </c>
      <c r="E47" t="s">
        <v>791</v>
      </c>
      <c r="F47" t="s">
        <v>792</v>
      </c>
      <c r="G47" s="100" t="s">
        <v>793</v>
      </c>
    </row>
    <row r="48" spans="1:8" ht="30">
      <c r="A48" t="s">
        <v>10</v>
      </c>
      <c r="C48" t="s">
        <v>10</v>
      </c>
      <c r="D48" t="s">
        <v>128</v>
      </c>
      <c r="E48" t="s">
        <v>811</v>
      </c>
      <c r="F48" s="8" t="s">
        <v>812</v>
      </c>
      <c r="G48">
        <v>1</v>
      </c>
    </row>
    <row r="49" spans="1:8">
      <c r="A49" t="s">
        <v>10</v>
      </c>
      <c r="C49" t="s">
        <v>10</v>
      </c>
      <c r="D49" t="s">
        <v>128</v>
      </c>
      <c r="E49" t="s">
        <v>796</v>
      </c>
      <c r="F49" t="s">
        <v>797</v>
      </c>
      <c r="G49">
        <v>1</v>
      </c>
    </row>
    <row r="50" spans="1:8" ht="21">
      <c r="A50" s="122" t="s">
        <v>810</v>
      </c>
      <c r="B50" s="122"/>
      <c r="C50" s="122"/>
      <c r="D50" s="122"/>
      <c r="E50" s="122"/>
      <c r="F50" s="122"/>
      <c r="G50" s="122"/>
      <c r="H50" s="122"/>
    </row>
    <row r="51" spans="1:8">
      <c r="A51" t="s">
        <v>10</v>
      </c>
      <c r="C51" t="s">
        <v>10</v>
      </c>
      <c r="E51" t="s">
        <v>798</v>
      </c>
      <c r="F51" t="s">
        <v>792</v>
      </c>
      <c r="G51" s="100" t="s">
        <v>799</v>
      </c>
    </row>
    <row r="52" spans="1:8" ht="30">
      <c r="A52" t="s">
        <v>10</v>
      </c>
      <c r="C52" t="s">
        <v>10</v>
      </c>
      <c r="D52" t="s">
        <v>128</v>
      </c>
      <c r="E52" t="s">
        <v>811</v>
      </c>
      <c r="F52" s="8" t="s">
        <v>812</v>
      </c>
      <c r="G52">
        <v>1</v>
      </c>
    </row>
    <row r="53" spans="1:8">
      <c r="A53" t="s">
        <v>10</v>
      </c>
      <c r="C53" t="s">
        <v>10</v>
      </c>
      <c r="D53" t="s">
        <v>128</v>
      </c>
      <c r="E53" t="s">
        <v>796</v>
      </c>
      <c r="F53" t="s">
        <v>797</v>
      </c>
      <c r="G53">
        <v>1</v>
      </c>
    </row>
    <row r="54" spans="1:8" ht="21" customHeight="1">
      <c r="A54" s="114" t="s">
        <v>813</v>
      </c>
      <c r="B54" s="114"/>
      <c r="C54" s="114"/>
      <c r="D54" s="114"/>
      <c r="E54" s="114"/>
      <c r="F54" s="114"/>
      <c r="G54" s="114"/>
      <c r="H54" s="114"/>
    </row>
    <row r="55" spans="1:8">
      <c r="A55" t="s">
        <v>10</v>
      </c>
      <c r="C55" t="s">
        <v>10</v>
      </c>
      <c r="D55" t="s">
        <v>89</v>
      </c>
      <c r="E55" t="s">
        <v>6</v>
      </c>
      <c r="F55" t="s">
        <v>814</v>
      </c>
      <c r="G55" s="100" t="s">
        <v>10</v>
      </c>
    </row>
    <row r="56" spans="1:8" ht="165">
      <c r="A56" t="s">
        <v>10</v>
      </c>
      <c r="C56" t="s">
        <v>10</v>
      </c>
      <c r="D56" t="s">
        <v>89</v>
      </c>
      <c r="E56" t="s">
        <v>6</v>
      </c>
      <c r="F56" s="8" t="s">
        <v>815</v>
      </c>
      <c r="G56" s="100" t="s">
        <v>761</v>
      </c>
    </row>
    <row r="57" spans="1:8" ht="30">
      <c r="A57" s="96" t="s">
        <v>11</v>
      </c>
      <c r="B57" s="12"/>
      <c r="C57" s="12" t="s">
        <v>11</v>
      </c>
      <c r="D57" s="23" t="s">
        <v>756</v>
      </c>
      <c r="E57" s="12" t="s">
        <v>816</v>
      </c>
      <c r="F57" s="11" t="s">
        <v>817</v>
      </c>
      <c r="G57" s="101">
        <f>IF(AND(G55="Yes"),0,IF(AND(G55="No"),G58*G59*G61*G62*G63))</f>
        <v>0</v>
      </c>
      <c r="H57" s="12"/>
    </row>
    <row r="58" spans="1:8" ht="30">
      <c r="A58" s="96" t="s">
        <v>11</v>
      </c>
      <c r="B58" s="12"/>
      <c r="C58" s="12" t="s">
        <v>11</v>
      </c>
      <c r="D58" s="23" t="s">
        <v>756</v>
      </c>
      <c r="E58" s="12" t="s">
        <v>818</v>
      </c>
      <c r="F58" s="11" t="s">
        <v>819</v>
      </c>
      <c r="G58" s="12">
        <f>IF(AND(G56="Option 1"),G65*G66,IF(AND(G56="Option 2"),G68*G69*G70))</f>
        <v>1</v>
      </c>
      <c r="H58" s="12"/>
    </row>
    <row r="59" spans="1:8">
      <c r="A59" s="96" t="s">
        <v>11</v>
      </c>
      <c r="B59" s="12"/>
      <c r="C59" s="12" t="s">
        <v>11</v>
      </c>
      <c r="D59" s="23" t="s">
        <v>756</v>
      </c>
      <c r="E59" s="12" t="s">
        <v>820</v>
      </c>
      <c r="F59" s="12" t="s">
        <v>821</v>
      </c>
      <c r="G59" s="12">
        <f>0.25</f>
        <v>0.25</v>
      </c>
      <c r="H59" s="12"/>
    </row>
    <row r="60" spans="1:8" ht="30">
      <c r="A60" t="s">
        <v>10</v>
      </c>
      <c r="C60" t="s">
        <v>10</v>
      </c>
      <c r="D60" t="s">
        <v>89</v>
      </c>
      <c r="E60" t="s">
        <v>822</v>
      </c>
      <c r="F60" s="8" t="s">
        <v>823</v>
      </c>
      <c r="G60" s="8" t="s">
        <v>824</v>
      </c>
    </row>
    <row r="61" spans="1:8" ht="30">
      <c r="A61" s="96" t="s">
        <v>11</v>
      </c>
      <c r="B61" s="12"/>
      <c r="C61" s="12" t="s">
        <v>11</v>
      </c>
      <c r="D61" s="23" t="s">
        <v>756</v>
      </c>
      <c r="E61" s="12" t="s">
        <v>825</v>
      </c>
      <c r="F61" s="11" t="s">
        <v>826</v>
      </c>
      <c r="G61" s="12">
        <f>IF(G60="","",VLOOKUP(G60,'MCF Defaults'!B3:C10,2,FALSE))</f>
        <v>0.2</v>
      </c>
      <c r="H61" s="12"/>
    </row>
    <row r="62" spans="1:8" ht="30">
      <c r="A62" s="96" t="s">
        <v>11</v>
      </c>
      <c r="B62" s="12"/>
      <c r="C62" s="12" t="s">
        <v>11</v>
      </c>
      <c r="D62" s="23" t="s">
        <v>756</v>
      </c>
      <c r="E62" s="12"/>
      <c r="F62" s="11" t="s">
        <v>827</v>
      </c>
      <c r="G62" s="12">
        <f>1.12</f>
        <v>1.1200000000000001</v>
      </c>
      <c r="H62" s="12"/>
    </row>
    <row r="63" spans="1:8">
      <c r="A63" s="96" t="s">
        <v>11</v>
      </c>
      <c r="B63" s="12"/>
      <c r="C63" s="12" t="s">
        <v>11</v>
      </c>
      <c r="D63" s="23" t="s">
        <v>756</v>
      </c>
      <c r="E63" s="12" t="s">
        <v>660</v>
      </c>
      <c r="F63" s="12" t="s">
        <v>828</v>
      </c>
      <c r="G63" s="12">
        <f>21</f>
        <v>21</v>
      </c>
      <c r="H63" s="12"/>
    </row>
    <row r="64" spans="1:8" ht="21">
      <c r="A64" s="114" t="s">
        <v>829</v>
      </c>
      <c r="B64" s="114"/>
      <c r="C64" s="114"/>
      <c r="D64" s="114"/>
      <c r="E64" s="114"/>
      <c r="F64" s="114"/>
      <c r="G64" s="114"/>
      <c r="H64" s="114"/>
    </row>
    <row r="65" spans="1:9" ht="30">
      <c r="A65" t="s">
        <v>10</v>
      </c>
      <c r="C65" t="s">
        <v>10</v>
      </c>
      <c r="D65" s="102" t="s">
        <v>128</v>
      </c>
      <c r="E65" t="s">
        <v>830</v>
      </c>
      <c r="F65" s="8" t="s">
        <v>831</v>
      </c>
      <c r="G65">
        <v>1</v>
      </c>
    </row>
    <row r="66" spans="1:9" ht="30">
      <c r="A66" t="s">
        <v>10</v>
      </c>
      <c r="C66" t="s">
        <v>10</v>
      </c>
      <c r="D66" s="102" t="s">
        <v>128</v>
      </c>
      <c r="E66" t="s">
        <v>832</v>
      </c>
      <c r="F66" s="8" t="s">
        <v>833</v>
      </c>
      <c r="G66">
        <v>1</v>
      </c>
    </row>
    <row r="67" spans="1:9" ht="21">
      <c r="A67" s="114" t="s">
        <v>834</v>
      </c>
      <c r="B67" s="114"/>
      <c r="C67" s="114"/>
      <c r="D67" s="114"/>
      <c r="E67" s="114"/>
      <c r="F67" s="114"/>
      <c r="G67" s="114"/>
      <c r="H67" s="114"/>
    </row>
    <row r="68" spans="1:9">
      <c r="A68" t="s">
        <v>10</v>
      </c>
      <c r="C68" t="s">
        <v>10</v>
      </c>
      <c r="D68" s="102" t="s">
        <v>128</v>
      </c>
      <c r="E68" t="s">
        <v>835</v>
      </c>
      <c r="F68" t="s">
        <v>836</v>
      </c>
      <c r="G68">
        <v>1</v>
      </c>
    </row>
    <row r="69" spans="1:9">
      <c r="A69" t="s">
        <v>10</v>
      </c>
      <c r="C69" t="s">
        <v>10</v>
      </c>
      <c r="D69" s="102" t="s">
        <v>128</v>
      </c>
      <c r="E69" t="s">
        <v>837</v>
      </c>
      <c r="F69" t="s">
        <v>838</v>
      </c>
      <c r="G69">
        <v>1</v>
      </c>
    </row>
    <row r="70" spans="1:9" ht="30">
      <c r="A70" s="96" t="s">
        <v>11</v>
      </c>
      <c r="B70" s="12"/>
      <c r="C70" s="12" t="s">
        <v>11</v>
      </c>
      <c r="D70" s="23" t="s">
        <v>756</v>
      </c>
      <c r="E70" s="12" t="s">
        <v>839</v>
      </c>
      <c r="F70" s="11" t="s">
        <v>840</v>
      </c>
      <c r="G70" s="12">
        <f>0.02</f>
        <v>0.02</v>
      </c>
      <c r="H70" s="12"/>
      <c r="I70" t="s">
        <v>841</v>
      </c>
    </row>
    <row r="71" spans="1:9" ht="21">
      <c r="A71" s="114" t="s">
        <v>842</v>
      </c>
      <c r="B71" s="114"/>
      <c r="C71" s="114"/>
      <c r="D71" s="114"/>
      <c r="E71" s="114"/>
      <c r="F71" s="114"/>
      <c r="G71" s="114"/>
      <c r="H71" s="114"/>
    </row>
    <row r="72" spans="1:9" ht="45">
      <c r="A72" t="s">
        <v>10</v>
      </c>
      <c r="C72" t="s">
        <v>10</v>
      </c>
      <c r="D72" t="s">
        <v>89</v>
      </c>
      <c r="E72" t="s">
        <v>6</v>
      </c>
      <c r="F72" s="8" t="s">
        <v>843</v>
      </c>
      <c r="G72" s="100" t="s">
        <v>10</v>
      </c>
    </row>
    <row r="73" spans="1:9">
      <c r="A73" s="96" t="s">
        <v>11</v>
      </c>
      <c r="B73" s="12"/>
      <c r="C73" s="12" t="s">
        <v>11</v>
      </c>
      <c r="D73" s="23" t="s">
        <v>756</v>
      </c>
      <c r="E73" s="12" t="s">
        <v>844</v>
      </c>
      <c r="F73" s="12" t="s">
        <v>845</v>
      </c>
      <c r="G73" s="12">
        <f>IF(AND(G72="No"),0,IF(AND(G72="Yes"),'[1]Tool 04-SWDS-Yearly'!C86))</f>
        <v>0.16218993029283385</v>
      </c>
      <c r="H73" s="12"/>
    </row>
  </sheetData>
  <mergeCells count="22">
    <mergeCell ref="A29:H29"/>
    <mergeCell ref="A2:H2"/>
    <mergeCell ref="A4:H4"/>
    <mergeCell ref="A6:H6"/>
    <mergeCell ref="A8:H8"/>
    <mergeCell ref="A10:H10"/>
    <mergeCell ref="A12:H12"/>
    <mergeCell ref="A14:H14"/>
    <mergeCell ref="A17:H17"/>
    <mergeCell ref="A19:H19"/>
    <mergeCell ref="A21:H21"/>
    <mergeCell ref="A25:H25"/>
    <mergeCell ref="A54:H54"/>
    <mergeCell ref="A64:H64"/>
    <mergeCell ref="A67:H67"/>
    <mergeCell ref="A71:H71"/>
    <mergeCell ref="A31:H31"/>
    <mergeCell ref="A35:H35"/>
    <mergeCell ref="A39:H39"/>
    <mergeCell ref="A44:H44"/>
    <mergeCell ref="A46:H46"/>
    <mergeCell ref="A50:H50"/>
  </mergeCells>
  <dataValidations count="3">
    <dataValidation type="list" allowBlank="1" showInputMessage="1" showErrorMessage="1" sqref="G18 G56 G26 G40" xr:uid="{261F982D-3C78-4EBE-B60D-AF20444F1220}">
      <formula1>"Option 1,Option 2"</formula1>
    </dataValidation>
    <dataValidation type="list" allowBlank="1" showInputMessage="1" showErrorMessage="1" sqref="G5" xr:uid="{69507D52-8AF6-4AC7-A713-CDB2A5300DFA}">
      <formula1>"Option 1, Option 2"</formula1>
    </dataValidation>
    <dataValidation type="list" allowBlank="1" showInputMessage="1" showErrorMessage="1" sqref="G15 G55 G72" xr:uid="{4656A7D2-B7B6-4251-AE64-29A156C9EC82}">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61AA77C2-A83B-451A-9531-E5EA3C6BA6DC}">
          <x14:formula1>
            <xm:f>'MCF Defaults'!$B$3:$B$10</xm:f>
          </x14:formula1>
          <xm:sqref>G60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04630-B59F-43F9-8998-F4ADDCD1EBAE}">
  <dimension ref="A1:G10"/>
  <sheetViews>
    <sheetView workbookViewId="0">
      <selection activeCell="H79" sqref="H79"/>
    </sheetView>
  </sheetViews>
  <sheetFormatPr defaultRowHeight="15"/>
  <cols>
    <col min="1" max="1" width="9.28515625" customWidth="1"/>
    <col min="2" max="2" width="50.140625" customWidth="1"/>
    <col min="3" max="3" width="15.5703125" customWidth="1"/>
  </cols>
  <sheetData>
    <row r="1" spans="1:7" ht="21.75" customHeight="1" thickBot="1">
      <c r="A1" s="103"/>
      <c r="B1" s="123" t="s">
        <v>846</v>
      </c>
      <c r="C1" s="123"/>
      <c r="D1" s="103"/>
      <c r="E1" s="103"/>
      <c r="F1" s="103"/>
      <c r="G1" s="103"/>
    </row>
    <row r="2" spans="1:7" ht="38.25" thickBot="1">
      <c r="B2" s="104" t="s">
        <v>847</v>
      </c>
      <c r="C2" s="40" t="s">
        <v>848</v>
      </c>
    </row>
    <row r="3" spans="1:7">
      <c r="B3" s="105" t="s">
        <v>849</v>
      </c>
      <c r="C3" s="106">
        <v>0.1</v>
      </c>
    </row>
    <row r="4" spans="1:7">
      <c r="B4" s="73" t="s">
        <v>850</v>
      </c>
      <c r="C4" s="107">
        <v>0</v>
      </c>
    </row>
    <row r="5" spans="1:7">
      <c r="B5" s="76" t="s">
        <v>851</v>
      </c>
      <c r="C5" s="107">
        <v>0.3</v>
      </c>
    </row>
    <row r="6" spans="1:7" ht="30">
      <c r="B6" s="76" t="s">
        <v>852</v>
      </c>
      <c r="C6" s="107">
        <v>0.8</v>
      </c>
    </row>
    <row r="7" spans="1:7">
      <c r="B7" s="76" t="s">
        <v>853</v>
      </c>
      <c r="C7" s="107">
        <v>0.8</v>
      </c>
    </row>
    <row r="8" spans="1:7">
      <c r="B8" s="76" t="s">
        <v>824</v>
      </c>
      <c r="C8" s="107">
        <v>0.2</v>
      </c>
    </row>
    <row r="9" spans="1:7">
      <c r="B9" s="76" t="s">
        <v>854</v>
      </c>
      <c r="C9" s="107">
        <v>0.8</v>
      </c>
    </row>
    <row r="10" spans="1:7" ht="15.75" thickBot="1">
      <c r="B10" s="77" t="s">
        <v>855</v>
      </c>
      <c r="C10" s="108">
        <v>0.5</v>
      </c>
    </row>
  </sheetData>
  <mergeCells count="1">
    <mergeCell ref="B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D0D9-5747-4FDF-B7FE-4A8C7473F74C}">
  <dimension ref="A1:G89"/>
  <sheetViews>
    <sheetView topLeftCell="A8" workbookViewId="0">
      <selection activeCell="D81" sqref="D81"/>
    </sheetView>
  </sheetViews>
  <sheetFormatPr defaultRowHeight="15"/>
  <cols>
    <col min="1" max="1" width="12.42578125" customWidth="1"/>
    <col min="2" max="2" width="12.140625" customWidth="1"/>
    <col min="3" max="3" width="16.140625" bestFit="1" customWidth="1"/>
    <col min="4" max="4" width="16.140625" customWidth="1"/>
    <col min="5" max="5" width="54.28515625" customWidth="1"/>
    <col min="6" max="6" width="83" customWidth="1"/>
    <col min="7" max="7" width="59.140625" customWidth="1"/>
  </cols>
  <sheetData>
    <row r="1" spans="1:7" ht="56.25">
      <c r="A1" s="36" t="s">
        <v>0</v>
      </c>
      <c r="B1" s="35" t="s">
        <v>2</v>
      </c>
      <c r="C1" s="1" t="s">
        <v>3</v>
      </c>
      <c r="D1" s="1" t="s">
        <v>5</v>
      </c>
      <c r="E1" s="2" t="s">
        <v>6</v>
      </c>
      <c r="F1" s="1" t="s">
        <v>7</v>
      </c>
      <c r="G1" s="1" t="s">
        <v>8</v>
      </c>
    </row>
    <row r="2" spans="1:7" s="17" customFormat="1" ht="18.75">
      <c r="A2" s="15"/>
      <c r="B2" s="16"/>
      <c r="C2" s="16"/>
      <c r="D2" s="16"/>
      <c r="E2" s="15" t="s">
        <v>856</v>
      </c>
      <c r="F2" s="16"/>
    </row>
    <row r="3" spans="1:7" s="26" customFormat="1" ht="45.75">
      <c r="A3" s="28" t="s">
        <v>10</v>
      </c>
      <c r="B3" s="34" t="s">
        <v>11</v>
      </c>
      <c r="C3" s="28" t="s">
        <v>89</v>
      </c>
      <c r="D3" s="29"/>
      <c r="E3" s="30" t="s">
        <v>857</v>
      </c>
      <c r="F3" s="31" t="s">
        <v>27</v>
      </c>
      <c r="G3" s="31" t="s">
        <v>858</v>
      </c>
    </row>
    <row r="4" spans="1:7" s="26" customFormat="1" ht="45.75">
      <c r="A4" s="28" t="s">
        <v>10</v>
      </c>
      <c r="B4" s="34" t="s">
        <v>11</v>
      </c>
      <c r="C4" s="28" t="s">
        <v>452</v>
      </c>
      <c r="D4" s="29"/>
      <c r="E4" s="30" t="s">
        <v>859</v>
      </c>
      <c r="F4" s="31" t="s">
        <v>860</v>
      </c>
      <c r="G4" s="31" t="s">
        <v>861</v>
      </c>
    </row>
    <row r="5" spans="1:7" s="17" customFormat="1" ht="18.75">
      <c r="A5" s="15"/>
      <c r="B5" s="16"/>
      <c r="C5" s="16"/>
      <c r="D5" s="16"/>
      <c r="E5" s="15" t="s">
        <v>768</v>
      </c>
      <c r="F5" s="16"/>
    </row>
    <row r="6" spans="1:7" s="26" customFormat="1" ht="45.75">
      <c r="A6" s="28" t="s">
        <v>10</v>
      </c>
      <c r="B6" s="34" t="s">
        <v>11</v>
      </c>
      <c r="C6" s="28" t="s">
        <v>89</v>
      </c>
      <c r="D6" s="29"/>
      <c r="E6" s="30" t="s">
        <v>862</v>
      </c>
      <c r="F6" s="31" t="s">
        <v>10</v>
      </c>
      <c r="G6" s="31" t="s">
        <v>863</v>
      </c>
    </row>
    <row r="7" spans="1:7" s="26" customFormat="1" ht="45.75">
      <c r="A7" s="28" t="s">
        <v>10</v>
      </c>
      <c r="B7" s="34" t="s">
        <v>11</v>
      </c>
      <c r="C7" s="28" t="s">
        <v>89</v>
      </c>
      <c r="D7" s="29"/>
      <c r="E7" s="30" t="s">
        <v>864</v>
      </c>
      <c r="F7" s="31" t="s">
        <v>10</v>
      </c>
      <c r="G7" s="31" t="s">
        <v>865</v>
      </c>
    </row>
    <row r="8" spans="1:7" s="26" customFormat="1" ht="45.75">
      <c r="A8" s="28" t="s">
        <v>10</v>
      </c>
      <c r="B8" s="34" t="s">
        <v>11</v>
      </c>
      <c r="C8" s="28" t="s">
        <v>452</v>
      </c>
      <c r="D8" s="29"/>
      <c r="E8" s="30" t="s">
        <v>866</v>
      </c>
      <c r="F8" s="31" t="s">
        <v>860</v>
      </c>
      <c r="G8" s="31" t="s">
        <v>867</v>
      </c>
    </row>
    <row r="9" spans="1:7" s="17" customFormat="1" ht="18.75">
      <c r="A9" s="15"/>
      <c r="B9" s="16"/>
      <c r="C9" s="16"/>
      <c r="D9" s="16"/>
      <c r="E9" s="15" t="s">
        <v>868</v>
      </c>
      <c r="F9" s="16"/>
    </row>
    <row r="10" spans="1:7" s="26" customFormat="1" ht="106.5">
      <c r="A10" s="28" t="s">
        <v>10</v>
      </c>
      <c r="B10" s="34" t="s">
        <v>11</v>
      </c>
      <c r="C10" s="28" t="s">
        <v>452</v>
      </c>
      <c r="D10" s="29"/>
      <c r="E10" s="112" t="s">
        <v>869</v>
      </c>
      <c r="F10" s="31" t="s">
        <v>870</v>
      </c>
      <c r="G10" s="31" t="s">
        <v>871</v>
      </c>
    </row>
    <row r="11" spans="1:7" s="26" customFormat="1" ht="45.75">
      <c r="A11" s="28" t="s">
        <v>10</v>
      </c>
      <c r="B11" s="34" t="s">
        <v>11</v>
      </c>
      <c r="C11" s="28" t="s">
        <v>452</v>
      </c>
      <c r="D11" s="29"/>
      <c r="E11" s="30" t="s">
        <v>872</v>
      </c>
      <c r="F11" s="80" t="s">
        <v>860</v>
      </c>
      <c r="G11" s="80" t="s">
        <v>873</v>
      </c>
    </row>
    <row r="12" spans="1:7" s="17" customFormat="1" ht="18.75">
      <c r="A12" s="15"/>
      <c r="B12" s="16"/>
      <c r="C12" s="16"/>
      <c r="D12" s="16"/>
      <c r="E12" s="15" t="s">
        <v>874</v>
      </c>
      <c r="F12" s="16"/>
    </row>
    <row r="13" spans="1:7" s="12" customFormat="1" ht="30">
      <c r="A13" s="12" t="s">
        <v>11</v>
      </c>
      <c r="B13" s="11" t="s">
        <v>11</v>
      </c>
      <c r="C13" s="12" t="s">
        <v>756</v>
      </c>
      <c r="D13" s="12" t="s">
        <v>875</v>
      </c>
      <c r="E13" s="11" t="s">
        <v>876</v>
      </c>
      <c r="F13" s="13">
        <f>IF(AND(F7="Yes"),0,F14+F15+F16+F17)</f>
        <v>0</v>
      </c>
    </row>
    <row r="14" spans="1:7" s="12" customFormat="1" ht="30.75">
      <c r="A14" s="12" t="s">
        <v>11</v>
      </c>
      <c r="B14" s="11" t="s">
        <v>11</v>
      </c>
      <c r="C14" s="12" t="s">
        <v>89</v>
      </c>
      <c r="D14" s="12" t="s">
        <v>877</v>
      </c>
      <c r="E14" s="11" t="s">
        <v>878</v>
      </c>
      <c r="F14" s="13">
        <f>IF(AND(F8="Default Values"),F49,IF(AND(F8="Monitored Values"),F47))</f>
        <v>0</v>
      </c>
      <c r="G14" s="21" t="s">
        <v>879</v>
      </c>
    </row>
    <row r="15" spans="1:7" s="12" customFormat="1" ht="30.75">
      <c r="A15" s="12" t="s">
        <v>11</v>
      </c>
      <c r="B15" s="11" t="s">
        <v>11</v>
      </c>
      <c r="C15" s="12" t="s">
        <v>756</v>
      </c>
      <c r="D15" s="12" t="s">
        <v>775</v>
      </c>
      <c r="E15" s="11" t="s">
        <v>880</v>
      </c>
      <c r="F15" s="13">
        <f>F55</f>
        <v>0</v>
      </c>
      <c r="G15" s="13"/>
    </row>
    <row r="16" spans="1:7" s="12" customFormat="1" ht="30">
      <c r="A16" s="12" t="s">
        <v>11</v>
      </c>
      <c r="B16" s="11" t="s">
        <v>11</v>
      </c>
      <c r="C16" s="12" t="s">
        <v>756</v>
      </c>
      <c r="D16" s="12" t="s">
        <v>783</v>
      </c>
      <c r="E16" s="11" t="s">
        <v>881</v>
      </c>
      <c r="F16" s="13">
        <f>F57</f>
        <v>87.808000000000007</v>
      </c>
    </row>
    <row r="17" spans="1:7" s="12" customFormat="1">
      <c r="A17" s="12" t="s">
        <v>11</v>
      </c>
      <c r="B17" s="11" t="s">
        <v>11</v>
      </c>
      <c r="C17" s="12" t="s">
        <v>756</v>
      </c>
      <c r="D17" s="12" t="s">
        <v>115</v>
      </c>
      <c r="E17" s="11" t="s">
        <v>882</v>
      </c>
      <c r="F17" s="13">
        <f>F63</f>
        <v>2052.329109165044</v>
      </c>
      <c r="G17" s="13"/>
    </row>
    <row r="18" spans="1:7" s="17" customFormat="1" ht="18.75">
      <c r="A18" s="15"/>
      <c r="B18" s="16"/>
      <c r="C18" s="16"/>
      <c r="D18" s="16"/>
      <c r="E18" s="15" t="s">
        <v>883</v>
      </c>
      <c r="F18" s="16"/>
    </row>
    <row r="19" spans="1:7" s="12" customFormat="1" ht="30">
      <c r="A19" s="12" t="s">
        <v>11</v>
      </c>
      <c r="B19" s="12" t="s">
        <v>11</v>
      </c>
      <c r="C19" s="12" t="s">
        <v>756</v>
      </c>
      <c r="D19" s="12" t="s">
        <v>884</v>
      </c>
      <c r="E19" s="11" t="s">
        <v>885</v>
      </c>
      <c r="F19" s="13">
        <f>(F20*F23)/((F22-F20)*F24)</f>
        <v>0</v>
      </c>
    </row>
    <row r="20" spans="1:7" ht="30">
      <c r="A20" t="s">
        <v>10</v>
      </c>
      <c r="B20" s="8" t="s">
        <v>10</v>
      </c>
      <c r="C20" t="s">
        <v>128</v>
      </c>
      <c r="D20" t="s">
        <v>886</v>
      </c>
      <c r="E20" s="8" t="s">
        <v>887</v>
      </c>
      <c r="F20" s="10">
        <v>0</v>
      </c>
    </row>
    <row r="21" spans="1:7">
      <c r="A21" t="s">
        <v>10</v>
      </c>
      <c r="B21" s="8" t="s">
        <v>10</v>
      </c>
      <c r="C21" t="s">
        <v>128</v>
      </c>
      <c r="D21" t="s">
        <v>888</v>
      </c>
      <c r="E21" s="8" t="s">
        <v>889</v>
      </c>
      <c r="F21" s="10">
        <v>0</v>
      </c>
    </row>
    <row r="22" spans="1:7" ht="30">
      <c r="A22" t="s">
        <v>10</v>
      </c>
      <c r="B22" s="8" t="s">
        <v>10</v>
      </c>
      <c r="C22" t="s">
        <v>128</v>
      </c>
      <c r="D22" t="s">
        <v>890</v>
      </c>
      <c r="E22" s="8" t="s">
        <v>891</v>
      </c>
      <c r="F22" s="10">
        <v>1</v>
      </c>
    </row>
    <row r="23" spans="1:7" s="12" customFormat="1">
      <c r="A23" s="12" t="s">
        <v>11</v>
      </c>
      <c r="B23" s="12" t="s">
        <v>11</v>
      </c>
      <c r="C23" s="12" t="s">
        <v>756</v>
      </c>
      <c r="D23" s="12" t="s">
        <v>892</v>
      </c>
      <c r="E23" s="11" t="s">
        <v>893</v>
      </c>
      <c r="F23" s="13">
        <f>18.0152</f>
        <v>18.0152</v>
      </c>
    </row>
    <row r="24" spans="1:7" s="12" customFormat="1" ht="30">
      <c r="A24" s="12" t="s">
        <v>11</v>
      </c>
      <c r="B24" s="12" t="s">
        <v>11</v>
      </c>
      <c r="C24" s="12" t="s">
        <v>756</v>
      </c>
      <c r="D24" s="12" t="s">
        <v>894</v>
      </c>
      <c r="E24" s="11" t="s">
        <v>895</v>
      </c>
      <c r="F24" s="13">
        <f>SUM(F25*F26)</f>
        <v>16.04</v>
      </c>
    </row>
    <row r="25" spans="1:7" ht="30">
      <c r="A25" t="s">
        <v>10</v>
      </c>
      <c r="B25" s="8" t="s">
        <v>10</v>
      </c>
      <c r="C25" t="s">
        <v>128</v>
      </c>
      <c r="D25" t="s">
        <v>896</v>
      </c>
      <c r="E25" s="8" t="s">
        <v>897</v>
      </c>
      <c r="F25" s="10">
        <v>1</v>
      </c>
    </row>
    <row r="26" spans="1:7" s="12" customFormat="1">
      <c r="A26" s="12" t="s">
        <v>11</v>
      </c>
      <c r="B26" s="12" t="s">
        <v>11</v>
      </c>
      <c r="C26" s="12" t="s">
        <v>756</v>
      </c>
      <c r="D26" s="12" t="s">
        <v>898</v>
      </c>
      <c r="E26" s="12" t="s">
        <v>899</v>
      </c>
      <c r="F26" s="13">
        <f>16.04</f>
        <v>16.04</v>
      </c>
    </row>
    <row r="27" spans="1:7" s="12" customFormat="1">
      <c r="A27" s="12" t="s">
        <v>11</v>
      </c>
      <c r="B27" s="12" t="s">
        <v>11</v>
      </c>
      <c r="C27" s="12" t="s">
        <v>756</v>
      </c>
      <c r="D27" s="12" t="s">
        <v>900</v>
      </c>
      <c r="E27" s="11" t="s">
        <v>901</v>
      </c>
      <c r="F27" s="12" t="s">
        <v>902</v>
      </c>
    </row>
    <row r="28" spans="1:7" s="12" customFormat="1" ht="30">
      <c r="A28" s="12" t="s">
        <v>11</v>
      </c>
      <c r="B28" s="12" t="s">
        <v>11</v>
      </c>
      <c r="C28" s="12" t="s">
        <v>756</v>
      </c>
      <c r="D28" s="12" t="s">
        <v>720</v>
      </c>
      <c r="E28" s="11" t="s">
        <v>903</v>
      </c>
      <c r="F28" s="13">
        <f>F29*F30*F31</f>
        <v>16.040000000000003</v>
      </c>
    </row>
    <row r="29" spans="1:7" s="12" customFormat="1" ht="30">
      <c r="A29" s="12" t="s">
        <v>11</v>
      </c>
      <c r="B29" s="12" t="s">
        <v>11</v>
      </c>
      <c r="C29" s="12" t="s">
        <v>756</v>
      </c>
      <c r="D29" s="12" t="s">
        <v>904</v>
      </c>
      <c r="E29" s="11" t="s">
        <v>905</v>
      </c>
      <c r="F29" s="13">
        <f>F36/F37</f>
        <v>22.412722427831234</v>
      </c>
    </row>
    <row r="30" spans="1:7" ht="45">
      <c r="A30" t="s">
        <v>10</v>
      </c>
      <c r="B30" t="s">
        <v>10</v>
      </c>
      <c r="C30" t="s">
        <v>128</v>
      </c>
      <c r="D30" t="s">
        <v>906</v>
      </c>
      <c r="E30" s="8" t="s">
        <v>907</v>
      </c>
      <c r="F30" s="10">
        <v>1</v>
      </c>
    </row>
    <row r="31" spans="1:7" s="12" customFormat="1" ht="45">
      <c r="A31" s="12" t="s">
        <v>11</v>
      </c>
      <c r="B31" s="12" t="s">
        <v>11</v>
      </c>
      <c r="C31" s="12" t="s">
        <v>756</v>
      </c>
      <c r="D31" s="12" t="s">
        <v>908</v>
      </c>
      <c r="E31" s="11" t="s">
        <v>909</v>
      </c>
      <c r="F31" s="13">
        <f>(F32*F34)/(F35*F33)</f>
        <v>0.71566495554695142</v>
      </c>
    </row>
    <row r="32" spans="1:7" s="12" customFormat="1">
      <c r="A32" s="12" t="s">
        <v>11</v>
      </c>
      <c r="B32" s="12" t="s">
        <v>11</v>
      </c>
      <c r="C32" s="12" t="s">
        <v>756</v>
      </c>
      <c r="E32" s="11" t="s">
        <v>910</v>
      </c>
      <c r="F32" s="13">
        <f>101325</f>
        <v>101325</v>
      </c>
    </row>
    <row r="33" spans="1:7" s="12" customFormat="1">
      <c r="A33" s="12" t="s">
        <v>11</v>
      </c>
      <c r="B33" s="12" t="s">
        <v>11</v>
      </c>
      <c r="C33" s="12" t="s">
        <v>756</v>
      </c>
      <c r="D33" s="12" t="s">
        <v>911</v>
      </c>
      <c r="E33" s="11" t="s">
        <v>912</v>
      </c>
      <c r="F33" s="13">
        <f>273.15</f>
        <v>273.14999999999998</v>
      </c>
    </row>
    <row r="34" spans="1:7" s="12" customFormat="1">
      <c r="A34" s="12" t="s">
        <v>11</v>
      </c>
      <c r="B34" s="12" t="s">
        <v>11</v>
      </c>
      <c r="C34" s="12" t="s">
        <v>756</v>
      </c>
      <c r="D34" s="12" t="s">
        <v>913</v>
      </c>
      <c r="E34" s="11" t="s">
        <v>914</v>
      </c>
      <c r="F34" s="13">
        <f>16.04</f>
        <v>16.04</v>
      </c>
    </row>
    <row r="35" spans="1:7" s="12" customFormat="1">
      <c r="A35" s="12" t="s">
        <v>11</v>
      </c>
      <c r="B35" s="12" t="s">
        <v>11</v>
      </c>
      <c r="C35" s="12" t="s">
        <v>756</v>
      </c>
      <c r="D35" s="12" t="s">
        <v>915</v>
      </c>
      <c r="E35" s="11" t="s">
        <v>916</v>
      </c>
      <c r="F35" s="13">
        <f>8314</f>
        <v>8314</v>
      </c>
    </row>
    <row r="36" spans="1:7" ht="30">
      <c r="A36" t="s">
        <v>10</v>
      </c>
      <c r="B36" t="s">
        <v>10</v>
      </c>
      <c r="C36" t="s">
        <v>128</v>
      </c>
      <c r="D36" t="s">
        <v>917</v>
      </c>
      <c r="E36" s="8" t="s">
        <v>918</v>
      </c>
      <c r="F36" s="10">
        <v>1</v>
      </c>
    </row>
    <row r="37" spans="1:7" s="12" customFormat="1" ht="30">
      <c r="A37" s="12" t="s">
        <v>11</v>
      </c>
      <c r="B37" s="12" t="s">
        <v>11</v>
      </c>
      <c r="C37" s="12" t="s">
        <v>756</v>
      </c>
      <c r="D37" s="12" t="s">
        <v>919</v>
      </c>
      <c r="E37" s="11" t="s">
        <v>920</v>
      </c>
      <c r="F37" s="13">
        <f>(F32*F38)/(F35*F33)</f>
        <v>4.4617515931854826E-2</v>
      </c>
    </row>
    <row r="38" spans="1:7" ht="45">
      <c r="A38" t="s">
        <v>10</v>
      </c>
      <c r="B38" t="s">
        <v>10</v>
      </c>
      <c r="C38" t="s">
        <v>128</v>
      </c>
      <c r="D38" t="s">
        <v>921</v>
      </c>
      <c r="E38" s="8" t="s">
        <v>922</v>
      </c>
      <c r="F38" s="10">
        <v>1</v>
      </c>
    </row>
    <row r="39" spans="1:7" ht="30">
      <c r="A39" t="s">
        <v>10</v>
      </c>
      <c r="B39" t="s">
        <v>10</v>
      </c>
      <c r="C39" t="s">
        <v>128</v>
      </c>
      <c r="D39" t="s">
        <v>923</v>
      </c>
      <c r="E39" s="8" t="s">
        <v>924</v>
      </c>
      <c r="F39" s="10">
        <v>1</v>
      </c>
    </row>
    <row r="40" spans="1:7">
      <c r="A40" t="s">
        <v>10</v>
      </c>
      <c r="B40" t="s">
        <v>10</v>
      </c>
      <c r="C40" t="s">
        <v>12</v>
      </c>
      <c r="D40" t="s">
        <v>925</v>
      </c>
      <c r="E40" s="8" t="s">
        <v>926</v>
      </c>
      <c r="F40" t="s">
        <v>927</v>
      </c>
    </row>
    <row r="41" spans="1:7" s="17" customFormat="1" ht="18.75">
      <c r="A41" s="15"/>
      <c r="B41" s="16"/>
      <c r="C41" s="16"/>
      <c r="D41" s="16"/>
      <c r="E41" s="15" t="s">
        <v>928</v>
      </c>
      <c r="F41" s="16"/>
    </row>
    <row r="42" spans="1:7" s="12" customFormat="1" ht="30">
      <c r="A42" s="12" t="s">
        <v>11</v>
      </c>
      <c r="B42" s="12" t="s">
        <v>11</v>
      </c>
      <c r="C42" s="12" t="s">
        <v>756</v>
      </c>
      <c r="D42" s="12" t="s">
        <v>929</v>
      </c>
      <c r="E42" s="11" t="s">
        <v>930</v>
      </c>
      <c r="F42" s="13">
        <f>F43*F44*F45</f>
        <v>112.56</v>
      </c>
    </row>
    <row r="43" spans="1:7" ht="30">
      <c r="A43" t="s">
        <v>10</v>
      </c>
      <c r="B43" t="s">
        <v>10</v>
      </c>
      <c r="C43" t="s">
        <v>128</v>
      </c>
      <c r="D43" t="s">
        <v>931</v>
      </c>
      <c r="E43" s="8" t="s">
        <v>932</v>
      </c>
      <c r="F43">
        <v>280000</v>
      </c>
    </row>
    <row r="44" spans="1:7" s="12" customFormat="1" ht="30">
      <c r="A44" s="12" t="s">
        <v>11</v>
      </c>
      <c r="B44" s="12" t="s">
        <v>11</v>
      </c>
      <c r="C44" s="12" t="s">
        <v>756</v>
      </c>
      <c r="D44" s="12" t="s">
        <v>933</v>
      </c>
      <c r="E44" s="11" t="s">
        <v>934</v>
      </c>
      <c r="F44" s="13">
        <v>0.6</v>
      </c>
    </row>
    <row r="45" spans="1:7" s="12" customFormat="1" ht="30">
      <c r="A45" s="12" t="s">
        <v>11</v>
      </c>
      <c r="B45" s="12" t="s">
        <v>11</v>
      </c>
      <c r="C45" s="12" t="s">
        <v>756</v>
      </c>
      <c r="D45" s="12" t="s">
        <v>935</v>
      </c>
      <c r="E45" s="11" t="s">
        <v>936</v>
      </c>
      <c r="F45" s="13">
        <v>6.7000000000000002E-4</v>
      </c>
    </row>
    <row r="46" spans="1:7" s="17" customFormat="1" ht="18.75">
      <c r="A46" s="15"/>
      <c r="B46" s="16"/>
      <c r="C46" s="16"/>
      <c r="D46" s="16"/>
      <c r="E46" s="15" t="s">
        <v>937</v>
      </c>
      <c r="F46" s="16"/>
    </row>
    <row r="47" spans="1:7" s="12" customFormat="1" ht="30">
      <c r="A47" s="12" t="s">
        <v>11</v>
      </c>
      <c r="B47" s="12" t="s">
        <v>11</v>
      </c>
      <c r="C47" s="12" t="s">
        <v>756</v>
      </c>
      <c r="D47" s="12" t="s">
        <v>877</v>
      </c>
      <c r="E47" s="11" t="s">
        <v>458</v>
      </c>
      <c r="F47" s="13">
        <f>'Tool 05.1'!G6</f>
        <v>0.73499999999999999</v>
      </c>
      <c r="G47" s="13" t="s">
        <v>938</v>
      </c>
    </row>
    <row r="48" spans="1:7" s="17" customFormat="1" ht="18.75">
      <c r="A48" s="15"/>
      <c r="B48" s="16"/>
      <c r="C48" s="16"/>
      <c r="D48" s="16"/>
      <c r="E48" s="15" t="s">
        <v>939</v>
      </c>
      <c r="F48" s="16"/>
    </row>
    <row r="49" spans="1:7" s="12" customFormat="1" ht="30">
      <c r="A49" s="12" t="s">
        <v>11</v>
      </c>
      <c r="B49" s="12" t="s">
        <v>11</v>
      </c>
      <c r="C49" s="12" t="s">
        <v>756</v>
      </c>
      <c r="D49" s="12" t="s">
        <v>877</v>
      </c>
      <c r="E49" s="11" t="s">
        <v>940</v>
      </c>
      <c r="F49" s="13">
        <f>F50*F52*F53</f>
        <v>0</v>
      </c>
    </row>
    <row r="50" spans="1:7" ht="30">
      <c r="A50" s="9" t="s">
        <v>10</v>
      </c>
      <c r="B50" s="9" t="s">
        <v>10</v>
      </c>
      <c r="C50" t="s">
        <v>128</v>
      </c>
      <c r="D50" t="s">
        <v>929</v>
      </c>
      <c r="E50" s="8" t="s">
        <v>941</v>
      </c>
      <c r="F50">
        <v>0</v>
      </c>
    </row>
    <row r="51" spans="1:7" s="82" customFormat="1" ht="167.25">
      <c r="A51" s="81"/>
      <c r="B51" s="81"/>
      <c r="C51" s="82" t="s">
        <v>89</v>
      </c>
      <c r="D51" s="82" t="s">
        <v>6</v>
      </c>
      <c r="E51" s="127" t="s">
        <v>942</v>
      </c>
      <c r="F51" s="82" t="s">
        <v>297</v>
      </c>
    </row>
    <row r="52" spans="1:7" s="12" customFormat="1" ht="45">
      <c r="A52" s="12" t="s">
        <v>11</v>
      </c>
      <c r="B52" s="12" t="s">
        <v>11</v>
      </c>
      <c r="C52" s="12" t="s">
        <v>756</v>
      </c>
      <c r="D52" s="12" t="s">
        <v>943</v>
      </c>
      <c r="E52" s="14" t="s">
        <v>944</v>
      </c>
      <c r="F52" s="21">
        <f>IF(AND(F51="Option A"),0,IF(AND(F51="Option B"),0.01,IF(AND(F51="Option C"),1.02,IF(AND(F51="Option D"),1.54,IF(AND(F51="Option E"),0)))))</f>
        <v>0.01</v>
      </c>
      <c r="G52" s="11" t="s">
        <v>945</v>
      </c>
    </row>
    <row r="53" spans="1:7" s="12" customFormat="1" ht="30">
      <c r="A53" s="12" t="s">
        <v>11</v>
      </c>
      <c r="B53" s="12" t="s">
        <v>11</v>
      </c>
      <c r="C53" s="12" t="s">
        <v>756</v>
      </c>
      <c r="D53" s="12" t="s">
        <v>946</v>
      </c>
      <c r="E53" s="11" t="s">
        <v>947</v>
      </c>
      <c r="F53" s="13">
        <v>1.3</v>
      </c>
    </row>
    <row r="54" spans="1:7" s="17" customFormat="1" ht="18.75">
      <c r="A54" s="15"/>
      <c r="B54" s="16"/>
      <c r="C54" s="16"/>
      <c r="D54" s="16"/>
      <c r="E54" s="15" t="s">
        <v>948</v>
      </c>
      <c r="F54" s="16"/>
    </row>
    <row r="55" spans="1:7" s="12" customFormat="1" ht="30">
      <c r="A55" s="12" t="s">
        <v>11</v>
      </c>
      <c r="B55" s="12" t="s">
        <v>11</v>
      </c>
      <c r="C55" s="12" t="s">
        <v>756</v>
      </c>
      <c r="D55" s="12" t="s">
        <v>775</v>
      </c>
      <c r="E55" s="11" t="s">
        <v>458</v>
      </c>
      <c r="F55" s="13">
        <f>'Tool 03'!G3</f>
        <v>0</v>
      </c>
      <c r="G55" s="13" t="s">
        <v>949</v>
      </c>
    </row>
    <row r="56" spans="1:7" s="17" customFormat="1" ht="18.75">
      <c r="A56" s="15"/>
      <c r="B56" s="16"/>
      <c r="C56" s="16"/>
      <c r="D56" s="16"/>
      <c r="E56" s="15" t="s">
        <v>950</v>
      </c>
      <c r="F56" s="16"/>
    </row>
    <row r="57" spans="1:7" s="12" customFormat="1" ht="30">
      <c r="A57" s="12" t="s">
        <v>11</v>
      </c>
      <c r="B57" s="12" t="s">
        <v>11</v>
      </c>
      <c r="C57" s="12" t="s">
        <v>756</v>
      </c>
      <c r="D57" s="12" t="s">
        <v>951</v>
      </c>
      <c r="E57" s="11" t="s">
        <v>881</v>
      </c>
      <c r="F57" s="13">
        <f>F58*F60*F61</f>
        <v>87.808000000000007</v>
      </c>
    </row>
    <row r="58" spans="1:7" ht="30">
      <c r="A58" s="9" t="s">
        <v>10</v>
      </c>
      <c r="B58" s="9" t="s">
        <v>10</v>
      </c>
      <c r="C58" t="s">
        <v>128</v>
      </c>
      <c r="D58" t="s">
        <v>929</v>
      </c>
      <c r="E58" s="8" t="s">
        <v>941</v>
      </c>
      <c r="F58">
        <v>112</v>
      </c>
    </row>
    <row r="59" spans="1:7" s="82" customFormat="1" ht="180">
      <c r="A59" s="81"/>
      <c r="B59" s="81"/>
      <c r="E59" s="83" t="s">
        <v>952</v>
      </c>
      <c r="F59" s="82" t="s">
        <v>269</v>
      </c>
    </row>
    <row r="60" spans="1:7" s="12" customFormat="1" ht="30">
      <c r="A60" s="12" t="s">
        <v>11</v>
      </c>
      <c r="B60" s="12" t="s">
        <v>11</v>
      </c>
      <c r="C60" s="12" t="s">
        <v>756</v>
      </c>
      <c r="D60" s="12" t="s">
        <v>953</v>
      </c>
      <c r="E60" s="11" t="s">
        <v>954</v>
      </c>
      <c r="F60" s="21">
        <f>IF(AND(F59="Option A"),0.028,IF(AND(F59="Option B"),0.05,IF(AND(F59="Option C"),0.1,IF(AND(F59="Option D"),0.01))))</f>
        <v>2.8000000000000001E-2</v>
      </c>
      <c r="G60" s="11" t="s">
        <v>955</v>
      </c>
    </row>
    <row r="61" spans="1:7" s="12" customFormat="1">
      <c r="A61" s="12" t="s">
        <v>11</v>
      </c>
      <c r="B61" s="12" t="s">
        <v>11</v>
      </c>
      <c r="C61" s="12" t="s">
        <v>756</v>
      </c>
      <c r="D61" s="12" t="s">
        <v>102</v>
      </c>
      <c r="E61" s="11" t="s">
        <v>956</v>
      </c>
      <c r="F61" s="126">
        <v>28</v>
      </c>
    </row>
    <row r="62" spans="1:7" s="17" customFormat="1" ht="18.75">
      <c r="A62" s="15"/>
      <c r="B62" s="16"/>
      <c r="C62" s="16"/>
      <c r="D62" s="16"/>
      <c r="E62" s="15" t="s">
        <v>957</v>
      </c>
      <c r="F62" s="16"/>
    </row>
    <row r="63" spans="1:7" s="12" customFormat="1" ht="30">
      <c r="A63" s="12" t="s">
        <v>11</v>
      </c>
      <c r="B63" s="12" t="s">
        <v>11</v>
      </c>
      <c r="C63" s="12" t="s">
        <v>756</v>
      </c>
      <c r="D63" s="12" t="s">
        <v>753</v>
      </c>
      <c r="E63" s="11" t="s">
        <v>754</v>
      </c>
      <c r="F63" s="13">
        <f>'Tool 06'!F69</f>
        <v>2052.329109165044</v>
      </c>
      <c r="G63" s="13" t="s">
        <v>958</v>
      </c>
    </row>
    <row r="64" spans="1:7" s="17" customFormat="1" ht="18.75">
      <c r="A64" s="15"/>
      <c r="B64" s="16"/>
      <c r="C64" s="16"/>
      <c r="D64" s="16"/>
      <c r="E64" s="15" t="s">
        <v>959</v>
      </c>
      <c r="F64" s="16"/>
    </row>
    <row r="65" spans="1:7" s="12" customFormat="1" ht="30">
      <c r="A65" s="12" t="s">
        <v>11</v>
      </c>
      <c r="B65" s="12" t="s">
        <v>11</v>
      </c>
      <c r="C65" s="12" t="s">
        <v>756</v>
      </c>
      <c r="D65" s="12" t="s">
        <v>960</v>
      </c>
      <c r="E65" s="11" t="s">
        <v>961</v>
      </c>
      <c r="F65" s="13">
        <f>F66+F67</f>
        <v>95.130333333333326</v>
      </c>
    </row>
    <row r="66" spans="1:7" s="12" customFormat="1" ht="30">
      <c r="A66" s="12" t="s">
        <v>11</v>
      </c>
      <c r="B66" s="12" t="s">
        <v>11</v>
      </c>
      <c r="C66" s="12" t="s">
        <v>756</v>
      </c>
      <c r="D66" s="12" t="s">
        <v>962</v>
      </c>
      <c r="E66" s="11" t="s">
        <v>963</v>
      </c>
      <c r="F66" s="84">
        <f>IF(AND(F10="Option 3"),0,IF(AND(F10="Option 1",F11="Monitored Data"),F69,IF(AND(F11="Default Values",F10="Option 1"),F77,IF(AND(F11="Default Values",F10="Option 2"),F83,IF(AND(F10="Option 2",F11="Monitored Data"),F89)))))</f>
        <v>0</v>
      </c>
      <c r="G66" s="85"/>
    </row>
    <row r="67" spans="1:7" s="12" customFormat="1" ht="30">
      <c r="A67" s="12" t="s">
        <v>11</v>
      </c>
      <c r="B67" s="12" t="s">
        <v>11</v>
      </c>
      <c r="C67" s="12" t="s">
        <v>756</v>
      </c>
      <c r="D67" s="12" t="s">
        <v>964</v>
      </c>
      <c r="E67" s="11" t="s">
        <v>965</v>
      </c>
      <c r="F67" s="21">
        <f>'Tool 13'!G3</f>
        <v>95.130333333333326</v>
      </c>
      <c r="G67" s="12" t="s">
        <v>966</v>
      </c>
    </row>
    <row r="68" spans="1:7" s="17" customFormat="1" ht="18.75">
      <c r="A68" s="15"/>
      <c r="B68" s="16"/>
      <c r="C68" s="16"/>
      <c r="D68" s="16"/>
      <c r="E68" s="15" t="s">
        <v>967</v>
      </c>
      <c r="F68" s="16"/>
    </row>
    <row r="69" spans="1:7" s="12" customFormat="1" ht="30">
      <c r="A69" s="12" t="s">
        <v>11</v>
      </c>
      <c r="B69" s="12" t="s">
        <v>11</v>
      </c>
      <c r="C69" s="12" t="s">
        <v>756</v>
      </c>
      <c r="D69" s="12" t="s">
        <v>962</v>
      </c>
      <c r="E69" s="11" t="s">
        <v>963</v>
      </c>
      <c r="F69" s="13">
        <f>F70*F71*F72*F74*F75</f>
        <v>0</v>
      </c>
    </row>
    <row r="70" spans="1:7" ht="30">
      <c r="A70" t="s">
        <v>10</v>
      </c>
      <c r="B70" t="s">
        <v>10</v>
      </c>
      <c r="C70" t="s">
        <v>128</v>
      </c>
      <c r="D70" t="s">
        <v>968</v>
      </c>
      <c r="E70" s="8" t="s">
        <v>969</v>
      </c>
      <c r="F70" s="10">
        <v>0</v>
      </c>
    </row>
    <row r="71" spans="1:7" ht="30">
      <c r="A71" t="s">
        <v>10</v>
      </c>
      <c r="B71" t="s">
        <v>10</v>
      </c>
      <c r="C71" t="s">
        <v>128</v>
      </c>
      <c r="D71" t="s">
        <v>970</v>
      </c>
      <c r="E71" s="8" t="s">
        <v>971</v>
      </c>
      <c r="F71" s="10">
        <v>0</v>
      </c>
    </row>
    <row r="72" spans="1:7" s="12" customFormat="1" ht="30">
      <c r="A72" s="12" t="s">
        <v>972</v>
      </c>
      <c r="B72" s="12" t="s">
        <v>11</v>
      </c>
      <c r="C72" s="12" t="s">
        <v>756</v>
      </c>
      <c r="D72" s="12" t="s">
        <v>973</v>
      </c>
      <c r="E72" s="11" t="s">
        <v>974</v>
      </c>
      <c r="F72" s="13">
        <f>0.25</f>
        <v>0.25</v>
      </c>
    </row>
    <row r="73" spans="1:7" s="26" customFormat="1" ht="30">
      <c r="A73" s="26" t="s">
        <v>10</v>
      </c>
      <c r="B73" s="26" t="s">
        <v>11</v>
      </c>
      <c r="C73" s="26" t="s">
        <v>452</v>
      </c>
      <c r="D73" s="26" t="s">
        <v>975</v>
      </c>
      <c r="E73" s="27" t="s">
        <v>976</v>
      </c>
      <c r="F73" s="27" t="s">
        <v>977</v>
      </c>
      <c r="G73" s="27"/>
    </row>
    <row r="74" spans="1:7" s="12" customFormat="1">
      <c r="A74" s="12" t="s">
        <v>11</v>
      </c>
      <c r="B74" s="12" t="s">
        <v>11</v>
      </c>
      <c r="C74" s="12" t="s">
        <v>756</v>
      </c>
      <c r="D74" s="12" t="s">
        <v>975</v>
      </c>
      <c r="E74" s="11" t="s">
        <v>978</v>
      </c>
      <c r="F74" s="21">
        <f>IF(AND(F73="≥ 2 m"),0.8,IF(AND(F73="&lt; 2 m and ≥ 1 m"),0.2,IF(AND(F73="&lt; 1 m"),0)))</f>
        <v>0.8</v>
      </c>
      <c r="G74" s="11" t="s">
        <v>979</v>
      </c>
    </row>
    <row r="75" spans="1:7" s="12" customFormat="1">
      <c r="A75" s="12" t="s">
        <v>11</v>
      </c>
      <c r="B75" s="12" t="s">
        <v>11</v>
      </c>
      <c r="C75" s="12" t="s">
        <v>756</v>
      </c>
      <c r="D75" s="12" t="s">
        <v>102</v>
      </c>
      <c r="E75" s="11" t="s">
        <v>956</v>
      </c>
      <c r="F75" s="126">
        <v>28</v>
      </c>
    </row>
    <row r="76" spans="1:7" s="17" customFormat="1" ht="18.75">
      <c r="A76" s="15"/>
      <c r="B76" s="16"/>
      <c r="C76" s="16"/>
      <c r="D76" s="16"/>
      <c r="E76" s="15" t="s">
        <v>980</v>
      </c>
      <c r="F76" s="16"/>
    </row>
    <row r="77" spans="1:7" s="12" customFormat="1" ht="30">
      <c r="A77" s="12" t="s">
        <v>11</v>
      </c>
      <c r="B77" s="12" t="s">
        <v>11</v>
      </c>
      <c r="C77" s="12" t="s">
        <v>756</v>
      </c>
      <c r="D77" s="12" t="s">
        <v>962</v>
      </c>
      <c r="E77" s="11" t="s">
        <v>963</v>
      </c>
      <c r="F77" s="13">
        <f>F79*F80*F81</f>
        <v>470.40000000000003</v>
      </c>
    </row>
    <row r="78" spans="1:7" s="26" customFormat="1" ht="120">
      <c r="E78" s="27" t="s">
        <v>981</v>
      </c>
      <c r="F78" s="32" t="s">
        <v>802</v>
      </c>
    </row>
    <row r="79" spans="1:7" s="12" customFormat="1" ht="30">
      <c r="A79" s="12" t="s">
        <v>10</v>
      </c>
      <c r="B79" s="12" t="s">
        <v>11</v>
      </c>
      <c r="C79" s="12" t="s">
        <v>452</v>
      </c>
      <c r="D79" s="12" t="s">
        <v>982</v>
      </c>
      <c r="E79" s="11" t="s">
        <v>983</v>
      </c>
      <c r="F79" s="21">
        <f>IF(AND(F78="Option 1"),0.1,IF(AND(F78="Option 2"),0.15,IF(AND(F78="Option 3"),0.2,IF(AND(F78="Option 4"),0.05))))</f>
        <v>0.15</v>
      </c>
      <c r="G79" s="11" t="s">
        <v>984</v>
      </c>
    </row>
    <row r="80" spans="1:7" ht="30">
      <c r="A80" t="s">
        <v>10</v>
      </c>
      <c r="B80" t="s">
        <v>10</v>
      </c>
      <c r="C80" t="s">
        <v>128</v>
      </c>
      <c r="D80" t="s">
        <v>929</v>
      </c>
      <c r="E80" s="8" t="s">
        <v>930</v>
      </c>
      <c r="F80">
        <v>112</v>
      </c>
    </row>
    <row r="81" spans="1:7" s="12" customFormat="1">
      <c r="A81" s="12" t="s">
        <v>11</v>
      </c>
      <c r="B81" s="12" t="s">
        <v>11</v>
      </c>
      <c r="C81" s="12" t="s">
        <v>756</v>
      </c>
      <c r="D81" s="12" t="s">
        <v>102</v>
      </c>
      <c r="E81" s="11" t="s">
        <v>956</v>
      </c>
      <c r="F81" s="126">
        <v>28</v>
      </c>
    </row>
    <row r="82" spans="1:7" s="17" customFormat="1" ht="18.75">
      <c r="A82" s="15"/>
      <c r="B82" s="16"/>
      <c r="C82" s="16"/>
      <c r="D82" s="16"/>
      <c r="E82" s="15" t="s">
        <v>985</v>
      </c>
    </row>
    <row r="83" spans="1:7" s="12" customFormat="1" ht="30">
      <c r="A83" s="12" t="s">
        <v>11</v>
      </c>
      <c r="B83" s="12" t="s">
        <v>11</v>
      </c>
      <c r="C83" s="12" t="s">
        <v>756</v>
      </c>
      <c r="D83" s="12" t="s">
        <v>962</v>
      </c>
      <c r="E83" s="11" t="s">
        <v>963</v>
      </c>
      <c r="F83" s="13">
        <f>F85*F86*F87</f>
        <v>0</v>
      </c>
    </row>
    <row r="84" spans="1:7" s="26" customFormat="1" ht="75">
      <c r="E84" s="27" t="s">
        <v>986</v>
      </c>
      <c r="F84" s="32" t="s">
        <v>761</v>
      </c>
    </row>
    <row r="85" spans="1:7" s="12" customFormat="1" ht="30">
      <c r="A85" s="12" t="s">
        <v>10</v>
      </c>
      <c r="B85" s="12" t="s">
        <v>11</v>
      </c>
      <c r="C85" s="12" t="s">
        <v>452</v>
      </c>
      <c r="D85" s="12" t="s">
        <v>987</v>
      </c>
      <c r="E85" s="11" t="s">
        <v>988</v>
      </c>
      <c r="F85" s="21">
        <f>IF(AND(F84="Option 1"),0.15,IF(AND(F84="Option 2"),0.35))</f>
        <v>0.15</v>
      </c>
      <c r="G85" s="11" t="s">
        <v>989</v>
      </c>
    </row>
    <row r="86" spans="1:7" ht="30">
      <c r="A86" t="s">
        <v>10</v>
      </c>
      <c r="B86" t="s">
        <v>10</v>
      </c>
      <c r="C86" t="s">
        <v>128</v>
      </c>
      <c r="D86" t="s">
        <v>929</v>
      </c>
      <c r="E86" s="8" t="s">
        <v>941</v>
      </c>
      <c r="F86">
        <v>0</v>
      </c>
    </row>
    <row r="87" spans="1:7" s="12" customFormat="1">
      <c r="A87" s="12" t="s">
        <v>11</v>
      </c>
      <c r="B87" s="12" t="s">
        <v>11</v>
      </c>
      <c r="C87" s="12" t="s">
        <v>756</v>
      </c>
      <c r="D87" s="12" t="s">
        <v>102</v>
      </c>
      <c r="E87" s="11" t="s">
        <v>990</v>
      </c>
      <c r="F87" s="126">
        <v>28</v>
      </c>
    </row>
    <row r="88" spans="1:7" s="17" customFormat="1" ht="18.75">
      <c r="A88" s="15"/>
      <c r="B88" s="16"/>
      <c r="C88" s="16"/>
      <c r="D88" s="16"/>
      <c r="E88" s="15" t="s">
        <v>991</v>
      </c>
    </row>
    <row r="89" spans="1:7" s="12" customFormat="1" ht="30">
      <c r="A89" s="12" t="s">
        <v>11</v>
      </c>
      <c r="B89" s="12" t="s">
        <v>11</v>
      </c>
      <c r="C89" s="12" t="s">
        <v>756</v>
      </c>
      <c r="D89" s="12" t="s">
        <v>962</v>
      </c>
      <c r="E89" s="11" t="s">
        <v>963</v>
      </c>
      <c r="F89" s="13">
        <f>'Tool 04-SWDS-Yearly'!C86</f>
        <v>0</v>
      </c>
      <c r="G89" s="12" t="s">
        <v>992</v>
      </c>
    </row>
  </sheetData>
  <dataValidations count="9">
    <dataValidation type="list" allowBlank="1" showInputMessage="1" showErrorMessage="1" sqref="F84" xr:uid="{C4CF2718-BB74-41BA-AFBA-72215C33859E}">
      <formula1>"Option 1,Option 2"</formula1>
    </dataValidation>
    <dataValidation type="list" allowBlank="1" showInputMessage="1" showErrorMessage="1" sqref="F78" xr:uid="{7D5E84D0-732F-49EA-A316-BBDAF2E0A660}">
      <formula1>"Option 1,Option 2,Option 3,Option 4"</formula1>
    </dataValidation>
    <dataValidation type="list" allowBlank="1" showInputMessage="1" showErrorMessage="1" sqref="F73" xr:uid="{A070AFE8-5CA8-4625-A984-8561C4571474}">
      <formula1>"≥ 2 m, &lt; 2 m and ≥ 1 m, &lt; 1 m"</formula1>
    </dataValidation>
    <dataValidation type="list" allowBlank="1" showInputMessage="1" showErrorMessage="1" sqref="F59" xr:uid="{DF268BCE-3C14-4BF2-939B-99BD38DB9410}">
      <formula1>"Option A,Option B,Option C,Option D"</formula1>
    </dataValidation>
    <dataValidation type="list" allowBlank="1" showInputMessage="1" showErrorMessage="1" sqref="F51" xr:uid="{8A41480D-F95E-46B1-8F80-4930311EC192}">
      <formula1>"Option A,Option B,Option C,Option D,Option E"</formula1>
    </dataValidation>
    <dataValidation type="list" allowBlank="1" showInputMessage="1" showErrorMessage="1" sqref="F10" xr:uid="{90BC0064-A738-42BF-95C2-4F0202AB4A55}">
      <formula1>"Option 1,Option 2,Option 3"</formula1>
    </dataValidation>
    <dataValidation type="list" allowBlank="1" showInputMessage="1" showErrorMessage="1" sqref="F6:F7" xr:uid="{66FAF034-3678-4767-80B3-5AE5ADD1F580}">
      <formula1>"Yes,No"</formula1>
    </dataValidation>
    <dataValidation type="list" allowBlank="1" showInputMessage="1" showErrorMessage="1" sqref="F4 F8 F11" xr:uid="{E1BDE753-2B99-4749-A989-9D54F551DBD4}">
      <formula1>"Default Values,Monitored Data"</formula1>
    </dataValidation>
    <dataValidation type="list" allowBlank="1" showInputMessage="1" showErrorMessage="1" sqref="F3" xr:uid="{4517DF04-219E-47AD-9572-23AA49732D32}">
      <formula1>"Small-scale,Large-scale"</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53707-6D4A-4BC4-80DA-14C497DFDF46}">
  <dimension ref="A1:B481"/>
  <sheetViews>
    <sheetView topLeftCell="A2" zoomScale="120" zoomScaleNormal="120" workbookViewId="0">
      <selection activeCell="A41" sqref="A41"/>
    </sheetView>
  </sheetViews>
  <sheetFormatPr defaultColWidth="8.85546875" defaultRowHeight="15"/>
  <cols>
    <col min="1" max="1" width="53.28515625" bestFit="1" customWidth="1"/>
    <col min="2" max="2" width="150.5703125" customWidth="1"/>
  </cols>
  <sheetData>
    <row r="1" spans="1:2">
      <c r="A1" s="37" t="s">
        <v>993</v>
      </c>
      <c r="B1" s="38" t="s">
        <v>994</v>
      </c>
    </row>
    <row r="2" spans="1:2">
      <c r="A2" t="s">
        <v>995</v>
      </c>
      <c r="B2" t="s">
        <v>996</v>
      </c>
    </row>
    <row r="3" spans="1:2">
      <c r="A3" t="s">
        <v>40</v>
      </c>
      <c r="B3" t="s">
        <v>997</v>
      </c>
    </row>
    <row r="4" spans="1:2">
      <c r="A4" t="s">
        <v>998</v>
      </c>
      <c r="B4" t="s">
        <v>999</v>
      </c>
    </row>
    <row r="5" spans="1:2">
      <c r="A5" t="s">
        <v>49</v>
      </c>
      <c r="B5" t="s">
        <v>1000</v>
      </c>
    </row>
    <row r="6" spans="1:2">
      <c r="A6" t="s">
        <v>58</v>
      </c>
      <c r="B6" t="s">
        <v>1001</v>
      </c>
    </row>
    <row r="7" spans="1:2">
      <c r="A7" t="s">
        <v>1002</v>
      </c>
      <c r="B7" t="s">
        <v>1003</v>
      </c>
    </row>
    <row r="8" spans="1:2">
      <c r="A8" t="s">
        <v>1004</v>
      </c>
      <c r="B8" t="s">
        <v>1005</v>
      </c>
    </row>
    <row r="9" spans="1:2">
      <c r="A9" t="s">
        <v>1006</v>
      </c>
      <c r="B9" t="s">
        <v>1007</v>
      </c>
    </row>
    <row r="10" spans="1:2">
      <c r="A10" t="s">
        <v>1008</v>
      </c>
      <c r="B10" t="s">
        <v>1009</v>
      </c>
    </row>
    <row r="11" spans="1:2">
      <c r="A11" t="s">
        <v>1010</v>
      </c>
      <c r="B11" t="s">
        <v>1011</v>
      </c>
    </row>
    <row r="12" spans="1:2">
      <c r="A12" t="s">
        <v>1012</v>
      </c>
      <c r="B12" t="s">
        <v>1013</v>
      </c>
    </row>
    <row r="13" spans="1:2">
      <c r="A13" t="s">
        <v>13</v>
      </c>
      <c r="B13" t="s">
        <v>1014</v>
      </c>
    </row>
    <row r="14" spans="1:2">
      <c r="A14" t="s">
        <v>1015</v>
      </c>
      <c r="B14" t="s">
        <v>1016</v>
      </c>
    </row>
    <row r="15" spans="1:2">
      <c r="A15" t="s">
        <v>1017</v>
      </c>
      <c r="B15" t="s">
        <v>1018</v>
      </c>
    </row>
    <row r="16" spans="1:2">
      <c r="A16" t="s">
        <v>1019</v>
      </c>
      <c r="B16" t="s">
        <v>1020</v>
      </c>
    </row>
    <row r="17" spans="1:2">
      <c r="A17" t="s">
        <v>1021</v>
      </c>
      <c r="B17" t="s">
        <v>1022</v>
      </c>
    </row>
    <row r="18" spans="1:2">
      <c r="A18" t="s">
        <v>1023</v>
      </c>
      <c r="B18" t="s">
        <v>1024</v>
      </c>
    </row>
    <row r="19" spans="1:2">
      <c r="A19" t="s">
        <v>17</v>
      </c>
      <c r="B19" t="s">
        <v>1025</v>
      </c>
    </row>
    <row r="20" spans="1:2">
      <c r="A20" t="s">
        <v>20</v>
      </c>
      <c r="B20" t="s">
        <v>1026</v>
      </c>
    </row>
    <row r="21" spans="1:2">
      <c r="A21" t="s">
        <v>25</v>
      </c>
      <c r="B21" t="s">
        <v>1027</v>
      </c>
    </row>
    <row r="22" spans="1:2">
      <c r="A22" t="s">
        <v>1028</v>
      </c>
      <c r="B22" t="s">
        <v>1029</v>
      </c>
    </row>
    <row r="23" spans="1:2">
      <c r="A23" t="s">
        <v>1030</v>
      </c>
      <c r="B23" t="s">
        <v>1031</v>
      </c>
    </row>
    <row r="24" spans="1:2">
      <c r="A24" t="s">
        <v>1032</v>
      </c>
      <c r="B24" t="s">
        <v>1033</v>
      </c>
    </row>
    <row r="25" spans="1:2">
      <c r="A25" t="s">
        <v>1034</v>
      </c>
      <c r="B25" t="s">
        <v>1035</v>
      </c>
    </row>
    <row r="26" spans="1:2">
      <c r="A26" t="s">
        <v>1036</v>
      </c>
      <c r="B26" t="s">
        <v>1037</v>
      </c>
    </row>
    <row r="27" spans="1:2">
      <c r="A27" t="s">
        <v>1038</v>
      </c>
      <c r="B27" t="s">
        <v>1039</v>
      </c>
    </row>
    <row r="28" spans="1:2">
      <c r="A28" t="s">
        <v>1040</v>
      </c>
      <c r="B28" t="s">
        <v>1041</v>
      </c>
    </row>
    <row r="29" spans="1:2">
      <c r="A29" t="s">
        <v>1042</v>
      </c>
      <c r="B29" t="s">
        <v>1043</v>
      </c>
    </row>
    <row r="30" spans="1:2">
      <c r="A30" t="s">
        <v>1044</v>
      </c>
      <c r="B30" t="s">
        <v>1045</v>
      </c>
    </row>
    <row r="31" spans="1:2">
      <c r="A31" t="s">
        <v>1046</v>
      </c>
      <c r="B31" t="s">
        <v>1047</v>
      </c>
    </row>
    <row r="32" spans="1:2">
      <c r="A32" t="s">
        <v>1048</v>
      </c>
      <c r="B32" t="s">
        <v>1049</v>
      </c>
    </row>
    <row r="33" spans="1:2">
      <c r="A33" t="s">
        <v>1050</v>
      </c>
      <c r="B33" t="s">
        <v>1051</v>
      </c>
    </row>
    <row r="34" spans="1:2">
      <c r="A34" s="39" t="s">
        <v>69</v>
      </c>
      <c r="B34" t="s">
        <v>1052</v>
      </c>
    </row>
    <row r="35" spans="1:2">
      <c r="A35" s="39" t="s">
        <v>72</v>
      </c>
      <c r="B35" t="s">
        <v>1053</v>
      </c>
    </row>
    <row r="36" spans="1:2">
      <c r="A36" s="39" t="s">
        <v>75</v>
      </c>
      <c r="B36" t="s">
        <v>1054</v>
      </c>
    </row>
    <row r="37" spans="1:2">
      <c r="A37" s="39" t="s">
        <v>31</v>
      </c>
      <c r="B37" t="s">
        <v>1055</v>
      </c>
    </row>
    <row r="38" spans="1:2">
      <c r="A38" s="39" t="s">
        <v>28</v>
      </c>
      <c r="B38" t="s">
        <v>1056</v>
      </c>
    </row>
    <row r="39" spans="1:2">
      <c r="A39" s="39" t="s">
        <v>35</v>
      </c>
      <c r="B39" t="s">
        <v>1057</v>
      </c>
    </row>
    <row r="40" spans="1:2">
      <c r="A40" t="s">
        <v>1058</v>
      </c>
      <c r="B40" t="s">
        <v>1059</v>
      </c>
    </row>
    <row r="41" spans="1:2">
      <c r="A41" t="s">
        <v>1060</v>
      </c>
      <c r="B41" t="s">
        <v>1061</v>
      </c>
    </row>
    <row r="42" spans="1:2">
      <c r="A42" t="s">
        <v>1062</v>
      </c>
      <c r="B42" t="s">
        <v>1063</v>
      </c>
    </row>
    <row r="43" spans="1:2">
      <c r="A43" t="s">
        <v>1064</v>
      </c>
      <c r="B43" t="s">
        <v>1065</v>
      </c>
    </row>
    <row r="44" spans="1:2">
      <c r="A44" t="s">
        <v>1066</v>
      </c>
      <c r="B44" t="s">
        <v>1067</v>
      </c>
    </row>
    <row r="45" spans="1:2">
      <c r="A45" t="s">
        <v>1068</v>
      </c>
      <c r="B45" t="s">
        <v>1069</v>
      </c>
    </row>
    <row r="46" spans="1:2">
      <c r="A46" t="s">
        <v>1070</v>
      </c>
      <c r="B46" t="s">
        <v>1071</v>
      </c>
    </row>
    <row r="47" spans="1:2">
      <c r="A47" t="s">
        <v>1072</v>
      </c>
      <c r="B47" t="s">
        <v>1073</v>
      </c>
    </row>
    <row r="48" spans="1:2">
      <c r="A48" t="s">
        <v>1074</v>
      </c>
      <c r="B48" t="s">
        <v>1075</v>
      </c>
    </row>
    <row r="49" spans="1:2">
      <c r="A49" t="s">
        <v>1076</v>
      </c>
      <c r="B49" t="s">
        <v>1077</v>
      </c>
    </row>
    <row r="50" spans="1:2">
      <c r="A50" t="s">
        <v>1078</v>
      </c>
      <c r="B50" t="s">
        <v>1079</v>
      </c>
    </row>
    <row r="51" spans="1:2">
      <c r="A51" t="s">
        <v>1080</v>
      </c>
      <c r="B51" t="s">
        <v>1081</v>
      </c>
    </row>
    <row r="52" spans="1:2">
      <c r="A52" t="s">
        <v>1082</v>
      </c>
      <c r="B52" t="s">
        <v>1083</v>
      </c>
    </row>
    <row r="53" spans="1:2">
      <c r="A53" t="s">
        <v>1084</v>
      </c>
      <c r="B53" t="s">
        <v>1085</v>
      </c>
    </row>
    <row r="54" spans="1:2">
      <c r="A54" t="s">
        <v>1086</v>
      </c>
      <c r="B54" t="s">
        <v>1087</v>
      </c>
    </row>
    <row r="55" spans="1:2">
      <c r="A55" t="s">
        <v>1088</v>
      </c>
      <c r="B55" t="s">
        <v>1089</v>
      </c>
    </row>
    <row r="56" spans="1:2">
      <c r="A56" t="s">
        <v>1090</v>
      </c>
      <c r="B56" t="s">
        <v>1091</v>
      </c>
    </row>
    <row r="57" spans="1:2">
      <c r="A57" t="s">
        <v>1092</v>
      </c>
      <c r="B57" t="s">
        <v>1093</v>
      </c>
    </row>
    <row r="58" spans="1:2">
      <c r="A58" t="s">
        <v>1094</v>
      </c>
      <c r="B58" t="s">
        <v>1095</v>
      </c>
    </row>
    <row r="59" spans="1:2">
      <c r="A59" t="s">
        <v>1096</v>
      </c>
      <c r="B59" t="s">
        <v>1097</v>
      </c>
    </row>
    <row r="60" spans="1:2">
      <c r="A60" t="s">
        <v>1098</v>
      </c>
      <c r="B60" t="s">
        <v>1099</v>
      </c>
    </row>
    <row r="61" spans="1:2">
      <c r="A61" t="s">
        <v>1100</v>
      </c>
      <c r="B61" t="s">
        <v>1101</v>
      </c>
    </row>
    <row r="62" spans="1:2">
      <c r="A62" t="s">
        <v>1102</v>
      </c>
      <c r="B62" t="s">
        <v>1103</v>
      </c>
    </row>
    <row r="63" spans="1:2">
      <c r="A63" t="s">
        <v>1104</v>
      </c>
      <c r="B63" t="s">
        <v>1105</v>
      </c>
    </row>
    <row r="64" spans="1:2">
      <c r="A64" t="s">
        <v>1106</v>
      </c>
      <c r="B64" t="s">
        <v>1107</v>
      </c>
    </row>
    <row r="65" spans="1:2">
      <c r="A65" t="s">
        <v>1108</v>
      </c>
      <c r="B65" t="s">
        <v>1109</v>
      </c>
    </row>
    <row r="66" spans="1:2">
      <c r="A66" t="s">
        <v>1110</v>
      </c>
      <c r="B66" t="s">
        <v>1111</v>
      </c>
    </row>
    <row r="67" spans="1:2">
      <c r="A67" t="s">
        <v>1112</v>
      </c>
      <c r="B67" t="s">
        <v>1113</v>
      </c>
    </row>
    <row r="68" spans="1:2">
      <c r="A68" t="s">
        <v>1114</v>
      </c>
      <c r="B68" t="s">
        <v>1115</v>
      </c>
    </row>
    <row r="69" spans="1:2">
      <c r="A69" t="s">
        <v>1116</v>
      </c>
      <c r="B69" t="s">
        <v>1117</v>
      </c>
    </row>
    <row r="70" spans="1:2">
      <c r="A70" t="s">
        <v>1118</v>
      </c>
      <c r="B70" t="s">
        <v>1119</v>
      </c>
    </row>
    <row r="71" spans="1:2">
      <c r="A71" t="s">
        <v>1120</v>
      </c>
      <c r="B71" t="s">
        <v>1121</v>
      </c>
    </row>
    <row r="72" spans="1:2">
      <c r="A72" t="s">
        <v>1122</v>
      </c>
      <c r="B72" t="s">
        <v>1123</v>
      </c>
    </row>
    <row r="73" spans="1:2">
      <c r="A73" t="s">
        <v>1124</v>
      </c>
      <c r="B73" t="s">
        <v>1125</v>
      </c>
    </row>
    <row r="74" spans="1:2">
      <c r="A74" t="s">
        <v>1126</v>
      </c>
      <c r="B74" t="s">
        <v>1127</v>
      </c>
    </row>
    <row r="75" spans="1:2">
      <c r="A75" t="s">
        <v>1128</v>
      </c>
      <c r="B75" t="s">
        <v>1129</v>
      </c>
    </row>
    <row r="76" spans="1:2">
      <c r="A76" t="s">
        <v>1130</v>
      </c>
      <c r="B76" t="s">
        <v>1131</v>
      </c>
    </row>
    <row r="77" spans="1:2">
      <c r="A77" t="s">
        <v>1132</v>
      </c>
      <c r="B77" t="s">
        <v>1133</v>
      </c>
    </row>
    <row r="78" spans="1:2">
      <c r="A78" t="s">
        <v>1134</v>
      </c>
      <c r="B78" t="s">
        <v>1135</v>
      </c>
    </row>
    <row r="79" spans="1:2">
      <c r="A79" t="s">
        <v>1136</v>
      </c>
      <c r="B79" t="s">
        <v>1137</v>
      </c>
    </row>
    <row r="80" spans="1:2">
      <c r="A80" t="s">
        <v>1138</v>
      </c>
      <c r="B80" t="s">
        <v>1139</v>
      </c>
    </row>
    <row r="81" spans="1:2">
      <c r="A81" t="s">
        <v>1140</v>
      </c>
      <c r="B81" t="s">
        <v>1141</v>
      </c>
    </row>
    <row r="82" spans="1:2">
      <c r="A82" t="s">
        <v>1142</v>
      </c>
      <c r="B82" t="s">
        <v>1143</v>
      </c>
    </row>
    <row r="83" spans="1:2">
      <c r="A83" t="s">
        <v>1144</v>
      </c>
      <c r="B83" t="s">
        <v>1145</v>
      </c>
    </row>
    <row r="84" spans="1:2">
      <c r="A84" t="s">
        <v>1146</v>
      </c>
      <c r="B84" t="s">
        <v>1147</v>
      </c>
    </row>
    <row r="85" spans="1:2">
      <c r="A85" t="s">
        <v>1148</v>
      </c>
      <c r="B85" t="s">
        <v>1149</v>
      </c>
    </row>
    <row r="86" spans="1:2">
      <c r="A86" t="s">
        <v>1150</v>
      </c>
      <c r="B86" t="s">
        <v>1151</v>
      </c>
    </row>
    <row r="87" spans="1:2">
      <c r="A87" t="s">
        <v>83</v>
      </c>
      <c r="B87" t="s">
        <v>1152</v>
      </c>
    </row>
    <row r="88" spans="1:2">
      <c r="A88" t="s">
        <v>1153</v>
      </c>
      <c r="B88" t="s">
        <v>1154</v>
      </c>
    </row>
    <row r="89" spans="1:2">
      <c r="A89" t="s">
        <v>1155</v>
      </c>
      <c r="B89" t="s">
        <v>1156</v>
      </c>
    </row>
    <row r="90" spans="1:2">
      <c r="A90" t="s">
        <v>1157</v>
      </c>
      <c r="B90" t="s">
        <v>1158</v>
      </c>
    </row>
    <row r="91" spans="1:2">
      <c r="A91" t="s">
        <v>1159</v>
      </c>
      <c r="B91" t="s">
        <v>1160</v>
      </c>
    </row>
    <row r="92" spans="1:2">
      <c r="A92" t="s">
        <v>1161</v>
      </c>
      <c r="B92" t="s">
        <v>1162</v>
      </c>
    </row>
    <row r="93" spans="1:2">
      <c r="A93" t="s">
        <v>1163</v>
      </c>
      <c r="B93" t="s">
        <v>1164</v>
      </c>
    </row>
    <row r="94" spans="1:2">
      <c r="A94" t="s">
        <v>1165</v>
      </c>
      <c r="B94" t="s">
        <v>1166</v>
      </c>
    </row>
    <row r="95" spans="1:2">
      <c r="A95" t="s">
        <v>1167</v>
      </c>
      <c r="B95" t="s">
        <v>1168</v>
      </c>
    </row>
    <row r="96" spans="1:2">
      <c r="A96" t="s">
        <v>1169</v>
      </c>
      <c r="B96" t="s">
        <v>1170</v>
      </c>
    </row>
    <row r="97" spans="1:2">
      <c r="A97" t="s">
        <v>1171</v>
      </c>
      <c r="B97" t="s">
        <v>1172</v>
      </c>
    </row>
    <row r="98" spans="1:2">
      <c r="A98" t="s">
        <v>1173</v>
      </c>
      <c r="B98" t="s">
        <v>1174</v>
      </c>
    </row>
    <row r="99" spans="1:2">
      <c r="A99" t="s">
        <v>1175</v>
      </c>
      <c r="B99" t="s">
        <v>1176</v>
      </c>
    </row>
    <row r="100" spans="1:2">
      <c r="A100" t="s">
        <v>1177</v>
      </c>
      <c r="B100" t="s">
        <v>1178</v>
      </c>
    </row>
    <row r="101" spans="1:2">
      <c r="A101" t="s">
        <v>1179</v>
      </c>
      <c r="B101" t="s">
        <v>1180</v>
      </c>
    </row>
    <row r="102" spans="1:2">
      <c r="A102" t="s">
        <v>1181</v>
      </c>
      <c r="B102" t="s">
        <v>1182</v>
      </c>
    </row>
    <row r="103" spans="1:2">
      <c r="A103" t="s">
        <v>1183</v>
      </c>
      <c r="B103" t="s">
        <v>1184</v>
      </c>
    </row>
    <row r="104" spans="1:2">
      <c r="A104" t="s">
        <v>1185</v>
      </c>
      <c r="B104" t="s">
        <v>1186</v>
      </c>
    </row>
    <row r="105" spans="1:2">
      <c r="A105" t="s">
        <v>1187</v>
      </c>
      <c r="B105" t="s">
        <v>1188</v>
      </c>
    </row>
    <row r="106" spans="1:2">
      <c r="A106" t="s">
        <v>1189</v>
      </c>
      <c r="B106" t="s">
        <v>1190</v>
      </c>
    </row>
    <row r="107" spans="1:2">
      <c r="A107" t="s">
        <v>1191</v>
      </c>
      <c r="B107" t="s">
        <v>1192</v>
      </c>
    </row>
    <row r="108" spans="1:2">
      <c r="A108" t="s">
        <v>1193</v>
      </c>
      <c r="B108" t="s">
        <v>1194</v>
      </c>
    </row>
    <row r="109" spans="1:2">
      <c r="A109" t="s">
        <v>1195</v>
      </c>
      <c r="B109" t="s">
        <v>1196</v>
      </c>
    </row>
    <row r="110" spans="1:2">
      <c r="A110" t="s">
        <v>1197</v>
      </c>
      <c r="B110" t="s">
        <v>1198</v>
      </c>
    </row>
    <row r="111" spans="1:2">
      <c r="A111" t="s">
        <v>1199</v>
      </c>
      <c r="B111" t="s">
        <v>1200</v>
      </c>
    </row>
    <row r="112" spans="1:2">
      <c r="A112" t="s">
        <v>1201</v>
      </c>
      <c r="B112" t="s">
        <v>1202</v>
      </c>
    </row>
    <row r="113" spans="1:2">
      <c r="A113" t="s">
        <v>1203</v>
      </c>
      <c r="B113" t="s">
        <v>1204</v>
      </c>
    </row>
    <row r="114" spans="1:2">
      <c r="A114" t="s">
        <v>1205</v>
      </c>
      <c r="B114" t="s">
        <v>1206</v>
      </c>
    </row>
    <row r="115" spans="1:2">
      <c r="A115" t="s">
        <v>1207</v>
      </c>
      <c r="B115" t="s">
        <v>1208</v>
      </c>
    </row>
    <row r="116" spans="1:2">
      <c r="A116" t="s">
        <v>1209</v>
      </c>
      <c r="B116" t="s">
        <v>1210</v>
      </c>
    </row>
    <row r="117" spans="1:2">
      <c r="A117" t="s">
        <v>1211</v>
      </c>
      <c r="B117" t="s">
        <v>1212</v>
      </c>
    </row>
    <row r="118" spans="1:2">
      <c r="A118" t="s">
        <v>1213</v>
      </c>
      <c r="B118" t="s">
        <v>1214</v>
      </c>
    </row>
    <row r="119" spans="1:2">
      <c r="A119" t="s">
        <v>1215</v>
      </c>
      <c r="B119" t="s">
        <v>1216</v>
      </c>
    </row>
    <row r="120" spans="1:2">
      <c r="A120" t="s">
        <v>1217</v>
      </c>
      <c r="B120" t="s">
        <v>1218</v>
      </c>
    </row>
    <row r="121" spans="1:2">
      <c r="A121" t="s">
        <v>1219</v>
      </c>
      <c r="B121" t="s">
        <v>1220</v>
      </c>
    </row>
    <row r="122" spans="1:2">
      <c r="A122" t="s">
        <v>1221</v>
      </c>
      <c r="B122" t="s">
        <v>1222</v>
      </c>
    </row>
    <row r="123" spans="1:2">
      <c r="A123" t="s">
        <v>1223</v>
      </c>
      <c r="B123" t="s">
        <v>1224</v>
      </c>
    </row>
    <row r="124" spans="1:2">
      <c r="A124" t="s">
        <v>1225</v>
      </c>
      <c r="B124" t="s">
        <v>1226</v>
      </c>
    </row>
    <row r="125" spans="1:2">
      <c r="A125" t="s">
        <v>1227</v>
      </c>
      <c r="B125" t="s">
        <v>1228</v>
      </c>
    </row>
    <row r="126" spans="1:2">
      <c r="A126" t="s">
        <v>1229</v>
      </c>
      <c r="B126" t="s">
        <v>1230</v>
      </c>
    </row>
    <row r="127" spans="1:2">
      <c r="A127" t="s">
        <v>1231</v>
      </c>
      <c r="B127" t="s">
        <v>1232</v>
      </c>
    </row>
    <row r="128" spans="1:2">
      <c r="A128" t="s">
        <v>1233</v>
      </c>
      <c r="B128" t="s">
        <v>1234</v>
      </c>
    </row>
    <row r="129" spans="1:2">
      <c r="A129" t="s">
        <v>1235</v>
      </c>
      <c r="B129" t="s">
        <v>1236</v>
      </c>
    </row>
    <row r="130" spans="1:2">
      <c r="A130" t="s">
        <v>1237</v>
      </c>
      <c r="B130" t="s">
        <v>1238</v>
      </c>
    </row>
    <row r="131" spans="1:2">
      <c r="A131" t="s">
        <v>1239</v>
      </c>
      <c r="B131" t="s">
        <v>1240</v>
      </c>
    </row>
    <row r="132" spans="1:2">
      <c r="A132" t="s">
        <v>1241</v>
      </c>
      <c r="B132" t="s">
        <v>1242</v>
      </c>
    </row>
    <row r="133" spans="1:2">
      <c r="A133" t="s">
        <v>1243</v>
      </c>
      <c r="B133" t="s">
        <v>1244</v>
      </c>
    </row>
    <row r="134" spans="1:2">
      <c r="A134" t="s">
        <v>1245</v>
      </c>
      <c r="B134" t="s">
        <v>1246</v>
      </c>
    </row>
    <row r="135" spans="1:2">
      <c r="A135" t="s">
        <v>1247</v>
      </c>
      <c r="B135" t="s">
        <v>1248</v>
      </c>
    </row>
    <row r="136" spans="1:2">
      <c r="A136" t="s">
        <v>1249</v>
      </c>
      <c r="B136" t="s">
        <v>1250</v>
      </c>
    </row>
    <row r="137" spans="1:2">
      <c r="A137" t="s">
        <v>156</v>
      </c>
      <c r="B137" t="s">
        <v>1251</v>
      </c>
    </row>
    <row r="138" spans="1:2">
      <c r="A138" t="s">
        <v>1252</v>
      </c>
      <c r="B138" t="s">
        <v>1253</v>
      </c>
    </row>
    <row r="139" spans="1:2">
      <c r="A139" t="s">
        <v>1254</v>
      </c>
      <c r="B139" t="s">
        <v>1255</v>
      </c>
    </row>
    <row r="140" spans="1:2">
      <c r="A140" t="s">
        <v>1256</v>
      </c>
      <c r="B140" t="s">
        <v>1257</v>
      </c>
    </row>
    <row r="141" spans="1:2">
      <c r="A141" t="s">
        <v>1258</v>
      </c>
      <c r="B141" t="s">
        <v>1259</v>
      </c>
    </row>
    <row r="142" spans="1:2">
      <c r="A142" t="s">
        <v>1260</v>
      </c>
      <c r="B142" t="s">
        <v>1261</v>
      </c>
    </row>
    <row r="143" spans="1:2">
      <c r="A143" t="s">
        <v>1262</v>
      </c>
      <c r="B143" t="s">
        <v>1263</v>
      </c>
    </row>
    <row r="144" spans="1:2">
      <c r="A144" t="s">
        <v>1264</v>
      </c>
      <c r="B144" t="s">
        <v>1265</v>
      </c>
    </row>
    <row r="145" spans="1:2">
      <c r="A145" t="s">
        <v>1266</v>
      </c>
      <c r="B145" t="s">
        <v>1267</v>
      </c>
    </row>
    <row r="146" spans="1:2">
      <c r="A146" t="s">
        <v>98</v>
      </c>
      <c r="B146" t="s">
        <v>1268</v>
      </c>
    </row>
    <row r="147" spans="1:2">
      <c r="A147" t="s">
        <v>110</v>
      </c>
      <c r="B147" t="s">
        <v>1269</v>
      </c>
    </row>
    <row r="148" spans="1:2">
      <c r="A148" t="s">
        <v>1270</v>
      </c>
      <c r="B148" t="s">
        <v>1271</v>
      </c>
    </row>
    <row r="149" spans="1:2">
      <c r="A149" t="s">
        <v>1272</v>
      </c>
      <c r="B149" t="s">
        <v>1273</v>
      </c>
    </row>
    <row r="150" spans="1:2">
      <c r="A150" t="s">
        <v>1274</v>
      </c>
      <c r="B150" t="s">
        <v>1275</v>
      </c>
    </row>
    <row r="151" spans="1:2">
      <c r="A151" t="s">
        <v>1276</v>
      </c>
      <c r="B151" t="s">
        <v>1277</v>
      </c>
    </row>
    <row r="152" spans="1:2">
      <c r="A152" t="s">
        <v>1278</v>
      </c>
      <c r="B152" t="s">
        <v>1279</v>
      </c>
    </row>
    <row r="153" spans="1:2">
      <c r="A153" t="s">
        <v>1280</v>
      </c>
      <c r="B153" t="s">
        <v>1281</v>
      </c>
    </row>
    <row r="154" spans="1:2">
      <c r="A154" t="s">
        <v>1282</v>
      </c>
      <c r="B154" t="s">
        <v>1283</v>
      </c>
    </row>
    <row r="155" spans="1:2">
      <c r="A155" t="s">
        <v>1284</v>
      </c>
      <c r="B155" t="s">
        <v>1285</v>
      </c>
    </row>
    <row r="156" spans="1:2">
      <c r="A156" t="s">
        <v>1286</v>
      </c>
      <c r="B156" t="s">
        <v>1287</v>
      </c>
    </row>
    <row r="157" spans="1:2">
      <c r="A157" t="s">
        <v>1288</v>
      </c>
      <c r="B157" t="s">
        <v>1289</v>
      </c>
    </row>
    <row r="158" spans="1:2">
      <c r="A158" t="s">
        <v>1290</v>
      </c>
      <c r="B158" t="s">
        <v>1291</v>
      </c>
    </row>
    <row r="159" spans="1:2">
      <c r="A159" t="s">
        <v>1292</v>
      </c>
      <c r="B159" t="s">
        <v>1293</v>
      </c>
    </row>
    <row r="160" spans="1:2">
      <c r="A160" t="s">
        <v>1294</v>
      </c>
      <c r="B160" t="s">
        <v>1295</v>
      </c>
    </row>
    <row r="161" spans="1:2">
      <c r="A161" t="s">
        <v>1296</v>
      </c>
      <c r="B161" t="s">
        <v>1297</v>
      </c>
    </row>
    <row r="162" spans="1:2">
      <c r="A162" t="s">
        <v>1298</v>
      </c>
      <c r="B162" t="s">
        <v>1299</v>
      </c>
    </row>
    <row r="163" spans="1:2">
      <c r="A163" t="s">
        <v>1300</v>
      </c>
      <c r="B163" t="s">
        <v>1301</v>
      </c>
    </row>
    <row r="164" spans="1:2">
      <c r="A164" t="s">
        <v>1302</v>
      </c>
      <c r="B164" t="s">
        <v>1303</v>
      </c>
    </row>
    <row r="165" spans="1:2">
      <c r="A165" t="s">
        <v>1304</v>
      </c>
      <c r="B165" t="s">
        <v>1305</v>
      </c>
    </row>
    <row r="166" spans="1:2">
      <c r="A166" t="s">
        <v>1306</v>
      </c>
      <c r="B166" t="s">
        <v>1307</v>
      </c>
    </row>
    <row r="167" spans="1:2">
      <c r="A167" t="s">
        <v>1308</v>
      </c>
      <c r="B167" t="s">
        <v>67</v>
      </c>
    </row>
    <row r="168" spans="1:2">
      <c r="A168" t="s">
        <v>1309</v>
      </c>
      <c r="B168" t="s">
        <v>1310</v>
      </c>
    </row>
    <row r="169" spans="1:2">
      <c r="A169" t="s">
        <v>1311</v>
      </c>
      <c r="B169" t="s">
        <v>1312</v>
      </c>
    </row>
    <row r="170" spans="1:2">
      <c r="A170" t="s">
        <v>1313</v>
      </c>
      <c r="B170" t="s">
        <v>1314</v>
      </c>
    </row>
    <row r="171" spans="1:2">
      <c r="A171" t="s">
        <v>1315</v>
      </c>
      <c r="B171" t="s">
        <v>1316</v>
      </c>
    </row>
    <row r="172" spans="1:2">
      <c r="A172" t="s">
        <v>1317</v>
      </c>
      <c r="B172" t="s">
        <v>1318</v>
      </c>
    </row>
    <row r="173" spans="1:2">
      <c r="A173" t="s">
        <v>1319</v>
      </c>
      <c r="B173" t="s">
        <v>1320</v>
      </c>
    </row>
    <row r="174" spans="1:2">
      <c r="A174" t="s">
        <v>1321</v>
      </c>
      <c r="B174" t="s">
        <v>1322</v>
      </c>
    </row>
    <row r="175" spans="1:2">
      <c r="A175" t="s">
        <v>1323</v>
      </c>
      <c r="B175" t="s">
        <v>1324</v>
      </c>
    </row>
    <row r="176" spans="1:2">
      <c r="A176" t="s">
        <v>1325</v>
      </c>
      <c r="B176" t="s">
        <v>1326</v>
      </c>
    </row>
    <row r="177" spans="1:2">
      <c r="A177" t="s">
        <v>1327</v>
      </c>
      <c r="B177" t="s">
        <v>1328</v>
      </c>
    </row>
    <row r="178" spans="1:2">
      <c r="A178" t="s">
        <v>1329</v>
      </c>
      <c r="B178" t="s">
        <v>1330</v>
      </c>
    </row>
    <row r="179" spans="1:2">
      <c r="A179" t="s">
        <v>1331</v>
      </c>
      <c r="B179" t="s">
        <v>1332</v>
      </c>
    </row>
    <row r="180" spans="1:2">
      <c r="A180" t="s">
        <v>1333</v>
      </c>
      <c r="B180" t="s">
        <v>1334</v>
      </c>
    </row>
    <row r="181" spans="1:2">
      <c r="A181" t="s">
        <v>1335</v>
      </c>
      <c r="B181" t="s">
        <v>1336</v>
      </c>
    </row>
    <row r="182" spans="1:2">
      <c r="A182" t="s">
        <v>1337</v>
      </c>
      <c r="B182" t="s">
        <v>1338</v>
      </c>
    </row>
    <row r="183" spans="1:2">
      <c r="A183" t="s">
        <v>1339</v>
      </c>
      <c r="B183" t="s">
        <v>1340</v>
      </c>
    </row>
    <row r="184" spans="1:2">
      <c r="A184" t="s">
        <v>1341</v>
      </c>
      <c r="B184" t="s">
        <v>1342</v>
      </c>
    </row>
    <row r="185" spans="1:2">
      <c r="A185" t="s">
        <v>1343</v>
      </c>
      <c r="B185" t="s">
        <v>1344</v>
      </c>
    </row>
    <row r="186" spans="1:2">
      <c r="A186" t="s">
        <v>1345</v>
      </c>
      <c r="B186" t="s">
        <v>1346</v>
      </c>
    </row>
    <row r="187" spans="1:2">
      <c r="A187" t="s">
        <v>1347</v>
      </c>
      <c r="B187" t="s">
        <v>1348</v>
      </c>
    </row>
    <row r="188" spans="1:2">
      <c r="A188" t="s">
        <v>1349</v>
      </c>
      <c r="B188" t="s">
        <v>1350</v>
      </c>
    </row>
    <row r="189" spans="1:2">
      <c r="A189" t="s">
        <v>1351</v>
      </c>
      <c r="B189" t="s">
        <v>1352</v>
      </c>
    </row>
    <row r="190" spans="1:2">
      <c r="A190" t="s">
        <v>1353</v>
      </c>
      <c r="B190" t="s">
        <v>1354</v>
      </c>
    </row>
    <row r="191" spans="1:2">
      <c r="A191" t="s">
        <v>1355</v>
      </c>
      <c r="B191" t="s">
        <v>1356</v>
      </c>
    </row>
    <row r="192" spans="1:2">
      <c r="A192" t="s">
        <v>1357</v>
      </c>
      <c r="B192" t="s">
        <v>1358</v>
      </c>
    </row>
    <row r="193" spans="1:2">
      <c r="A193" t="s">
        <v>1359</v>
      </c>
      <c r="B193" t="s">
        <v>1360</v>
      </c>
    </row>
    <row r="194" spans="1:2">
      <c r="A194" t="s">
        <v>1361</v>
      </c>
      <c r="B194" t="s">
        <v>1362</v>
      </c>
    </row>
    <row r="195" spans="1:2">
      <c r="A195" t="s">
        <v>1363</v>
      </c>
      <c r="B195" t="s">
        <v>1364</v>
      </c>
    </row>
    <row r="196" spans="1:2">
      <c r="A196" t="s">
        <v>1365</v>
      </c>
      <c r="B196" t="s">
        <v>1366</v>
      </c>
    </row>
    <row r="197" spans="1:2">
      <c r="A197" t="s">
        <v>1367</v>
      </c>
      <c r="B197" t="s">
        <v>1368</v>
      </c>
    </row>
    <row r="198" spans="1:2">
      <c r="A198" t="s">
        <v>65</v>
      </c>
      <c r="B198" t="s">
        <v>1369</v>
      </c>
    </row>
    <row r="199" spans="1:2">
      <c r="A199" t="s">
        <v>1370</v>
      </c>
      <c r="B199" t="s">
        <v>1371</v>
      </c>
    </row>
    <row r="200" spans="1:2">
      <c r="A200" t="s">
        <v>1372</v>
      </c>
      <c r="B200" t="s">
        <v>1373</v>
      </c>
    </row>
    <row r="201" spans="1:2">
      <c r="A201" t="s">
        <v>1374</v>
      </c>
      <c r="B201" t="s">
        <v>1375</v>
      </c>
    </row>
    <row r="202" spans="1:2">
      <c r="A202" t="s">
        <v>1376</v>
      </c>
      <c r="B202" t="s">
        <v>1377</v>
      </c>
    </row>
    <row r="203" spans="1:2">
      <c r="A203" t="s">
        <v>1378</v>
      </c>
      <c r="B203" t="s">
        <v>1379</v>
      </c>
    </row>
    <row r="204" spans="1:2">
      <c r="A204" t="s">
        <v>1380</v>
      </c>
      <c r="B204" t="s">
        <v>1381</v>
      </c>
    </row>
    <row r="205" spans="1:2">
      <c r="A205" t="s">
        <v>1382</v>
      </c>
      <c r="B205" t="s">
        <v>1383</v>
      </c>
    </row>
    <row r="206" spans="1:2">
      <c r="A206" t="s">
        <v>1384</v>
      </c>
      <c r="B206" t="s">
        <v>1385</v>
      </c>
    </row>
    <row r="207" spans="1:2">
      <c r="A207" t="s">
        <v>1386</v>
      </c>
      <c r="B207" t="s">
        <v>1387</v>
      </c>
    </row>
    <row r="208" spans="1:2">
      <c r="A208" t="s">
        <v>1388</v>
      </c>
      <c r="B208" t="s">
        <v>1389</v>
      </c>
    </row>
    <row r="209" spans="1:2">
      <c r="A209" t="s">
        <v>1390</v>
      </c>
      <c r="B209" t="s">
        <v>1391</v>
      </c>
    </row>
    <row r="210" spans="1:2">
      <c r="A210" t="s">
        <v>1392</v>
      </c>
      <c r="B210" t="s">
        <v>1393</v>
      </c>
    </row>
    <row r="211" spans="1:2">
      <c r="A211" t="s">
        <v>1394</v>
      </c>
      <c r="B211" t="s">
        <v>1395</v>
      </c>
    </row>
    <row r="212" spans="1:2">
      <c r="A212" t="s">
        <v>1396</v>
      </c>
      <c r="B212" t="s">
        <v>1397</v>
      </c>
    </row>
    <row r="213" spans="1:2">
      <c r="A213" t="s">
        <v>1398</v>
      </c>
      <c r="B213" t="s">
        <v>1399</v>
      </c>
    </row>
    <row r="214" spans="1:2">
      <c r="A214" t="s">
        <v>1400</v>
      </c>
      <c r="B214" t="s">
        <v>1401</v>
      </c>
    </row>
    <row r="215" spans="1:2">
      <c r="A215" t="s">
        <v>1402</v>
      </c>
      <c r="B215" t="s">
        <v>1403</v>
      </c>
    </row>
    <row r="216" spans="1:2">
      <c r="A216" t="s">
        <v>1404</v>
      </c>
      <c r="B216" t="s">
        <v>1405</v>
      </c>
    </row>
    <row r="217" spans="1:2">
      <c r="A217" t="s">
        <v>1406</v>
      </c>
      <c r="B217" t="s">
        <v>1407</v>
      </c>
    </row>
    <row r="218" spans="1:2">
      <c r="A218" t="s">
        <v>1408</v>
      </c>
      <c r="B218" t="s">
        <v>1409</v>
      </c>
    </row>
    <row r="219" spans="1:2">
      <c r="A219" t="s">
        <v>1410</v>
      </c>
      <c r="B219" t="s">
        <v>1411</v>
      </c>
    </row>
    <row r="220" spans="1:2">
      <c r="A220" t="s">
        <v>1412</v>
      </c>
      <c r="B220" t="s">
        <v>1413</v>
      </c>
    </row>
    <row r="221" spans="1:2">
      <c r="A221" t="s">
        <v>1414</v>
      </c>
      <c r="B221" t="s">
        <v>1415</v>
      </c>
    </row>
    <row r="222" spans="1:2">
      <c r="A222" t="s">
        <v>1416</v>
      </c>
      <c r="B222" t="s">
        <v>1417</v>
      </c>
    </row>
    <row r="223" spans="1:2">
      <c r="A223" t="s">
        <v>1418</v>
      </c>
      <c r="B223" t="s">
        <v>1419</v>
      </c>
    </row>
    <row r="224" spans="1:2">
      <c r="A224" t="s">
        <v>1420</v>
      </c>
      <c r="B224" t="s">
        <v>1421</v>
      </c>
    </row>
    <row r="225" spans="1:2">
      <c r="A225" t="s">
        <v>1422</v>
      </c>
      <c r="B225" t="s">
        <v>1423</v>
      </c>
    </row>
    <row r="226" spans="1:2">
      <c r="A226" t="s">
        <v>1424</v>
      </c>
      <c r="B226" t="s">
        <v>1425</v>
      </c>
    </row>
    <row r="227" spans="1:2">
      <c r="A227" t="s">
        <v>1426</v>
      </c>
      <c r="B227" t="s">
        <v>1427</v>
      </c>
    </row>
    <row r="228" spans="1:2">
      <c r="A228" t="s">
        <v>1428</v>
      </c>
      <c r="B228" t="s">
        <v>1429</v>
      </c>
    </row>
    <row r="229" spans="1:2">
      <c r="A229" t="s">
        <v>1430</v>
      </c>
      <c r="B229" t="s">
        <v>1431</v>
      </c>
    </row>
    <row r="230" spans="1:2">
      <c r="A230" t="s">
        <v>1432</v>
      </c>
      <c r="B230" t="s">
        <v>1433</v>
      </c>
    </row>
    <row r="231" spans="1:2">
      <c r="A231" t="s">
        <v>1434</v>
      </c>
      <c r="B231" t="s">
        <v>1435</v>
      </c>
    </row>
    <row r="232" spans="1:2">
      <c r="A232" t="s">
        <v>1436</v>
      </c>
      <c r="B232" t="s">
        <v>1437</v>
      </c>
    </row>
    <row r="233" spans="1:2">
      <c r="A233" t="s">
        <v>1438</v>
      </c>
      <c r="B233" t="s">
        <v>1439</v>
      </c>
    </row>
    <row r="234" spans="1:2">
      <c r="A234" t="s">
        <v>1440</v>
      </c>
      <c r="B234" s="39" t="s">
        <v>1441</v>
      </c>
    </row>
    <row r="235" spans="1:2">
      <c r="A235" t="s">
        <v>1442</v>
      </c>
      <c r="B235" s="39" t="s">
        <v>1443</v>
      </c>
    </row>
    <row r="236" spans="1:2">
      <c r="A236" t="s">
        <v>1444</v>
      </c>
      <c r="B236" s="39" t="s">
        <v>1445</v>
      </c>
    </row>
    <row r="237" spans="1:2">
      <c r="A237" t="s">
        <v>1446</v>
      </c>
      <c r="B237" s="39" t="s">
        <v>1447</v>
      </c>
    </row>
    <row r="238" spans="1:2">
      <c r="A238" t="s">
        <v>1448</v>
      </c>
      <c r="B238" s="39" t="s">
        <v>1449</v>
      </c>
    </row>
    <row r="239" spans="1:2">
      <c r="A239" t="s">
        <v>1450</v>
      </c>
      <c r="B239" s="39" t="s">
        <v>1451</v>
      </c>
    </row>
    <row r="240" spans="1:2">
      <c r="A240" t="s">
        <v>1452</v>
      </c>
      <c r="B240" s="39" t="s">
        <v>1453</v>
      </c>
    </row>
    <row r="241" spans="1:2">
      <c r="A241" t="s">
        <v>1454</v>
      </c>
      <c r="B241" s="39" t="s">
        <v>1455</v>
      </c>
    </row>
    <row r="242" spans="1:2">
      <c r="A242" t="s">
        <v>1456</v>
      </c>
      <c r="B242" s="39" t="s">
        <v>1457</v>
      </c>
    </row>
    <row r="243" spans="1:2">
      <c r="A243" t="s">
        <v>1458</v>
      </c>
      <c r="B243" s="39" t="s">
        <v>1459</v>
      </c>
    </row>
    <row r="244" spans="1:2">
      <c r="A244" t="s">
        <v>1460</v>
      </c>
      <c r="B244" s="39" t="s">
        <v>1461</v>
      </c>
    </row>
    <row r="245" spans="1:2">
      <c r="A245" t="s">
        <v>1462</v>
      </c>
      <c r="B245" s="39" t="s">
        <v>1463</v>
      </c>
    </row>
    <row r="246" spans="1:2">
      <c r="A246" t="s">
        <v>1464</v>
      </c>
      <c r="B246" s="39" t="s">
        <v>1465</v>
      </c>
    </row>
    <row r="247" spans="1:2">
      <c r="A247" t="s">
        <v>1466</v>
      </c>
      <c r="B247" s="39" t="s">
        <v>1467</v>
      </c>
    </row>
    <row r="248" spans="1:2">
      <c r="A248" t="s">
        <v>1468</v>
      </c>
      <c r="B248" s="39" t="s">
        <v>1469</v>
      </c>
    </row>
    <row r="249" spans="1:2">
      <c r="A249" t="s">
        <v>1470</v>
      </c>
      <c r="B249" s="39" t="s">
        <v>1471</v>
      </c>
    </row>
    <row r="250" spans="1:2">
      <c r="A250" t="s">
        <v>1472</v>
      </c>
      <c r="B250" s="39" t="s">
        <v>1473</v>
      </c>
    </row>
    <row r="251" spans="1:2">
      <c r="A251" t="s">
        <v>1474</v>
      </c>
      <c r="B251" s="39" t="s">
        <v>1475</v>
      </c>
    </row>
    <row r="252" spans="1:2">
      <c r="A252" t="s">
        <v>1476</v>
      </c>
      <c r="B252" s="39" t="s">
        <v>1477</v>
      </c>
    </row>
    <row r="253" spans="1:2">
      <c r="A253" t="s">
        <v>1478</v>
      </c>
      <c r="B253" s="39" t="s">
        <v>1479</v>
      </c>
    </row>
    <row r="254" spans="1:2">
      <c r="A254" t="s">
        <v>1480</v>
      </c>
      <c r="B254" s="39" t="s">
        <v>1481</v>
      </c>
    </row>
    <row r="255" spans="1:2">
      <c r="A255" t="s">
        <v>1482</v>
      </c>
      <c r="B255" s="39" t="s">
        <v>1483</v>
      </c>
    </row>
    <row r="256" spans="1:2">
      <c r="A256" t="s">
        <v>1484</v>
      </c>
      <c r="B256" s="39" t="s">
        <v>1485</v>
      </c>
    </row>
    <row r="257" spans="1:2">
      <c r="A257" t="s">
        <v>1486</v>
      </c>
      <c r="B257" s="39" t="s">
        <v>1487</v>
      </c>
    </row>
    <row r="258" spans="1:2">
      <c r="A258" t="s">
        <v>1488</v>
      </c>
      <c r="B258" s="39" t="s">
        <v>1489</v>
      </c>
    </row>
    <row r="259" spans="1:2">
      <c r="A259" t="s">
        <v>1490</v>
      </c>
      <c r="B259" s="39" t="s">
        <v>1491</v>
      </c>
    </row>
    <row r="260" spans="1:2">
      <c r="A260" t="s">
        <v>1492</v>
      </c>
      <c r="B260" s="39" t="s">
        <v>1493</v>
      </c>
    </row>
    <row r="261" spans="1:2">
      <c r="A261" t="s">
        <v>1494</v>
      </c>
      <c r="B261" s="39" t="s">
        <v>1495</v>
      </c>
    </row>
    <row r="262" spans="1:2">
      <c r="A262" t="s">
        <v>1496</v>
      </c>
      <c r="B262" s="39" t="s">
        <v>1497</v>
      </c>
    </row>
    <row r="263" spans="1:2">
      <c r="A263" t="s">
        <v>1498</v>
      </c>
      <c r="B263" s="39" t="s">
        <v>1499</v>
      </c>
    </row>
    <row r="264" spans="1:2">
      <c r="A264" t="s">
        <v>1500</v>
      </c>
      <c r="B264" s="39" t="s">
        <v>1501</v>
      </c>
    </row>
    <row r="265" spans="1:2">
      <c r="A265" t="s">
        <v>1502</v>
      </c>
      <c r="B265" s="39" t="s">
        <v>1503</v>
      </c>
    </row>
    <row r="266" spans="1:2">
      <c r="A266" t="s">
        <v>1504</v>
      </c>
      <c r="B266" s="39" t="s">
        <v>1505</v>
      </c>
    </row>
    <row r="267" spans="1:2">
      <c r="A267" t="s">
        <v>1506</v>
      </c>
      <c r="B267" s="39" t="s">
        <v>1507</v>
      </c>
    </row>
    <row r="268" spans="1:2">
      <c r="A268" t="s">
        <v>1508</v>
      </c>
      <c r="B268" s="39" t="s">
        <v>1509</v>
      </c>
    </row>
    <row r="269" spans="1:2">
      <c r="A269" t="s">
        <v>1510</v>
      </c>
      <c r="B269" s="39" t="s">
        <v>1511</v>
      </c>
    </row>
    <row r="270" spans="1:2">
      <c r="A270" t="s">
        <v>1512</v>
      </c>
      <c r="B270" s="39" t="s">
        <v>1513</v>
      </c>
    </row>
    <row r="271" spans="1:2">
      <c r="A271" t="s">
        <v>1514</v>
      </c>
      <c r="B271" s="39" t="s">
        <v>1515</v>
      </c>
    </row>
    <row r="272" spans="1:2">
      <c r="A272" t="s">
        <v>1516</v>
      </c>
      <c r="B272" s="39" t="s">
        <v>1517</v>
      </c>
    </row>
    <row r="273" spans="1:2">
      <c r="A273" t="s">
        <v>1518</v>
      </c>
      <c r="B273" s="39" t="s">
        <v>1519</v>
      </c>
    </row>
    <row r="274" spans="1:2">
      <c r="A274" t="s">
        <v>1520</v>
      </c>
      <c r="B274" s="39" t="s">
        <v>1521</v>
      </c>
    </row>
    <row r="275" spans="1:2">
      <c r="A275" t="s">
        <v>1522</v>
      </c>
      <c r="B275" s="39" t="s">
        <v>1523</v>
      </c>
    </row>
    <row r="276" spans="1:2">
      <c r="A276" t="s">
        <v>1524</v>
      </c>
      <c r="B276" s="39" t="s">
        <v>1525</v>
      </c>
    </row>
    <row r="277" spans="1:2">
      <c r="A277" t="s">
        <v>1526</v>
      </c>
      <c r="B277" s="39" t="s">
        <v>1527</v>
      </c>
    </row>
    <row r="278" spans="1:2">
      <c r="B278" s="39" t="s">
        <v>1528</v>
      </c>
    </row>
    <row r="279" spans="1:2">
      <c r="B279" s="39" t="s">
        <v>1529</v>
      </c>
    </row>
    <row r="280" spans="1:2">
      <c r="B280" s="39" t="s">
        <v>1530</v>
      </c>
    </row>
    <row r="281" spans="1:2">
      <c r="B281" s="39" t="s">
        <v>1531</v>
      </c>
    </row>
    <row r="282" spans="1:2">
      <c r="B282" s="39" t="s">
        <v>1532</v>
      </c>
    </row>
    <row r="283" spans="1:2">
      <c r="B283" s="39" t="s">
        <v>1533</v>
      </c>
    </row>
    <row r="284" spans="1:2">
      <c r="B284" s="39" t="s">
        <v>1534</v>
      </c>
    </row>
    <row r="285" spans="1:2">
      <c r="B285" s="39" t="s">
        <v>1535</v>
      </c>
    </row>
    <row r="286" spans="1:2">
      <c r="B286" s="39" t="s">
        <v>1536</v>
      </c>
    </row>
    <row r="287" spans="1:2">
      <c r="B287" s="39" t="s">
        <v>1537</v>
      </c>
    </row>
    <row r="288" spans="1:2">
      <c r="B288" s="39" t="s">
        <v>1538</v>
      </c>
    </row>
    <row r="289" spans="2:2">
      <c r="B289" s="39" t="s">
        <v>1539</v>
      </c>
    </row>
    <row r="290" spans="2:2">
      <c r="B290" s="39" t="s">
        <v>1540</v>
      </c>
    </row>
    <row r="291" spans="2:2">
      <c r="B291" s="39" t="s">
        <v>1541</v>
      </c>
    </row>
    <row r="292" spans="2:2">
      <c r="B292" s="39" t="s">
        <v>1542</v>
      </c>
    </row>
    <row r="293" spans="2:2">
      <c r="B293" s="39" t="s">
        <v>1543</v>
      </c>
    </row>
    <row r="294" spans="2:2">
      <c r="B294" s="39" t="s">
        <v>1544</v>
      </c>
    </row>
    <row r="295" spans="2:2">
      <c r="B295" s="39" t="s">
        <v>1545</v>
      </c>
    </row>
    <row r="296" spans="2:2">
      <c r="B296" s="39" t="s">
        <v>1546</v>
      </c>
    </row>
    <row r="297" spans="2:2">
      <c r="B297" s="39" t="s">
        <v>1547</v>
      </c>
    </row>
    <row r="298" spans="2:2">
      <c r="B298" s="39" t="s">
        <v>1548</v>
      </c>
    </row>
    <row r="299" spans="2:2">
      <c r="B299" s="39" t="s">
        <v>1549</v>
      </c>
    </row>
    <row r="300" spans="2:2">
      <c r="B300" s="39" t="s">
        <v>1550</v>
      </c>
    </row>
    <row r="301" spans="2:2">
      <c r="B301" s="39" t="s">
        <v>1551</v>
      </c>
    </row>
    <row r="302" spans="2:2">
      <c r="B302" s="39" t="s">
        <v>1552</v>
      </c>
    </row>
    <row r="303" spans="2:2">
      <c r="B303" t="s">
        <v>1553</v>
      </c>
    </row>
    <row r="304" spans="2:2">
      <c r="B304" t="s">
        <v>1554</v>
      </c>
    </row>
    <row r="305" spans="2:2">
      <c r="B305" t="s">
        <v>1555</v>
      </c>
    </row>
    <row r="306" spans="2:2">
      <c r="B306" t="s">
        <v>1556</v>
      </c>
    </row>
    <row r="307" spans="2:2">
      <c r="B307" t="s">
        <v>1557</v>
      </c>
    </row>
    <row r="308" spans="2:2">
      <c r="B308" t="s">
        <v>1558</v>
      </c>
    </row>
    <row r="309" spans="2:2">
      <c r="B309" t="s">
        <v>1559</v>
      </c>
    </row>
    <row r="310" spans="2:2">
      <c r="B310" t="s">
        <v>1560</v>
      </c>
    </row>
    <row r="311" spans="2:2">
      <c r="B311" t="s">
        <v>1561</v>
      </c>
    </row>
    <row r="312" spans="2:2">
      <c r="B312" t="s">
        <v>1562</v>
      </c>
    </row>
    <row r="313" spans="2:2">
      <c r="B313" t="s">
        <v>1563</v>
      </c>
    </row>
    <row r="314" spans="2:2">
      <c r="B314" t="s">
        <v>1564</v>
      </c>
    </row>
    <row r="315" spans="2:2">
      <c r="B315" t="s">
        <v>1565</v>
      </c>
    </row>
    <row r="316" spans="2:2">
      <c r="B316" t="s">
        <v>1566</v>
      </c>
    </row>
    <row r="317" spans="2:2">
      <c r="B317" t="s">
        <v>1567</v>
      </c>
    </row>
    <row r="318" spans="2:2">
      <c r="B318" t="s">
        <v>1568</v>
      </c>
    </row>
    <row r="319" spans="2:2">
      <c r="B319" t="s">
        <v>1569</v>
      </c>
    </row>
    <row r="320" spans="2:2">
      <c r="B320" t="s">
        <v>1570</v>
      </c>
    </row>
    <row r="321" spans="2:2">
      <c r="B321" t="s">
        <v>1571</v>
      </c>
    </row>
    <row r="322" spans="2:2">
      <c r="B322" t="s">
        <v>1572</v>
      </c>
    </row>
    <row r="323" spans="2:2">
      <c r="B323" t="s">
        <v>1573</v>
      </c>
    </row>
    <row r="324" spans="2:2">
      <c r="B324" t="s">
        <v>1574</v>
      </c>
    </row>
    <row r="325" spans="2:2">
      <c r="B325" t="s">
        <v>1575</v>
      </c>
    </row>
    <row r="326" spans="2:2">
      <c r="B326" t="s">
        <v>1576</v>
      </c>
    </row>
    <row r="327" spans="2:2">
      <c r="B327" t="s">
        <v>1577</v>
      </c>
    </row>
    <row r="328" spans="2:2">
      <c r="B328" t="s">
        <v>1578</v>
      </c>
    </row>
    <row r="329" spans="2:2">
      <c r="B329" t="s">
        <v>1579</v>
      </c>
    </row>
    <row r="330" spans="2:2">
      <c r="B330" t="s">
        <v>1580</v>
      </c>
    </row>
    <row r="331" spans="2:2">
      <c r="B331" t="s">
        <v>1581</v>
      </c>
    </row>
    <row r="332" spans="2:2">
      <c r="B332" t="s">
        <v>1582</v>
      </c>
    </row>
    <row r="333" spans="2:2">
      <c r="B333" t="s">
        <v>1583</v>
      </c>
    </row>
    <row r="334" spans="2:2">
      <c r="B334" t="s">
        <v>1584</v>
      </c>
    </row>
    <row r="335" spans="2:2">
      <c r="B335" t="s">
        <v>1585</v>
      </c>
    </row>
    <row r="336" spans="2:2">
      <c r="B336" t="s">
        <v>1586</v>
      </c>
    </row>
    <row r="337" spans="2:2">
      <c r="B337" t="s">
        <v>1587</v>
      </c>
    </row>
    <row r="338" spans="2:2">
      <c r="B338" t="s">
        <v>1588</v>
      </c>
    </row>
    <row r="339" spans="2:2">
      <c r="B339" t="s">
        <v>1589</v>
      </c>
    </row>
    <row r="340" spans="2:2">
      <c r="B340" t="s">
        <v>1590</v>
      </c>
    </row>
    <row r="341" spans="2:2">
      <c r="B341" t="s">
        <v>1591</v>
      </c>
    </row>
    <row r="342" spans="2:2">
      <c r="B342" t="s">
        <v>1592</v>
      </c>
    </row>
    <row r="343" spans="2:2">
      <c r="B343" t="s">
        <v>1593</v>
      </c>
    </row>
    <row r="344" spans="2:2">
      <c r="B344" t="s">
        <v>1594</v>
      </c>
    </row>
    <row r="345" spans="2:2">
      <c r="B345" t="s">
        <v>1595</v>
      </c>
    </row>
    <row r="346" spans="2:2">
      <c r="B346" t="s">
        <v>1596</v>
      </c>
    </row>
    <row r="347" spans="2:2">
      <c r="B347" t="s">
        <v>1597</v>
      </c>
    </row>
    <row r="348" spans="2:2">
      <c r="B348" t="s">
        <v>1598</v>
      </c>
    </row>
    <row r="349" spans="2:2">
      <c r="B349" t="s">
        <v>1599</v>
      </c>
    </row>
    <row r="350" spans="2:2">
      <c r="B350" t="s">
        <v>1600</v>
      </c>
    </row>
    <row r="351" spans="2:2">
      <c r="B351" s="39" t="s">
        <v>1601</v>
      </c>
    </row>
    <row r="352" spans="2:2">
      <c r="B352" s="39" t="s">
        <v>1602</v>
      </c>
    </row>
    <row r="353" spans="2:2">
      <c r="B353" s="39" t="s">
        <v>1603</v>
      </c>
    </row>
    <row r="354" spans="2:2">
      <c r="B354" s="39" t="s">
        <v>1604</v>
      </c>
    </row>
    <row r="355" spans="2:2">
      <c r="B355" s="39" t="s">
        <v>1605</v>
      </c>
    </row>
    <row r="356" spans="2:2">
      <c r="B356" s="39" t="s">
        <v>1606</v>
      </c>
    </row>
    <row r="357" spans="2:2">
      <c r="B357" s="39" t="s">
        <v>1607</v>
      </c>
    </row>
    <row r="358" spans="2:2">
      <c r="B358" s="39" t="s">
        <v>1608</v>
      </c>
    </row>
    <row r="359" spans="2:2">
      <c r="B359" s="39" t="s">
        <v>1609</v>
      </c>
    </row>
    <row r="360" spans="2:2">
      <c r="B360" s="39" t="s">
        <v>1610</v>
      </c>
    </row>
    <row r="361" spans="2:2">
      <c r="B361" s="39" t="s">
        <v>1611</v>
      </c>
    </row>
    <row r="362" spans="2:2">
      <c r="B362" t="s">
        <v>1612</v>
      </c>
    </row>
    <row r="363" spans="2:2">
      <c r="B363" t="s">
        <v>1613</v>
      </c>
    </row>
    <row r="364" spans="2:2">
      <c r="B364" t="s">
        <v>1614</v>
      </c>
    </row>
    <row r="365" spans="2:2">
      <c r="B365" t="s">
        <v>1615</v>
      </c>
    </row>
    <row r="366" spans="2:2">
      <c r="B366" t="s">
        <v>1616</v>
      </c>
    </row>
    <row r="367" spans="2:2">
      <c r="B367" t="s">
        <v>1617</v>
      </c>
    </row>
    <row r="368" spans="2:2">
      <c r="B368" t="s">
        <v>1618</v>
      </c>
    </row>
    <row r="369" spans="2:2">
      <c r="B369" t="s">
        <v>1619</v>
      </c>
    </row>
    <row r="370" spans="2:2">
      <c r="B370" t="s">
        <v>1620</v>
      </c>
    </row>
    <row r="371" spans="2:2">
      <c r="B371" t="s">
        <v>1621</v>
      </c>
    </row>
    <row r="372" spans="2:2">
      <c r="B372" t="s">
        <v>1622</v>
      </c>
    </row>
    <row r="373" spans="2:2">
      <c r="B373" t="s">
        <v>1623</v>
      </c>
    </row>
    <row r="374" spans="2:2">
      <c r="B374" t="s">
        <v>1624</v>
      </c>
    </row>
    <row r="375" spans="2:2">
      <c r="B375" t="s">
        <v>1625</v>
      </c>
    </row>
    <row r="376" spans="2:2">
      <c r="B376" t="s">
        <v>1626</v>
      </c>
    </row>
    <row r="377" spans="2:2">
      <c r="B377" t="s">
        <v>1627</v>
      </c>
    </row>
    <row r="378" spans="2:2">
      <c r="B378" t="s">
        <v>1628</v>
      </c>
    </row>
    <row r="379" spans="2:2">
      <c r="B379" t="s">
        <v>1629</v>
      </c>
    </row>
    <row r="380" spans="2:2">
      <c r="B380" t="s">
        <v>1630</v>
      </c>
    </row>
    <row r="381" spans="2:2">
      <c r="B381" t="s">
        <v>1631</v>
      </c>
    </row>
    <row r="382" spans="2:2">
      <c r="B382" t="s">
        <v>1632</v>
      </c>
    </row>
    <row r="383" spans="2:2">
      <c r="B383" t="s">
        <v>1633</v>
      </c>
    </row>
    <row r="384" spans="2:2">
      <c r="B384" t="s">
        <v>1634</v>
      </c>
    </row>
    <row r="385" spans="2:2">
      <c r="B385" t="s">
        <v>1635</v>
      </c>
    </row>
    <row r="386" spans="2:2">
      <c r="B386" t="s">
        <v>1636</v>
      </c>
    </row>
    <row r="387" spans="2:2">
      <c r="B387" t="s">
        <v>1637</v>
      </c>
    </row>
    <row r="388" spans="2:2">
      <c r="B388" t="s">
        <v>1638</v>
      </c>
    </row>
    <row r="389" spans="2:2">
      <c r="B389" t="s">
        <v>1639</v>
      </c>
    </row>
    <row r="390" spans="2:2">
      <c r="B390" t="s">
        <v>1640</v>
      </c>
    </row>
    <row r="391" spans="2:2">
      <c r="B391" t="s">
        <v>1641</v>
      </c>
    </row>
    <row r="392" spans="2:2">
      <c r="B392" t="s">
        <v>1642</v>
      </c>
    </row>
    <row r="393" spans="2:2">
      <c r="B393" t="s">
        <v>1643</v>
      </c>
    </row>
    <row r="394" spans="2:2">
      <c r="B394" t="s">
        <v>1644</v>
      </c>
    </row>
    <row r="395" spans="2:2">
      <c r="B395" t="s">
        <v>1645</v>
      </c>
    </row>
    <row r="396" spans="2:2">
      <c r="B396" t="s">
        <v>1646</v>
      </c>
    </row>
    <row r="397" spans="2:2">
      <c r="B397" t="s">
        <v>1647</v>
      </c>
    </row>
    <row r="398" spans="2:2">
      <c r="B398" t="s">
        <v>1648</v>
      </c>
    </row>
    <row r="399" spans="2:2">
      <c r="B399" t="s">
        <v>1649</v>
      </c>
    </row>
    <row r="400" spans="2:2">
      <c r="B400" t="s">
        <v>1650</v>
      </c>
    </row>
    <row r="401" spans="2:2">
      <c r="B401" t="s">
        <v>1651</v>
      </c>
    </row>
    <row r="402" spans="2:2">
      <c r="B402" t="s">
        <v>1652</v>
      </c>
    </row>
    <row r="403" spans="2:2">
      <c r="B403" t="s">
        <v>1653</v>
      </c>
    </row>
    <row r="404" spans="2:2">
      <c r="B404" t="s">
        <v>1654</v>
      </c>
    </row>
    <row r="405" spans="2:2">
      <c r="B405" t="s">
        <v>1655</v>
      </c>
    </row>
    <row r="406" spans="2:2">
      <c r="B406" t="s">
        <v>1656</v>
      </c>
    </row>
    <row r="407" spans="2:2">
      <c r="B407" t="s">
        <v>1657</v>
      </c>
    </row>
    <row r="408" spans="2:2">
      <c r="B408" t="s">
        <v>1658</v>
      </c>
    </row>
    <row r="409" spans="2:2">
      <c r="B409" t="s">
        <v>1659</v>
      </c>
    </row>
    <row r="410" spans="2:2">
      <c r="B410" t="s">
        <v>1660</v>
      </c>
    </row>
    <row r="411" spans="2:2">
      <c r="B411" t="s">
        <v>1661</v>
      </c>
    </row>
    <row r="412" spans="2:2">
      <c r="B412" t="s">
        <v>1662</v>
      </c>
    </row>
    <row r="413" spans="2:2">
      <c r="B413" t="s">
        <v>1663</v>
      </c>
    </row>
    <row r="414" spans="2:2">
      <c r="B414" t="s">
        <v>1664</v>
      </c>
    </row>
    <row r="415" spans="2:2">
      <c r="B415" t="s">
        <v>1665</v>
      </c>
    </row>
    <row r="416" spans="2:2">
      <c r="B416" t="s">
        <v>1666</v>
      </c>
    </row>
    <row r="417" spans="2:2">
      <c r="B417" t="s">
        <v>1667</v>
      </c>
    </row>
    <row r="418" spans="2:2">
      <c r="B418" t="s">
        <v>1668</v>
      </c>
    </row>
    <row r="419" spans="2:2">
      <c r="B419" t="s">
        <v>1669</v>
      </c>
    </row>
    <row r="420" spans="2:2">
      <c r="B420" t="s">
        <v>1670</v>
      </c>
    </row>
    <row r="421" spans="2:2">
      <c r="B421" t="s">
        <v>1671</v>
      </c>
    </row>
    <row r="422" spans="2:2">
      <c r="B422" t="s">
        <v>1672</v>
      </c>
    </row>
    <row r="423" spans="2:2">
      <c r="B423" t="s">
        <v>1673</v>
      </c>
    </row>
    <row r="424" spans="2:2">
      <c r="B424" t="s">
        <v>1674</v>
      </c>
    </row>
    <row r="425" spans="2:2">
      <c r="B425" t="s">
        <v>1675</v>
      </c>
    </row>
    <row r="426" spans="2:2">
      <c r="B426" t="s">
        <v>1676</v>
      </c>
    </row>
    <row r="427" spans="2:2">
      <c r="B427" t="s">
        <v>1677</v>
      </c>
    </row>
    <row r="428" spans="2:2">
      <c r="B428" t="s">
        <v>1678</v>
      </c>
    </row>
    <row r="429" spans="2:2">
      <c r="B429" t="s">
        <v>1679</v>
      </c>
    </row>
    <row r="430" spans="2:2">
      <c r="B430" t="s">
        <v>1680</v>
      </c>
    </row>
    <row r="431" spans="2:2">
      <c r="B431" t="s">
        <v>1681</v>
      </c>
    </row>
    <row r="432" spans="2:2">
      <c r="B432" t="s">
        <v>1682</v>
      </c>
    </row>
    <row r="433" spans="2:2">
      <c r="B433" t="s">
        <v>1683</v>
      </c>
    </row>
    <row r="434" spans="2:2">
      <c r="B434" t="s">
        <v>1684</v>
      </c>
    </row>
    <row r="435" spans="2:2">
      <c r="B435" t="s">
        <v>1685</v>
      </c>
    </row>
    <row r="436" spans="2:2">
      <c r="B436" t="s">
        <v>1686</v>
      </c>
    </row>
    <row r="437" spans="2:2">
      <c r="B437" t="s">
        <v>1687</v>
      </c>
    </row>
    <row r="438" spans="2:2">
      <c r="B438" t="s">
        <v>1688</v>
      </c>
    </row>
    <row r="439" spans="2:2">
      <c r="B439" t="s">
        <v>1689</v>
      </c>
    </row>
    <row r="440" spans="2:2">
      <c r="B440" t="s">
        <v>1690</v>
      </c>
    </row>
    <row r="441" spans="2:2">
      <c r="B441" t="s">
        <v>1691</v>
      </c>
    </row>
    <row r="442" spans="2:2">
      <c r="B442" t="s">
        <v>1692</v>
      </c>
    </row>
    <row r="443" spans="2:2">
      <c r="B443" t="s">
        <v>1693</v>
      </c>
    </row>
    <row r="444" spans="2:2">
      <c r="B444" t="s">
        <v>1694</v>
      </c>
    </row>
    <row r="445" spans="2:2">
      <c r="B445" t="s">
        <v>1695</v>
      </c>
    </row>
    <row r="446" spans="2:2">
      <c r="B446" t="s">
        <v>1696</v>
      </c>
    </row>
    <row r="447" spans="2:2">
      <c r="B447" t="s">
        <v>1697</v>
      </c>
    </row>
    <row r="448" spans="2:2">
      <c r="B448" t="s">
        <v>1698</v>
      </c>
    </row>
    <row r="449" spans="2:2">
      <c r="B449" t="s">
        <v>1699</v>
      </c>
    </row>
    <row r="450" spans="2:2">
      <c r="B450" t="s">
        <v>1700</v>
      </c>
    </row>
    <row r="451" spans="2:2">
      <c r="B451" t="s">
        <v>1701</v>
      </c>
    </row>
    <row r="452" spans="2:2">
      <c r="B452" t="s">
        <v>1702</v>
      </c>
    </row>
    <row r="453" spans="2:2">
      <c r="B453" t="s">
        <v>1703</v>
      </c>
    </row>
    <row r="454" spans="2:2">
      <c r="B454" t="s">
        <v>1704</v>
      </c>
    </row>
    <row r="455" spans="2:2">
      <c r="B455" t="s">
        <v>1705</v>
      </c>
    </row>
    <row r="456" spans="2:2">
      <c r="B456" t="s">
        <v>1706</v>
      </c>
    </row>
    <row r="457" spans="2:2">
      <c r="B457" t="s">
        <v>1707</v>
      </c>
    </row>
    <row r="458" spans="2:2">
      <c r="B458" t="s">
        <v>1708</v>
      </c>
    </row>
    <row r="459" spans="2:2">
      <c r="B459" t="s">
        <v>1709</v>
      </c>
    </row>
    <row r="460" spans="2:2">
      <c r="B460" t="s">
        <v>1710</v>
      </c>
    </row>
    <row r="461" spans="2:2">
      <c r="B461" t="s">
        <v>1711</v>
      </c>
    </row>
    <row r="462" spans="2:2">
      <c r="B462" t="s">
        <v>1712</v>
      </c>
    </row>
    <row r="463" spans="2:2">
      <c r="B463" t="s">
        <v>1713</v>
      </c>
    </row>
    <row r="464" spans="2:2">
      <c r="B464" t="s">
        <v>1714</v>
      </c>
    </row>
    <row r="465" spans="2:2">
      <c r="B465" t="s">
        <v>1715</v>
      </c>
    </row>
    <row r="466" spans="2:2">
      <c r="B466" t="s">
        <v>1716</v>
      </c>
    </row>
    <row r="467" spans="2:2">
      <c r="B467" t="s">
        <v>1717</v>
      </c>
    </row>
    <row r="468" spans="2:2">
      <c r="B468" t="s">
        <v>1718</v>
      </c>
    </row>
    <row r="469" spans="2:2">
      <c r="B469" t="s">
        <v>1719</v>
      </c>
    </row>
    <row r="470" spans="2:2">
      <c r="B470" t="s">
        <v>1720</v>
      </c>
    </row>
    <row r="471" spans="2:2">
      <c r="B471" t="s">
        <v>1721</v>
      </c>
    </row>
    <row r="472" spans="2:2">
      <c r="B472" t="s">
        <v>1722</v>
      </c>
    </row>
    <row r="473" spans="2:2">
      <c r="B473" t="s">
        <v>1723</v>
      </c>
    </row>
    <row r="474" spans="2:2">
      <c r="B474" t="s">
        <v>1724</v>
      </c>
    </row>
    <row r="475" spans="2:2">
      <c r="B475" t="s">
        <v>1725</v>
      </c>
    </row>
    <row r="476" spans="2:2">
      <c r="B476" t="s">
        <v>1726</v>
      </c>
    </row>
    <row r="477" spans="2:2">
      <c r="B477" t="s">
        <v>1727</v>
      </c>
    </row>
    <row r="478" spans="2:2">
      <c r="B478" t="s">
        <v>1728</v>
      </c>
    </row>
    <row r="479" spans="2:2">
      <c r="B479" t="s">
        <v>1729</v>
      </c>
    </row>
    <row r="480" spans="2:2">
      <c r="B480" t="s">
        <v>1730</v>
      </c>
    </row>
    <row r="481" spans="2:2">
      <c r="B481" t="s">
        <v>1731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040E0-58F8-4ABA-B588-B776744F8D66}">
  <dimension ref="A1:G29"/>
  <sheetViews>
    <sheetView topLeftCell="A8" workbookViewId="0">
      <selection activeCell="F14" sqref="F14"/>
    </sheetView>
  </sheetViews>
  <sheetFormatPr defaultRowHeight="15"/>
  <cols>
    <col min="1" max="1" width="18.140625" bestFit="1" customWidth="1"/>
    <col min="2" max="2" width="16.140625" bestFit="1" customWidth="1"/>
    <col min="3" max="3" width="16" bestFit="1" customWidth="1"/>
    <col min="4" max="4" width="67.85546875" customWidth="1"/>
    <col min="5" max="5" width="29.28515625" bestFit="1" customWidth="1"/>
    <col min="6" max="6" width="60.140625" customWidth="1"/>
    <col min="7" max="7" width="55.140625" customWidth="1"/>
  </cols>
  <sheetData>
    <row r="1" spans="1:7" ht="18.75">
      <c r="A1" s="1" t="s">
        <v>0</v>
      </c>
      <c r="B1" s="1" t="s">
        <v>3</v>
      </c>
      <c r="C1" s="1" t="s">
        <v>5</v>
      </c>
      <c r="D1" s="2" t="s">
        <v>6</v>
      </c>
      <c r="E1" s="2" t="s">
        <v>2</v>
      </c>
      <c r="F1" s="1" t="s">
        <v>7</v>
      </c>
    </row>
    <row r="2" spans="1:7" ht="18.75">
      <c r="A2" s="42"/>
      <c r="B2" s="42"/>
      <c r="C2" s="41"/>
      <c r="D2" s="42" t="s">
        <v>185</v>
      </c>
      <c r="E2" s="41"/>
      <c r="F2" s="41"/>
      <c r="G2" s="17"/>
    </row>
    <row r="3" spans="1:7" ht="18.75">
      <c r="A3" s="42"/>
      <c r="B3" s="42"/>
      <c r="C3" s="41"/>
      <c r="D3" s="42" t="s">
        <v>186</v>
      </c>
      <c r="E3" s="41"/>
      <c r="F3" s="41"/>
      <c r="G3" s="17"/>
    </row>
    <row r="4" spans="1:7">
      <c r="A4" t="s">
        <v>10</v>
      </c>
      <c r="B4" t="s">
        <v>12</v>
      </c>
      <c r="C4" t="s">
        <v>187</v>
      </c>
      <c r="D4" t="s">
        <v>188</v>
      </c>
      <c r="E4" t="s">
        <v>10</v>
      </c>
      <c r="F4" t="s">
        <v>189</v>
      </c>
    </row>
    <row r="5" spans="1:7">
      <c r="A5" s="12" t="s">
        <v>11</v>
      </c>
      <c r="B5" s="12" t="s">
        <v>97</v>
      </c>
      <c r="C5" s="12" t="s">
        <v>190</v>
      </c>
      <c r="D5" s="12" t="s">
        <v>191</v>
      </c>
      <c r="E5" s="12" t="s">
        <v>11</v>
      </c>
      <c r="F5" s="13">
        <f>(365/F6)*(F13*F7*F8*(1-EXP(-F8*(F6-F10)))*F11*F12)</f>
        <v>0</v>
      </c>
      <c r="G5" s="12"/>
    </row>
    <row r="6" spans="1:7" ht="30">
      <c r="A6" t="s">
        <v>10</v>
      </c>
      <c r="B6" t="s">
        <v>128</v>
      </c>
      <c r="C6" t="s">
        <v>192</v>
      </c>
      <c r="D6" s="8" t="s">
        <v>193</v>
      </c>
      <c r="E6" t="s">
        <v>10</v>
      </c>
      <c r="F6" s="10">
        <v>1</v>
      </c>
    </row>
    <row r="7" spans="1:7" ht="30">
      <c r="A7" t="s">
        <v>10</v>
      </c>
      <c r="B7" t="s">
        <v>128</v>
      </c>
      <c r="C7" t="s">
        <v>194</v>
      </c>
      <c r="D7" s="8" t="s">
        <v>195</v>
      </c>
      <c r="E7" t="s">
        <v>10</v>
      </c>
      <c r="F7" s="10">
        <v>104.24</v>
      </c>
    </row>
    <row r="8" spans="1:7">
      <c r="A8" t="s">
        <v>10</v>
      </c>
      <c r="B8" t="s">
        <v>128</v>
      </c>
      <c r="C8" t="s">
        <v>196</v>
      </c>
      <c r="D8" t="s">
        <v>197</v>
      </c>
      <c r="E8" t="s">
        <v>10</v>
      </c>
      <c r="F8" s="10">
        <v>0.1</v>
      </c>
    </row>
    <row r="9" spans="1:7">
      <c r="A9" s="12" t="s">
        <v>11</v>
      </c>
      <c r="B9" s="12" t="s">
        <v>97</v>
      </c>
      <c r="C9" s="12" t="s">
        <v>198</v>
      </c>
      <c r="D9" s="12" t="s">
        <v>199</v>
      </c>
      <c r="E9" s="12" t="s">
        <v>11</v>
      </c>
      <c r="F9" s="13">
        <v>6.9000000000000006E-2</v>
      </c>
      <c r="G9" s="12"/>
    </row>
    <row r="10" spans="1:7" ht="30">
      <c r="A10" t="s">
        <v>10</v>
      </c>
      <c r="B10" t="s">
        <v>128</v>
      </c>
      <c r="C10" t="s">
        <v>200</v>
      </c>
      <c r="D10" s="8" t="s">
        <v>201</v>
      </c>
      <c r="E10" t="s">
        <v>10</v>
      </c>
      <c r="F10" s="10">
        <v>1</v>
      </c>
    </row>
    <row r="11" spans="1:7" ht="30">
      <c r="A11" t="s">
        <v>10</v>
      </c>
      <c r="B11" t="s">
        <v>128</v>
      </c>
      <c r="C11" t="s">
        <v>202</v>
      </c>
      <c r="D11" s="8" t="s">
        <v>203</v>
      </c>
      <c r="E11" t="s">
        <v>10</v>
      </c>
      <c r="F11" s="10">
        <v>0.73</v>
      </c>
    </row>
    <row r="12" spans="1:7" ht="30">
      <c r="A12" t="s">
        <v>10</v>
      </c>
      <c r="B12" t="s">
        <v>128</v>
      </c>
      <c r="C12" t="s">
        <v>129</v>
      </c>
      <c r="D12" s="8" t="s">
        <v>204</v>
      </c>
      <c r="E12" t="s">
        <v>10</v>
      </c>
      <c r="F12" s="10">
        <v>0.45</v>
      </c>
    </row>
    <row r="13" spans="1:7">
      <c r="A13" s="12" t="s">
        <v>11</v>
      </c>
      <c r="B13" s="12" t="s">
        <v>97</v>
      </c>
      <c r="C13" s="12" t="s">
        <v>205</v>
      </c>
      <c r="D13" s="11" t="s">
        <v>206</v>
      </c>
      <c r="E13" s="12" t="s">
        <v>11</v>
      </c>
      <c r="F13" s="13">
        <f>F14*(F15/365)</f>
        <v>32219.178082191782</v>
      </c>
      <c r="G13" s="12"/>
    </row>
    <row r="14" spans="1:7">
      <c r="A14" t="s">
        <v>10</v>
      </c>
      <c r="B14" t="s">
        <v>128</v>
      </c>
      <c r="C14" t="s">
        <v>207</v>
      </c>
      <c r="D14" s="8" t="s">
        <v>208</v>
      </c>
      <c r="E14" t="s">
        <v>10</v>
      </c>
      <c r="F14" s="10">
        <v>168</v>
      </c>
    </row>
    <row r="15" spans="1:7" ht="34.5" customHeight="1">
      <c r="A15" t="s">
        <v>10</v>
      </c>
      <c r="B15" t="s">
        <v>128</v>
      </c>
      <c r="C15" t="s">
        <v>209</v>
      </c>
      <c r="D15" s="8" t="s">
        <v>210</v>
      </c>
      <c r="E15" t="s">
        <v>10</v>
      </c>
      <c r="F15" s="10">
        <v>70000</v>
      </c>
    </row>
    <row r="16" spans="1:7" ht="18.75">
      <c r="A16" s="42"/>
      <c r="B16" s="42"/>
      <c r="C16" s="41"/>
      <c r="D16" s="42" t="s">
        <v>185</v>
      </c>
      <c r="E16" s="41"/>
      <c r="F16" s="41"/>
      <c r="G16" s="17"/>
    </row>
    <row r="17" spans="1:7" ht="18.75">
      <c r="A17" s="42"/>
      <c r="B17" s="42"/>
      <c r="C17" s="41"/>
      <c r="D17" s="42" t="s">
        <v>186</v>
      </c>
      <c r="E17" s="41"/>
      <c r="F17" s="41"/>
      <c r="G17" s="17"/>
    </row>
    <row r="18" spans="1:7">
      <c r="A18" t="s">
        <v>10</v>
      </c>
      <c r="B18" t="s">
        <v>12</v>
      </c>
      <c r="C18" t="s">
        <v>187</v>
      </c>
      <c r="D18" t="s">
        <v>188</v>
      </c>
      <c r="E18" t="s">
        <v>10</v>
      </c>
      <c r="F18" t="s">
        <v>211</v>
      </c>
    </row>
    <row r="19" spans="1:7">
      <c r="A19" s="12" t="s">
        <v>11</v>
      </c>
      <c r="B19" s="12" t="s">
        <v>97</v>
      </c>
      <c r="C19" s="12" t="s">
        <v>190</v>
      </c>
      <c r="D19" s="12" t="s">
        <v>191</v>
      </c>
      <c r="E19" s="12" t="s">
        <v>11</v>
      </c>
      <c r="F19" s="13">
        <f>(365/F20)*(F27*F21*F22*(1-EXP(-F22*(F20-F24)))*F25*F26)</f>
        <v>0</v>
      </c>
      <c r="G19" s="12"/>
    </row>
    <row r="20" spans="1:7" ht="30">
      <c r="A20" t="s">
        <v>10</v>
      </c>
      <c r="B20" t="s">
        <v>128</v>
      </c>
      <c r="C20" t="s">
        <v>192</v>
      </c>
      <c r="D20" s="8" t="s">
        <v>193</v>
      </c>
      <c r="E20" t="s">
        <v>10</v>
      </c>
      <c r="F20" s="10">
        <v>1</v>
      </c>
    </row>
    <row r="21" spans="1:7" ht="30">
      <c r="A21" t="s">
        <v>10</v>
      </c>
      <c r="B21" t="s">
        <v>128</v>
      </c>
      <c r="C21" t="s">
        <v>194</v>
      </c>
      <c r="D21" s="8" t="s">
        <v>195</v>
      </c>
      <c r="E21" t="s">
        <v>10</v>
      </c>
      <c r="F21" s="10">
        <v>0</v>
      </c>
    </row>
    <row r="22" spans="1:7">
      <c r="A22" t="s">
        <v>10</v>
      </c>
      <c r="B22" t="s">
        <v>128</v>
      </c>
      <c r="C22" t="s">
        <v>196</v>
      </c>
      <c r="D22" t="s">
        <v>197</v>
      </c>
      <c r="E22" t="s">
        <v>10</v>
      </c>
      <c r="F22" s="10">
        <v>0</v>
      </c>
    </row>
    <row r="23" spans="1:7">
      <c r="A23" s="12" t="s">
        <v>11</v>
      </c>
      <c r="B23" s="12" t="s">
        <v>97</v>
      </c>
      <c r="C23" s="12" t="s">
        <v>198</v>
      </c>
      <c r="D23" s="12" t="s">
        <v>199</v>
      </c>
      <c r="E23" s="12" t="s">
        <v>11</v>
      </c>
      <c r="F23" s="13">
        <v>6.9000000000000006E-2</v>
      </c>
      <c r="G23" s="12"/>
    </row>
    <row r="24" spans="1:7" ht="30">
      <c r="A24" t="s">
        <v>10</v>
      </c>
      <c r="B24" t="s">
        <v>128</v>
      </c>
      <c r="C24" t="s">
        <v>200</v>
      </c>
      <c r="D24" s="8" t="s">
        <v>201</v>
      </c>
      <c r="E24" t="s">
        <v>10</v>
      </c>
      <c r="F24" s="10">
        <v>0</v>
      </c>
    </row>
    <row r="25" spans="1:7" ht="30">
      <c r="A25" t="s">
        <v>10</v>
      </c>
      <c r="B25" t="s">
        <v>128</v>
      </c>
      <c r="C25" t="s">
        <v>202</v>
      </c>
      <c r="D25" s="8" t="s">
        <v>203</v>
      </c>
      <c r="E25" t="s">
        <v>10</v>
      </c>
      <c r="F25" s="10">
        <v>0</v>
      </c>
    </row>
    <row r="26" spans="1:7" ht="30">
      <c r="A26" t="s">
        <v>10</v>
      </c>
      <c r="B26" t="s">
        <v>128</v>
      </c>
      <c r="C26" t="s">
        <v>129</v>
      </c>
      <c r="D26" s="8" t="s">
        <v>204</v>
      </c>
      <c r="E26" t="s">
        <v>10</v>
      </c>
      <c r="F26" s="10">
        <v>0</v>
      </c>
    </row>
    <row r="27" spans="1:7">
      <c r="A27" s="12" t="s">
        <v>11</v>
      </c>
      <c r="B27" s="12" t="s">
        <v>97</v>
      </c>
      <c r="C27" s="12" t="s">
        <v>205</v>
      </c>
      <c r="D27" s="11" t="s">
        <v>206</v>
      </c>
      <c r="E27" s="12" t="s">
        <v>11</v>
      </c>
      <c r="F27" s="13">
        <f>F28*(F29/365)</f>
        <v>0</v>
      </c>
      <c r="G27" s="12"/>
    </row>
    <row r="28" spans="1:7">
      <c r="A28" t="s">
        <v>10</v>
      </c>
      <c r="B28" t="s">
        <v>128</v>
      </c>
      <c r="C28" t="s">
        <v>207</v>
      </c>
      <c r="D28" s="8" t="s">
        <v>208</v>
      </c>
      <c r="E28" t="s">
        <v>10</v>
      </c>
      <c r="F28" s="10">
        <v>0</v>
      </c>
    </row>
    <row r="29" spans="1:7" ht="34.5" customHeight="1">
      <c r="A29" t="s">
        <v>10</v>
      </c>
      <c r="B29" t="s">
        <v>128</v>
      </c>
      <c r="C29" t="s">
        <v>209</v>
      </c>
      <c r="D29" s="8" t="s">
        <v>210</v>
      </c>
      <c r="E29" t="s">
        <v>10</v>
      </c>
      <c r="F29" s="10">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41A80-40EC-4E7F-933C-E9FCE2B481A0}">
  <dimension ref="A1:G42"/>
  <sheetViews>
    <sheetView workbookViewId="0">
      <selection activeCell="F12" sqref="F12"/>
    </sheetView>
  </sheetViews>
  <sheetFormatPr defaultRowHeight="15"/>
  <cols>
    <col min="1" max="1" width="18.140625" bestFit="1" customWidth="1"/>
    <col min="2" max="2" width="16.140625" bestFit="1" customWidth="1"/>
    <col min="3" max="3" width="13.42578125" bestFit="1" customWidth="1"/>
    <col min="4" max="4" width="45.85546875" customWidth="1"/>
    <col min="5" max="5" width="29.28515625" bestFit="1" customWidth="1"/>
    <col min="6" max="6" width="61.42578125" customWidth="1"/>
    <col min="7" max="7" width="55.7109375" customWidth="1"/>
  </cols>
  <sheetData>
    <row r="1" spans="1:7" ht="18.75">
      <c r="A1" s="1" t="s">
        <v>0</v>
      </c>
      <c r="B1" s="1" t="s">
        <v>3</v>
      </c>
      <c r="C1" s="1" t="s">
        <v>5</v>
      </c>
      <c r="D1" s="2" t="s">
        <v>6</v>
      </c>
      <c r="E1" s="2" t="s">
        <v>2</v>
      </c>
      <c r="F1" s="1" t="s">
        <v>7</v>
      </c>
      <c r="G1" s="1" t="s">
        <v>8</v>
      </c>
    </row>
    <row r="2" spans="1:7" ht="18.75">
      <c r="A2" s="42"/>
      <c r="B2" s="42"/>
      <c r="C2" s="41"/>
      <c r="D2" s="42" t="s">
        <v>212</v>
      </c>
      <c r="E2" s="41"/>
      <c r="F2" s="41"/>
      <c r="G2" s="17"/>
    </row>
    <row r="3" spans="1:7" ht="18.75">
      <c r="A3" s="42"/>
      <c r="B3" s="42"/>
      <c r="C3" s="41"/>
      <c r="D3" s="42" t="s">
        <v>213</v>
      </c>
      <c r="E3" s="41"/>
      <c r="F3" s="41"/>
      <c r="G3" s="17"/>
    </row>
    <row r="4" spans="1:7">
      <c r="A4" t="s">
        <v>10</v>
      </c>
      <c r="B4" t="s">
        <v>12</v>
      </c>
      <c r="C4" t="s">
        <v>187</v>
      </c>
      <c r="D4" t="s">
        <v>188</v>
      </c>
      <c r="E4" t="s">
        <v>10</v>
      </c>
      <c r="F4" t="s">
        <v>189</v>
      </c>
    </row>
    <row r="5" spans="1:7" ht="30">
      <c r="A5" s="12" t="s">
        <v>11</v>
      </c>
      <c r="B5" s="12" t="s">
        <v>97</v>
      </c>
      <c r="C5" s="12" t="s">
        <v>214</v>
      </c>
      <c r="D5" s="11" t="s">
        <v>215</v>
      </c>
      <c r="E5" s="12" t="s">
        <v>11</v>
      </c>
      <c r="F5" s="13">
        <f>F6*F7*F9*F13*F8</f>
        <v>1112590.0799999998</v>
      </c>
      <c r="G5" s="12"/>
    </row>
    <row r="6" spans="1:7" ht="30">
      <c r="A6" t="s">
        <v>10</v>
      </c>
      <c r="B6" t="s">
        <v>128</v>
      </c>
      <c r="C6" t="s">
        <v>216</v>
      </c>
      <c r="D6" s="8" t="s">
        <v>217</v>
      </c>
      <c r="E6" t="s">
        <v>10</v>
      </c>
      <c r="F6">
        <v>0.73</v>
      </c>
    </row>
    <row r="7" spans="1:7" ht="45">
      <c r="A7" t="s">
        <v>10</v>
      </c>
      <c r="B7" t="s">
        <v>128</v>
      </c>
      <c r="C7" t="s">
        <v>129</v>
      </c>
      <c r="D7" s="8" t="s">
        <v>204</v>
      </c>
      <c r="E7" t="s">
        <v>10</v>
      </c>
      <c r="F7">
        <v>0.45</v>
      </c>
    </row>
    <row r="8" spans="1:7" ht="30">
      <c r="A8" t="s">
        <v>10</v>
      </c>
      <c r="B8" t="s">
        <v>128</v>
      </c>
      <c r="C8" t="s">
        <v>218</v>
      </c>
      <c r="D8" s="8" t="s">
        <v>219</v>
      </c>
      <c r="E8" t="s">
        <v>10</v>
      </c>
      <c r="F8">
        <v>0.1</v>
      </c>
    </row>
    <row r="9" spans="1:7" ht="30">
      <c r="A9" s="12" t="s">
        <v>11</v>
      </c>
      <c r="B9" s="12" t="s">
        <v>97</v>
      </c>
      <c r="C9" s="12" t="s">
        <v>205</v>
      </c>
      <c r="D9" s="11" t="s">
        <v>220</v>
      </c>
      <c r="E9" s="12" t="s">
        <v>11</v>
      </c>
      <c r="F9" s="13">
        <f>F10*(F11/365)</f>
        <v>322191.78082191781</v>
      </c>
      <c r="G9" s="12"/>
    </row>
    <row r="10" spans="1:7" ht="30">
      <c r="A10" t="s">
        <v>10</v>
      </c>
      <c r="B10" t="s">
        <v>128</v>
      </c>
      <c r="C10" t="s">
        <v>207</v>
      </c>
      <c r="D10" s="8" t="s">
        <v>208</v>
      </c>
      <c r="E10" t="s">
        <v>10</v>
      </c>
      <c r="F10">
        <v>168</v>
      </c>
    </row>
    <row r="11" spans="1:7" ht="34.5" customHeight="1">
      <c r="A11" t="s">
        <v>10</v>
      </c>
      <c r="B11" t="s">
        <v>128</v>
      </c>
      <c r="C11" t="s">
        <v>209</v>
      </c>
      <c r="D11" s="8" t="s">
        <v>221</v>
      </c>
      <c r="E11" t="s">
        <v>10</v>
      </c>
      <c r="F11">
        <v>700000</v>
      </c>
    </row>
    <row r="12" spans="1:7" s="10" customFormat="1" ht="90">
      <c r="A12" s="32" t="s">
        <v>10</v>
      </c>
      <c r="B12" s="32" t="s">
        <v>89</v>
      </c>
      <c r="C12" s="32" t="s">
        <v>6</v>
      </c>
      <c r="D12" s="33" t="s">
        <v>222</v>
      </c>
      <c r="E12" s="32" t="s">
        <v>11</v>
      </c>
      <c r="F12" s="33" t="s">
        <v>223</v>
      </c>
      <c r="G12" s="33"/>
    </row>
    <row r="13" spans="1:7" ht="45">
      <c r="A13" s="12" t="s">
        <v>11</v>
      </c>
      <c r="B13" s="12" t="s">
        <v>97</v>
      </c>
      <c r="C13" s="12" t="s">
        <v>224</v>
      </c>
      <c r="D13" s="11" t="s">
        <v>225</v>
      </c>
      <c r="E13" s="12" t="s">
        <v>11</v>
      </c>
      <c r="F13" s="13">
        <f>IF(AND(F12="Default Value"),ABS(F14*(1-(F15/100))+(F16*F14))*ABS(((1-F17)/F18))*F19,IF(AND(F12="Adjusted Default Value"),(F20/F21)*F22*F19))</f>
        <v>105.11999999999999</v>
      </c>
      <c r="G13" s="12"/>
    </row>
    <row r="14" spans="1:7" ht="30">
      <c r="A14" t="s">
        <v>10</v>
      </c>
      <c r="B14" t="s">
        <v>128</v>
      </c>
      <c r="C14" t="s">
        <v>226</v>
      </c>
      <c r="D14" s="8" t="s">
        <v>227</v>
      </c>
      <c r="E14" t="s">
        <v>10</v>
      </c>
      <c r="F14" s="10">
        <v>0.05</v>
      </c>
    </row>
    <row r="15" spans="1:7" ht="18" customHeight="1">
      <c r="A15" t="s">
        <v>10</v>
      </c>
      <c r="B15" t="s">
        <v>128</v>
      </c>
      <c r="C15" t="s">
        <v>228</v>
      </c>
      <c r="D15" t="s">
        <v>229</v>
      </c>
      <c r="E15" t="s">
        <v>10</v>
      </c>
      <c r="F15" s="10">
        <v>0.05</v>
      </c>
    </row>
    <row r="16" spans="1:7">
      <c r="A16" t="s">
        <v>10</v>
      </c>
      <c r="B16" t="s">
        <v>128</v>
      </c>
      <c r="C16" t="s">
        <v>230</v>
      </c>
      <c r="D16" t="s">
        <v>231</v>
      </c>
      <c r="E16" t="s">
        <v>10</v>
      </c>
      <c r="F16" s="10">
        <v>0</v>
      </c>
    </row>
    <row r="17" spans="1:7" ht="30">
      <c r="A17" t="s">
        <v>10</v>
      </c>
      <c r="B17" t="s">
        <v>128</v>
      </c>
      <c r="C17" t="s">
        <v>232</v>
      </c>
      <c r="D17" s="8" t="s">
        <v>233</v>
      </c>
      <c r="E17" t="s">
        <v>10</v>
      </c>
      <c r="F17" s="10">
        <v>0.05</v>
      </c>
    </row>
    <row r="18" spans="1:7" ht="30">
      <c r="A18" t="s">
        <v>10</v>
      </c>
      <c r="B18" t="s">
        <v>128</v>
      </c>
      <c r="C18" t="s">
        <v>234</v>
      </c>
      <c r="D18" s="8" t="s">
        <v>235</v>
      </c>
      <c r="E18" t="s">
        <v>10</v>
      </c>
      <c r="F18" s="10">
        <v>0.05</v>
      </c>
    </row>
    <row r="19" spans="1:7" ht="30">
      <c r="A19" t="s">
        <v>10</v>
      </c>
      <c r="B19" t="s">
        <v>128</v>
      </c>
      <c r="C19" t="s">
        <v>236</v>
      </c>
      <c r="D19" s="8" t="s">
        <v>237</v>
      </c>
      <c r="E19" t="s">
        <v>10</v>
      </c>
      <c r="F19" s="10">
        <v>365</v>
      </c>
    </row>
    <row r="20" spans="1:7" ht="34.5" customHeight="1">
      <c r="A20" t="s">
        <v>10</v>
      </c>
      <c r="B20" t="s">
        <v>128</v>
      </c>
      <c r="C20" t="s">
        <v>238</v>
      </c>
      <c r="D20" s="8" t="s">
        <v>239</v>
      </c>
      <c r="E20" t="s">
        <v>10</v>
      </c>
      <c r="F20" s="10">
        <v>48</v>
      </c>
    </row>
    <row r="21" spans="1:7" ht="45">
      <c r="A21" t="s">
        <v>10</v>
      </c>
      <c r="B21" t="s">
        <v>128</v>
      </c>
      <c r="C21" t="s">
        <v>240</v>
      </c>
      <c r="D21" s="8" t="s">
        <v>241</v>
      </c>
      <c r="E21" t="s">
        <v>10</v>
      </c>
      <c r="F21" s="10">
        <v>50</v>
      </c>
    </row>
    <row r="22" spans="1:7" ht="45">
      <c r="A22" t="s">
        <v>10</v>
      </c>
      <c r="B22" t="s">
        <v>128</v>
      </c>
      <c r="C22" t="s">
        <v>242</v>
      </c>
      <c r="D22" s="8" t="s">
        <v>243</v>
      </c>
      <c r="E22" t="s">
        <v>10</v>
      </c>
      <c r="F22" s="10">
        <v>0.3</v>
      </c>
    </row>
    <row r="23" spans="1:7" ht="18.75">
      <c r="A23" s="42"/>
      <c r="B23" s="42"/>
      <c r="C23" s="41"/>
      <c r="D23" s="42" t="s">
        <v>212</v>
      </c>
      <c r="E23" s="41"/>
      <c r="F23" s="41"/>
      <c r="G23" s="17"/>
    </row>
    <row r="24" spans="1:7">
      <c r="A24" t="s">
        <v>10</v>
      </c>
      <c r="B24" t="s">
        <v>12</v>
      </c>
      <c r="C24" t="s">
        <v>187</v>
      </c>
      <c r="D24" t="s">
        <v>188</v>
      </c>
      <c r="E24" t="s">
        <v>10</v>
      </c>
      <c r="F24" t="s">
        <v>211</v>
      </c>
    </row>
    <row r="25" spans="1:7" ht="30">
      <c r="A25" s="12" t="s">
        <v>11</v>
      </c>
      <c r="B25" s="12" t="s">
        <v>97</v>
      </c>
      <c r="C25" s="12" t="s">
        <v>244</v>
      </c>
      <c r="D25" s="11" t="s">
        <v>215</v>
      </c>
      <c r="E25" s="12" t="s">
        <v>11</v>
      </c>
      <c r="F25" s="13">
        <f>F26*F27*F29*F33*F28</f>
        <v>0</v>
      </c>
      <c r="G25" s="12"/>
    </row>
    <row r="26" spans="1:7" ht="30">
      <c r="A26" t="s">
        <v>10</v>
      </c>
      <c r="B26" t="s">
        <v>128</v>
      </c>
      <c r="C26" t="s">
        <v>216</v>
      </c>
      <c r="D26" s="8" t="s">
        <v>217</v>
      </c>
      <c r="E26" t="s">
        <v>10</v>
      </c>
      <c r="F26">
        <v>0</v>
      </c>
    </row>
    <row r="27" spans="1:7" ht="45">
      <c r="A27" t="s">
        <v>10</v>
      </c>
      <c r="B27" t="s">
        <v>128</v>
      </c>
      <c r="C27" t="s">
        <v>129</v>
      </c>
      <c r="D27" s="8" t="s">
        <v>204</v>
      </c>
      <c r="E27" t="s">
        <v>10</v>
      </c>
      <c r="F27">
        <v>0</v>
      </c>
    </row>
    <row r="28" spans="1:7" ht="30">
      <c r="A28" t="s">
        <v>10</v>
      </c>
      <c r="B28" t="s">
        <v>128</v>
      </c>
      <c r="C28" t="s">
        <v>218</v>
      </c>
      <c r="D28" s="8" t="s">
        <v>219</v>
      </c>
      <c r="E28" t="s">
        <v>10</v>
      </c>
      <c r="F28">
        <v>0</v>
      </c>
    </row>
    <row r="29" spans="1:7" ht="30">
      <c r="A29" s="12" t="s">
        <v>11</v>
      </c>
      <c r="B29" s="12" t="s">
        <v>97</v>
      </c>
      <c r="C29" s="12" t="s">
        <v>205</v>
      </c>
      <c r="D29" s="11" t="s">
        <v>220</v>
      </c>
      <c r="E29" s="12" t="s">
        <v>11</v>
      </c>
      <c r="F29" s="13">
        <f>F30*(F31/365)</f>
        <v>0</v>
      </c>
      <c r="G29" s="12"/>
    </row>
    <row r="30" spans="1:7" ht="30">
      <c r="A30" t="s">
        <v>10</v>
      </c>
      <c r="B30" t="s">
        <v>128</v>
      </c>
      <c r="C30" t="s">
        <v>207</v>
      </c>
      <c r="D30" s="8" t="s">
        <v>208</v>
      </c>
      <c r="E30" t="s">
        <v>10</v>
      </c>
      <c r="F30">
        <v>0</v>
      </c>
    </row>
    <row r="31" spans="1:7" ht="34.5" customHeight="1">
      <c r="A31" t="s">
        <v>10</v>
      </c>
      <c r="B31" t="s">
        <v>128</v>
      </c>
      <c r="C31" t="s">
        <v>209</v>
      </c>
      <c r="D31" s="8" t="s">
        <v>221</v>
      </c>
      <c r="E31" t="s">
        <v>10</v>
      </c>
      <c r="F31">
        <v>0</v>
      </c>
    </row>
    <row r="32" spans="1:7" s="10" customFormat="1" ht="90">
      <c r="A32" s="32" t="s">
        <v>10</v>
      </c>
      <c r="B32" s="32" t="s">
        <v>89</v>
      </c>
      <c r="C32" s="32" t="s">
        <v>6</v>
      </c>
      <c r="D32" s="33" t="s">
        <v>222</v>
      </c>
      <c r="E32" s="32" t="s">
        <v>11</v>
      </c>
      <c r="F32" s="33" t="s">
        <v>245</v>
      </c>
      <c r="G32" s="33"/>
    </row>
    <row r="33" spans="1:7" ht="45">
      <c r="A33" s="12" t="s">
        <v>11</v>
      </c>
      <c r="B33" s="12" t="s">
        <v>97</v>
      </c>
      <c r="C33" s="12" t="s">
        <v>224</v>
      </c>
      <c r="D33" s="11" t="s">
        <v>225</v>
      </c>
      <c r="E33" s="12" t="s">
        <v>11</v>
      </c>
      <c r="F33" s="13">
        <f>IF(AND(F32="Default Value"),ABS(F34*(1-(F35/100))+(F36*F34))*ABS(((1-F37)/F38))*F39,IF(AND(F32="Adjusted Default Value"),(F40/F41)*F42*F39))</f>
        <v>0</v>
      </c>
      <c r="G33" s="12"/>
    </row>
    <row r="34" spans="1:7" ht="30">
      <c r="A34" t="s">
        <v>10</v>
      </c>
      <c r="B34" t="s">
        <v>128</v>
      </c>
      <c r="C34" t="s">
        <v>226</v>
      </c>
      <c r="D34" s="8" t="s">
        <v>227</v>
      </c>
      <c r="E34" t="s">
        <v>10</v>
      </c>
      <c r="F34" s="10">
        <v>1</v>
      </c>
    </row>
    <row r="35" spans="1:7" ht="18" customHeight="1">
      <c r="A35" t="s">
        <v>10</v>
      </c>
      <c r="B35" t="s">
        <v>128</v>
      </c>
      <c r="C35" t="s">
        <v>228</v>
      </c>
      <c r="D35" t="s">
        <v>229</v>
      </c>
      <c r="E35" t="s">
        <v>10</v>
      </c>
      <c r="F35" s="10">
        <v>1</v>
      </c>
    </row>
    <row r="36" spans="1:7">
      <c r="A36" t="s">
        <v>10</v>
      </c>
      <c r="B36" t="s">
        <v>128</v>
      </c>
      <c r="C36" t="s">
        <v>230</v>
      </c>
      <c r="D36" t="s">
        <v>231</v>
      </c>
      <c r="E36" t="s">
        <v>10</v>
      </c>
      <c r="F36" s="10">
        <v>1</v>
      </c>
    </row>
    <row r="37" spans="1:7" ht="30">
      <c r="A37" t="s">
        <v>10</v>
      </c>
      <c r="B37" t="s">
        <v>128</v>
      </c>
      <c r="C37" t="s">
        <v>232</v>
      </c>
      <c r="D37" s="8" t="s">
        <v>233</v>
      </c>
      <c r="E37" t="s">
        <v>10</v>
      </c>
      <c r="F37" s="10">
        <v>1</v>
      </c>
    </row>
    <row r="38" spans="1:7" ht="30">
      <c r="A38" t="s">
        <v>10</v>
      </c>
      <c r="B38" t="s">
        <v>128</v>
      </c>
      <c r="C38" t="s">
        <v>234</v>
      </c>
      <c r="D38" s="8" t="s">
        <v>235</v>
      </c>
      <c r="E38" t="s">
        <v>10</v>
      </c>
      <c r="F38" s="10">
        <v>1</v>
      </c>
    </row>
    <row r="39" spans="1:7" ht="30">
      <c r="A39" t="s">
        <v>10</v>
      </c>
      <c r="B39" t="s">
        <v>128</v>
      </c>
      <c r="C39" t="s">
        <v>236</v>
      </c>
      <c r="D39" s="8" t="s">
        <v>237</v>
      </c>
      <c r="E39" t="s">
        <v>10</v>
      </c>
      <c r="F39" s="10">
        <v>1</v>
      </c>
    </row>
    <row r="40" spans="1:7" ht="34.5" customHeight="1">
      <c r="A40" t="s">
        <v>10</v>
      </c>
      <c r="B40" t="s">
        <v>128</v>
      </c>
      <c r="C40" t="s">
        <v>238</v>
      </c>
      <c r="D40" s="8" t="s">
        <v>239</v>
      </c>
      <c r="E40" t="s">
        <v>10</v>
      </c>
      <c r="F40" s="10">
        <v>1</v>
      </c>
    </row>
    <row r="41" spans="1:7" ht="45">
      <c r="A41" t="s">
        <v>10</v>
      </c>
      <c r="B41" t="s">
        <v>128</v>
      </c>
      <c r="C41" t="s">
        <v>240</v>
      </c>
      <c r="D41" s="8" t="s">
        <v>241</v>
      </c>
      <c r="E41" t="s">
        <v>10</v>
      </c>
      <c r="F41" s="10">
        <v>1</v>
      </c>
    </row>
    <row r="42" spans="1:7" ht="45">
      <c r="A42" t="s">
        <v>10</v>
      </c>
      <c r="B42" t="s">
        <v>128</v>
      </c>
      <c r="C42" t="s">
        <v>242</v>
      </c>
      <c r="D42" s="8" t="s">
        <v>243</v>
      </c>
      <c r="E42" t="s">
        <v>10</v>
      </c>
      <c r="F42" s="10">
        <v>1</v>
      </c>
    </row>
  </sheetData>
  <dataValidations count="1">
    <dataValidation type="list" allowBlank="1" showInputMessage="1" showErrorMessage="1" sqref="F12 F32" xr:uid="{053663C9-9D64-4EDD-9F01-4CF70DB3F1FD}">
      <formula1>"Default Value,Adjusted Default Value"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C8E0-1D23-4234-8043-FDCCD621AF22}">
  <dimension ref="A1:G16"/>
  <sheetViews>
    <sheetView workbookViewId="0">
      <selection activeCell="F16" sqref="F16"/>
    </sheetView>
  </sheetViews>
  <sheetFormatPr defaultRowHeight="15"/>
  <cols>
    <col min="1" max="1" width="18.140625" bestFit="1" customWidth="1"/>
    <col min="2" max="2" width="16.140625" bestFit="1" customWidth="1"/>
    <col min="3" max="3" width="14.85546875" bestFit="1" customWidth="1"/>
    <col min="4" max="4" width="46.85546875" customWidth="1"/>
    <col min="5" max="5" width="29.28515625" bestFit="1" customWidth="1"/>
    <col min="6" max="6" width="64.7109375" customWidth="1"/>
    <col min="7" max="7" width="55" customWidth="1"/>
  </cols>
  <sheetData>
    <row r="1" spans="1:7" ht="18.75">
      <c r="A1" s="1" t="s">
        <v>0</v>
      </c>
      <c r="B1" s="1" t="s">
        <v>3</v>
      </c>
      <c r="C1" s="1" t="s">
        <v>5</v>
      </c>
      <c r="D1" s="2" t="s">
        <v>6</v>
      </c>
      <c r="E1" s="2" t="s">
        <v>2</v>
      </c>
      <c r="F1" s="1" t="s">
        <v>7</v>
      </c>
      <c r="G1" s="1" t="s">
        <v>8</v>
      </c>
    </row>
    <row r="2" spans="1:7" ht="18.75">
      <c r="A2" s="42"/>
      <c r="B2" s="42"/>
      <c r="C2" s="41"/>
      <c r="D2" s="42" t="s">
        <v>212</v>
      </c>
      <c r="E2" s="41"/>
      <c r="F2" s="41"/>
      <c r="G2" s="17"/>
    </row>
    <row r="3" spans="1:7" ht="18.75">
      <c r="A3" s="42"/>
      <c r="B3" s="42"/>
      <c r="C3" s="41"/>
      <c r="D3" s="42" t="s">
        <v>246</v>
      </c>
      <c r="E3" s="41"/>
      <c r="F3" s="41"/>
      <c r="G3" s="17"/>
    </row>
    <row r="4" spans="1:7">
      <c r="A4" t="s">
        <v>10</v>
      </c>
      <c r="B4" t="s">
        <v>12</v>
      </c>
      <c r="C4" t="s">
        <v>187</v>
      </c>
      <c r="D4" t="s">
        <v>188</v>
      </c>
      <c r="E4" t="s">
        <v>10</v>
      </c>
      <c r="F4" t="s">
        <v>189</v>
      </c>
    </row>
    <row r="5" spans="1:7" ht="30">
      <c r="A5" s="12" t="s">
        <v>11</v>
      </c>
      <c r="B5" s="12" t="s">
        <v>97</v>
      </c>
      <c r="C5" s="12" t="s">
        <v>214</v>
      </c>
      <c r="D5" s="11" t="s">
        <v>247</v>
      </c>
      <c r="E5" s="12" t="s">
        <v>11</v>
      </c>
      <c r="F5" s="13">
        <f>F7*F6*F8*F9</f>
        <v>444657.59999999992</v>
      </c>
      <c r="G5" s="12"/>
    </row>
    <row r="6" spans="1:7" ht="45">
      <c r="A6" t="s">
        <v>10</v>
      </c>
      <c r="B6" t="s">
        <v>128</v>
      </c>
      <c r="C6" t="s">
        <v>129</v>
      </c>
      <c r="D6" s="8" t="s">
        <v>204</v>
      </c>
      <c r="E6" t="s">
        <v>10</v>
      </c>
      <c r="F6" s="10">
        <v>0.36</v>
      </c>
    </row>
    <row r="7" spans="1:7">
      <c r="A7" t="s">
        <v>10</v>
      </c>
      <c r="B7" t="s">
        <v>128</v>
      </c>
      <c r="C7" t="s">
        <v>216</v>
      </c>
      <c r="D7" s="8" t="s">
        <v>132</v>
      </c>
      <c r="E7" t="s">
        <v>10</v>
      </c>
      <c r="F7" s="10">
        <v>0.8</v>
      </c>
    </row>
    <row r="8" spans="1:7" ht="45">
      <c r="A8" t="s">
        <v>10</v>
      </c>
      <c r="B8" t="s">
        <v>128</v>
      </c>
      <c r="C8" t="s">
        <v>133</v>
      </c>
      <c r="D8" s="8" t="s">
        <v>134</v>
      </c>
      <c r="E8" t="s">
        <v>10</v>
      </c>
      <c r="F8" s="10">
        <v>3285000</v>
      </c>
    </row>
    <row r="9" spans="1:7" ht="60">
      <c r="A9" t="s">
        <v>10</v>
      </c>
      <c r="B9" t="s">
        <v>128</v>
      </c>
      <c r="C9" t="s">
        <v>135</v>
      </c>
      <c r="D9" s="8" t="s">
        <v>136</v>
      </c>
      <c r="E9" t="s">
        <v>10</v>
      </c>
      <c r="F9" s="10">
        <v>0.47</v>
      </c>
    </row>
    <row r="10" spans="1:7" ht="18.75">
      <c r="A10" s="42"/>
      <c r="B10" s="42"/>
      <c r="C10" s="41"/>
      <c r="D10" s="42" t="s">
        <v>212</v>
      </c>
      <c r="E10" s="41"/>
      <c r="F10" s="41"/>
      <c r="G10" s="17"/>
    </row>
    <row r="11" spans="1:7">
      <c r="A11" t="s">
        <v>10</v>
      </c>
      <c r="B11" t="s">
        <v>12</v>
      </c>
      <c r="D11" t="s">
        <v>188</v>
      </c>
      <c r="E11" t="s">
        <v>10</v>
      </c>
      <c r="F11" t="s">
        <v>248</v>
      </c>
    </row>
    <row r="12" spans="1:7" ht="30">
      <c r="A12" s="12" t="s">
        <v>11</v>
      </c>
      <c r="B12" s="12" t="s">
        <v>97</v>
      </c>
      <c r="C12" s="12" t="s">
        <v>214</v>
      </c>
      <c r="D12" s="11" t="s">
        <v>247</v>
      </c>
      <c r="E12" s="12" t="s">
        <v>11</v>
      </c>
      <c r="F12" s="13">
        <f>F14*F13*F15*F16</f>
        <v>444657.59999999992</v>
      </c>
      <c r="G12" s="12"/>
    </row>
    <row r="13" spans="1:7" ht="45">
      <c r="A13" t="s">
        <v>10</v>
      </c>
      <c r="B13" t="s">
        <v>128</v>
      </c>
      <c r="C13" t="s">
        <v>129</v>
      </c>
      <c r="D13" s="8" t="s">
        <v>204</v>
      </c>
      <c r="E13" t="s">
        <v>10</v>
      </c>
      <c r="F13" s="10">
        <v>0.36</v>
      </c>
    </row>
    <row r="14" spans="1:7">
      <c r="A14" t="s">
        <v>10</v>
      </c>
      <c r="B14" t="s">
        <v>128</v>
      </c>
      <c r="C14" t="s">
        <v>216</v>
      </c>
      <c r="D14" s="8" t="s">
        <v>132</v>
      </c>
      <c r="E14" t="s">
        <v>10</v>
      </c>
      <c r="F14" s="10">
        <v>0.8</v>
      </c>
    </row>
    <row r="15" spans="1:7" ht="45">
      <c r="A15" t="s">
        <v>10</v>
      </c>
      <c r="B15" t="s">
        <v>128</v>
      </c>
      <c r="C15" t="s">
        <v>133</v>
      </c>
      <c r="D15" s="8" t="s">
        <v>134</v>
      </c>
      <c r="E15" t="s">
        <v>10</v>
      </c>
      <c r="F15" s="10">
        <v>3285000</v>
      </c>
    </row>
    <row r="16" spans="1:7" ht="60">
      <c r="A16" t="s">
        <v>10</v>
      </c>
      <c r="B16" t="s">
        <v>128</v>
      </c>
      <c r="C16" t="s">
        <v>135</v>
      </c>
      <c r="D16" s="8" t="s">
        <v>136</v>
      </c>
      <c r="E16" t="s">
        <v>10</v>
      </c>
      <c r="F16" s="10">
        <v>0.47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40775-06E6-47B4-824F-E93C1D4975B4}">
  <dimension ref="A1:G40"/>
  <sheetViews>
    <sheetView workbookViewId="0">
      <selection activeCell="F11" sqref="F11"/>
    </sheetView>
  </sheetViews>
  <sheetFormatPr defaultRowHeight="15"/>
  <cols>
    <col min="1" max="1" width="18.140625" bestFit="1" customWidth="1"/>
    <col min="2" max="2" width="16.140625" bestFit="1" customWidth="1"/>
    <col min="3" max="3" width="13.42578125" bestFit="1" customWidth="1"/>
    <col min="4" max="4" width="53.7109375" bestFit="1" customWidth="1"/>
    <col min="5" max="5" width="29.28515625" bestFit="1" customWidth="1"/>
    <col min="6" max="6" width="59" customWidth="1"/>
    <col min="7" max="7" width="55" customWidth="1"/>
  </cols>
  <sheetData>
    <row r="1" spans="1:7" ht="18.75">
      <c r="A1" s="1" t="s">
        <v>0</v>
      </c>
      <c r="B1" s="1" t="s">
        <v>3</v>
      </c>
      <c r="C1" s="1" t="s">
        <v>5</v>
      </c>
      <c r="D1" s="2" t="s">
        <v>6</v>
      </c>
      <c r="E1" s="2" t="s">
        <v>2</v>
      </c>
      <c r="F1" s="1" t="s">
        <v>7</v>
      </c>
      <c r="G1" s="1" t="s">
        <v>8</v>
      </c>
    </row>
    <row r="2" spans="1:7" ht="18.75">
      <c r="A2" s="42"/>
      <c r="B2" s="42"/>
      <c r="C2" s="41"/>
      <c r="D2" s="42" t="s">
        <v>249</v>
      </c>
      <c r="E2" s="41"/>
      <c r="F2" s="41"/>
      <c r="G2" s="17"/>
    </row>
    <row r="3" spans="1:7" ht="18.75">
      <c r="A3" s="42"/>
      <c r="B3" s="42"/>
      <c r="C3" s="41"/>
      <c r="D3" s="42" t="s">
        <v>250</v>
      </c>
      <c r="E3" s="41"/>
      <c r="F3" s="41"/>
      <c r="G3" s="17"/>
    </row>
    <row r="4" spans="1:7">
      <c r="A4" t="s">
        <v>10</v>
      </c>
      <c r="B4" t="s">
        <v>12</v>
      </c>
      <c r="C4" t="s">
        <v>187</v>
      </c>
      <c r="D4" t="s">
        <v>188</v>
      </c>
      <c r="E4" t="s">
        <v>10</v>
      </c>
      <c r="F4" t="s">
        <v>189</v>
      </c>
    </row>
    <row r="5" spans="1:7" ht="30">
      <c r="A5" s="12" t="s">
        <v>11</v>
      </c>
      <c r="B5" s="12" t="s">
        <v>97</v>
      </c>
      <c r="C5" s="12" t="s">
        <v>251</v>
      </c>
      <c r="D5" s="11" t="s">
        <v>252</v>
      </c>
      <c r="E5" s="12" t="s">
        <v>11</v>
      </c>
      <c r="F5" s="13">
        <f>F7*F8*F12*F6</f>
        <v>1524096</v>
      </c>
      <c r="G5" s="12"/>
    </row>
    <row r="6" spans="1:7">
      <c r="A6" t="s">
        <v>10</v>
      </c>
      <c r="B6" t="s">
        <v>128</v>
      </c>
      <c r="C6" t="s">
        <v>131</v>
      </c>
      <c r="D6" s="8" t="s">
        <v>132</v>
      </c>
      <c r="E6" t="s">
        <v>10</v>
      </c>
      <c r="F6" s="10">
        <v>0.1</v>
      </c>
    </row>
    <row r="7" spans="1:7" ht="30">
      <c r="A7" t="s">
        <v>10</v>
      </c>
      <c r="B7" t="s">
        <v>128</v>
      </c>
      <c r="C7" t="s">
        <v>129</v>
      </c>
      <c r="D7" s="8" t="s">
        <v>204</v>
      </c>
      <c r="E7" t="s">
        <v>10</v>
      </c>
      <c r="F7" s="10">
        <v>0.45</v>
      </c>
    </row>
    <row r="8" spans="1:7" ht="30">
      <c r="A8" s="12" t="s">
        <v>11</v>
      </c>
      <c r="B8" s="12" t="s">
        <v>97</v>
      </c>
      <c r="C8" s="12" t="s">
        <v>205</v>
      </c>
      <c r="D8" s="11" t="s">
        <v>206</v>
      </c>
      <c r="E8" s="12" t="s">
        <v>11</v>
      </c>
      <c r="F8" s="13">
        <f>F9*(F10/365)</f>
        <v>322191.78082191781</v>
      </c>
      <c r="G8" s="12"/>
    </row>
    <row r="9" spans="1:7" ht="30">
      <c r="A9" t="s">
        <v>10</v>
      </c>
      <c r="B9" t="s">
        <v>128</v>
      </c>
      <c r="C9" t="s">
        <v>207</v>
      </c>
      <c r="D9" s="8" t="s">
        <v>208</v>
      </c>
      <c r="E9" t="s">
        <v>10</v>
      </c>
      <c r="F9" s="10">
        <v>168</v>
      </c>
    </row>
    <row r="10" spans="1:7" ht="34.5" customHeight="1">
      <c r="A10" t="s">
        <v>10</v>
      </c>
      <c r="B10" t="s">
        <v>128</v>
      </c>
      <c r="C10" t="s">
        <v>209</v>
      </c>
      <c r="D10" s="8" t="s">
        <v>210</v>
      </c>
      <c r="E10" t="s">
        <v>10</v>
      </c>
      <c r="F10" s="10">
        <v>700000</v>
      </c>
    </row>
    <row r="11" spans="1:7" s="10" customFormat="1" ht="75">
      <c r="A11" s="32" t="s">
        <v>10</v>
      </c>
      <c r="B11" s="44" t="s">
        <v>89</v>
      </c>
      <c r="C11" s="44" t="s">
        <v>6</v>
      </c>
      <c r="D11" s="33" t="s">
        <v>222</v>
      </c>
      <c r="E11" s="32" t="s">
        <v>11</v>
      </c>
      <c r="F11" s="33" t="s">
        <v>223</v>
      </c>
      <c r="G11" s="33"/>
    </row>
    <row r="12" spans="1:7" ht="45">
      <c r="A12" s="12" t="s">
        <v>11</v>
      </c>
      <c r="B12" s="12" t="s">
        <v>97</v>
      </c>
      <c r="C12" s="12" t="s">
        <v>224</v>
      </c>
      <c r="D12" s="11" t="s">
        <v>253</v>
      </c>
      <c r="E12" s="12" t="s">
        <v>11</v>
      </c>
      <c r="F12" s="13">
        <f>IF(AND(F11="Default Value"),ABS(F13*(1-(F14/100))+(F15*F13))*ABS(((1-F16)/F17))*F21,IF(AND(F11="Adjusted Default Value"),(F18/F19)*F20*F21))</f>
        <v>105.11999999999999</v>
      </c>
      <c r="G12" s="12"/>
    </row>
    <row r="13" spans="1:7">
      <c r="A13" t="s">
        <v>10</v>
      </c>
      <c r="B13" t="s">
        <v>128</v>
      </c>
      <c r="C13" t="s">
        <v>226</v>
      </c>
      <c r="D13" s="8" t="s">
        <v>227</v>
      </c>
      <c r="E13" t="s">
        <v>10</v>
      </c>
      <c r="F13" s="10">
        <v>0.1</v>
      </c>
    </row>
    <row r="14" spans="1:7" ht="18" customHeight="1">
      <c r="A14" t="s">
        <v>10</v>
      </c>
      <c r="B14" t="s">
        <v>128</v>
      </c>
      <c r="C14" t="s">
        <v>228</v>
      </c>
      <c r="D14" t="s">
        <v>229</v>
      </c>
      <c r="E14" t="s">
        <v>10</v>
      </c>
      <c r="F14" s="10">
        <v>0.1</v>
      </c>
    </row>
    <row r="15" spans="1:7">
      <c r="A15" t="s">
        <v>10</v>
      </c>
      <c r="B15" t="s">
        <v>128</v>
      </c>
      <c r="C15" t="s">
        <v>230</v>
      </c>
      <c r="D15" t="s">
        <v>231</v>
      </c>
      <c r="E15" t="s">
        <v>10</v>
      </c>
      <c r="F15" s="10">
        <v>0.1</v>
      </c>
    </row>
    <row r="16" spans="1:7" ht="30">
      <c r="A16" t="s">
        <v>10</v>
      </c>
      <c r="B16" t="s">
        <v>128</v>
      </c>
      <c r="C16" t="s">
        <v>232</v>
      </c>
      <c r="D16" s="8" t="s">
        <v>233</v>
      </c>
      <c r="E16" t="s">
        <v>10</v>
      </c>
      <c r="F16" s="10">
        <v>0.1</v>
      </c>
    </row>
    <row r="17" spans="1:7" ht="30">
      <c r="A17" t="s">
        <v>10</v>
      </c>
      <c r="B17" t="s">
        <v>128</v>
      </c>
      <c r="C17" t="s">
        <v>234</v>
      </c>
      <c r="D17" s="8" t="s">
        <v>254</v>
      </c>
      <c r="E17" t="s">
        <v>10</v>
      </c>
      <c r="F17" s="10">
        <v>0.1</v>
      </c>
    </row>
    <row r="18" spans="1:7" ht="34.5" customHeight="1">
      <c r="A18" t="s">
        <v>10</v>
      </c>
      <c r="B18" t="s">
        <v>128</v>
      </c>
      <c r="C18" t="s">
        <v>238</v>
      </c>
      <c r="D18" s="8" t="s">
        <v>239</v>
      </c>
      <c r="E18" t="s">
        <v>10</v>
      </c>
      <c r="F18" s="10">
        <v>48</v>
      </c>
    </row>
    <row r="19" spans="1:7" ht="30">
      <c r="A19" t="s">
        <v>10</v>
      </c>
      <c r="B19" t="s">
        <v>128</v>
      </c>
      <c r="C19" t="s">
        <v>240</v>
      </c>
      <c r="D19" s="8" t="s">
        <v>241</v>
      </c>
      <c r="E19" t="s">
        <v>10</v>
      </c>
      <c r="F19" s="10">
        <v>50</v>
      </c>
    </row>
    <row r="20" spans="1:7" ht="45">
      <c r="A20" t="s">
        <v>10</v>
      </c>
      <c r="B20" t="s">
        <v>128</v>
      </c>
      <c r="C20" t="s">
        <v>242</v>
      </c>
      <c r="D20" s="8" t="s">
        <v>243</v>
      </c>
      <c r="E20" t="s">
        <v>10</v>
      </c>
      <c r="F20" s="10">
        <v>0.3</v>
      </c>
    </row>
    <row r="21" spans="1:7">
      <c r="A21" t="s">
        <v>10</v>
      </c>
      <c r="B21" t="s">
        <v>128</v>
      </c>
      <c r="C21" t="s">
        <v>236</v>
      </c>
      <c r="D21" t="s">
        <v>237</v>
      </c>
      <c r="E21" t="s">
        <v>10</v>
      </c>
      <c r="F21" s="10">
        <v>365</v>
      </c>
    </row>
    <row r="22" spans="1:7" ht="18.75">
      <c r="A22" s="42"/>
      <c r="B22" s="42"/>
      <c r="C22" s="41"/>
      <c r="D22" s="42" t="s">
        <v>249</v>
      </c>
      <c r="E22" s="41"/>
      <c r="F22" s="41"/>
      <c r="G22" s="17"/>
    </row>
    <row r="23" spans="1:7">
      <c r="A23" t="s">
        <v>10</v>
      </c>
      <c r="B23" t="s">
        <v>12</v>
      </c>
      <c r="C23" t="s">
        <v>187</v>
      </c>
      <c r="D23" t="s">
        <v>188</v>
      </c>
      <c r="E23" t="s">
        <v>10</v>
      </c>
      <c r="F23" t="s">
        <v>211</v>
      </c>
    </row>
    <row r="24" spans="1:7" ht="30">
      <c r="A24" s="12" t="s">
        <v>11</v>
      </c>
      <c r="B24" s="12" t="s">
        <v>97</v>
      </c>
      <c r="C24" s="12" t="s">
        <v>251</v>
      </c>
      <c r="D24" s="11" t="s">
        <v>252</v>
      </c>
      <c r="E24" s="12" t="s">
        <v>11</v>
      </c>
      <c r="F24" s="13">
        <f>F26*F27*F31*F25</f>
        <v>0</v>
      </c>
      <c r="G24" s="12"/>
    </row>
    <row r="25" spans="1:7">
      <c r="A25" t="s">
        <v>10</v>
      </c>
      <c r="B25" t="s">
        <v>128</v>
      </c>
      <c r="C25" t="s">
        <v>131</v>
      </c>
      <c r="D25" s="8" t="s">
        <v>132</v>
      </c>
      <c r="E25" t="s">
        <v>10</v>
      </c>
      <c r="F25" s="10">
        <v>0</v>
      </c>
    </row>
    <row r="26" spans="1:7" ht="30">
      <c r="A26" t="s">
        <v>10</v>
      </c>
      <c r="B26" t="s">
        <v>128</v>
      </c>
      <c r="C26" t="s">
        <v>129</v>
      </c>
      <c r="D26" s="8" t="s">
        <v>204</v>
      </c>
      <c r="E26" t="s">
        <v>10</v>
      </c>
      <c r="F26" s="10">
        <v>0</v>
      </c>
    </row>
    <row r="27" spans="1:7" ht="30">
      <c r="A27" s="12" t="s">
        <v>11</v>
      </c>
      <c r="B27" s="12" t="s">
        <v>97</v>
      </c>
      <c r="C27" s="12" t="s">
        <v>205</v>
      </c>
      <c r="D27" s="11" t="s">
        <v>206</v>
      </c>
      <c r="E27" s="12" t="s">
        <v>11</v>
      </c>
      <c r="F27" s="13">
        <f>F28*(F29/365)</f>
        <v>0</v>
      </c>
      <c r="G27" s="12"/>
    </row>
    <row r="28" spans="1:7" ht="30">
      <c r="A28" t="s">
        <v>10</v>
      </c>
      <c r="B28" t="s">
        <v>128</v>
      </c>
      <c r="C28" t="s">
        <v>207</v>
      </c>
      <c r="D28" s="8" t="s">
        <v>208</v>
      </c>
      <c r="E28" t="s">
        <v>10</v>
      </c>
      <c r="F28" s="10">
        <v>0</v>
      </c>
    </row>
    <row r="29" spans="1:7" ht="34.5" customHeight="1">
      <c r="A29" t="s">
        <v>10</v>
      </c>
      <c r="B29" t="s">
        <v>128</v>
      </c>
      <c r="C29" t="s">
        <v>209</v>
      </c>
      <c r="D29" s="8" t="s">
        <v>210</v>
      </c>
      <c r="E29" t="s">
        <v>10</v>
      </c>
      <c r="F29" s="10">
        <v>0</v>
      </c>
    </row>
    <row r="30" spans="1:7" s="46" customFormat="1" ht="75">
      <c r="A30" s="44" t="s">
        <v>10</v>
      </c>
      <c r="B30" s="44" t="s">
        <v>89</v>
      </c>
      <c r="C30" s="44" t="s">
        <v>6</v>
      </c>
      <c r="D30" s="45" t="s">
        <v>222</v>
      </c>
      <c r="E30" s="44" t="s">
        <v>11</v>
      </c>
      <c r="F30" s="45" t="s">
        <v>245</v>
      </c>
      <c r="G30" s="45"/>
    </row>
    <row r="31" spans="1:7" ht="45">
      <c r="A31" s="12" t="s">
        <v>11</v>
      </c>
      <c r="B31" s="12" t="s">
        <v>97</v>
      </c>
      <c r="C31" s="12" t="s">
        <v>224</v>
      </c>
      <c r="D31" s="11" t="s">
        <v>253</v>
      </c>
      <c r="E31" s="12" t="s">
        <v>11</v>
      </c>
      <c r="F31" s="13">
        <f>IF(AND(F30="Default Value"),ABS(F32*(1-(F33/100))+(F34*F32))*ABS(((1-F35)/F36))*F40,IF(AND(F30="Adjusted Default Value"),(F37/F38)*F39*F40))</f>
        <v>0</v>
      </c>
      <c r="G31" s="12"/>
    </row>
    <row r="32" spans="1:7">
      <c r="A32" t="s">
        <v>10</v>
      </c>
      <c r="B32" t="s">
        <v>128</v>
      </c>
      <c r="C32" t="s">
        <v>226</v>
      </c>
      <c r="D32" s="8" t="s">
        <v>227</v>
      </c>
      <c r="E32" t="s">
        <v>10</v>
      </c>
      <c r="F32" s="10">
        <v>1</v>
      </c>
    </row>
    <row r="33" spans="1:6" ht="18" customHeight="1">
      <c r="A33" t="s">
        <v>10</v>
      </c>
      <c r="B33" t="s">
        <v>128</v>
      </c>
      <c r="C33" t="s">
        <v>228</v>
      </c>
      <c r="D33" t="s">
        <v>229</v>
      </c>
      <c r="E33" t="s">
        <v>10</v>
      </c>
      <c r="F33" s="10">
        <v>1</v>
      </c>
    </row>
    <row r="34" spans="1:6">
      <c r="A34" t="s">
        <v>10</v>
      </c>
      <c r="B34" t="s">
        <v>128</v>
      </c>
      <c r="C34" t="s">
        <v>230</v>
      </c>
      <c r="D34" t="s">
        <v>231</v>
      </c>
      <c r="E34" t="s">
        <v>10</v>
      </c>
      <c r="F34" s="10">
        <v>1</v>
      </c>
    </row>
    <row r="35" spans="1:6" ht="30">
      <c r="A35" t="s">
        <v>10</v>
      </c>
      <c r="B35" t="s">
        <v>128</v>
      </c>
      <c r="C35" t="s">
        <v>232</v>
      </c>
      <c r="D35" s="8" t="s">
        <v>233</v>
      </c>
      <c r="E35" t="s">
        <v>10</v>
      </c>
      <c r="F35" s="10">
        <v>1</v>
      </c>
    </row>
    <row r="36" spans="1:6" ht="30">
      <c r="A36" t="s">
        <v>10</v>
      </c>
      <c r="B36" t="s">
        <v>128</v>
      </c>
      <c r="C36" t="s">
        <v>234</v>
      </c>
      <c r="D36" s="8" t="s">
        <v>254</v>
      </c>
      <c r="E36" t="s">
        <v>10</v>
      </c>
      <c r="F36" s="10">
        <v>1</v>
      </c>
    </row>
    <row r="37" spans="1:6" ht="34.5" customHeight="1">
      <c r="A37" t="s">
        <v>10</v>
      </c>
      <c r="B37" t="s">
        <v>128</v>
      </c>
      <c r="C37" t="s">
        <v>238</v>
      </c>
      <c r="D37" s="8" t="s">
        <v>239</v>
      </c>
      <c r="E37" t="s">
        <v>10</v>
      </c>
      <c r="F37" s="10">
        <v>1</v>
      </c>
    </row>
    <row r="38" spans="1:6" ht="30">
      <c r="A38" t="s">
        <v>10</v>
      </c>
      <c r="B38" t="s">
        <v>128</v>
      </c>
      <c r="C38" t="s">
        <v>240</v>
      </c>
      <c r="D38" s="8" t="s">
        <v>241</v>
      </c>
      <c r="E38" t="s">
        <v>10</v>
      </c>
      <c r="F38" s="10">
        <v>1</v>
      </c>
    </row>
    <row r="39" spans="1:6" ht="45">
      <c r="A39" t="s">
        <v>10</v>
      </c>
      <c r="B39" t="s">
        <v>128</v>
      </c>
      <c r="C39" t="s">
        <v>242</v>
      </c>
      <c r="D39" s="8" t="s">
        <v>243</v>
      </c>
      <c r="E39" t="s">
        <v>10</v>
      </c>
      <c r="F39" s="10">
        <v>1</v>
      </c>
    </row>
    <row r="40" spans="1:6">
      <c r="A40" t="s">
        <v>10</v>
      </c>
      <c r="B40" t="s">
        <v>128</v>
      </c>
      <c r="C40" t="s">
        <v>236</v>
      </c>
      <c r="D40" t="s">
        <v>237</v>
      </c>
      <c r="E40" t="s">
        <v>10</v>
      </c>
      <c r="F40" s="10">
        <v>1</v>
      </c>
    </row>
  </sheetData>
  <dataValidations count="1">
    <dataValidation type="list" allowBlank="1" showInputMessage="1" showErrorMessage="1" sqref="F11 F30" xr:uid="{FBEE86B7-9D8D-4C2D-AB97-95BBBB988DB6}">
      <formula1>"Default Value,Adjusted Default Value"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DA3C8-9C38-4213-920F-91F933248EB7}">
  <dimension ref="A1:G16"/>
  <sheetViews>
    <sheetView workbookViewId="0">
      <selection activeCell="F6" sqref="F6"/>
    </sheetView>
  </sheetViews>
  <sheetFormatPr defaultRowHeight="15"/>
  <cols>
    <col min="1" max="1" width="18.140625" bestFit="1" customWidth="1"/>
    <col min="2" max="2" width="16.140625" bestFit="1" customWidth="1"/>
    <col min="3" max="3" width="13.42578125" bestFit="1" customWidth="1"/>
    <col min="4" max="4" width="61.28515625" customWidth="1"/>
    <col min="5" max="5" width="29.28515625" bestFit="1" customWidth="1"/>
    <col min="6" max="6" width="77.140625" customWidth="1"/>
    <col min="7" max="7" width="45.7109375" customWidth="1"/>
  </cols>
  <sheetData>
    <row r="1" spans="1:7" ht="18.75">
      <c r="A1" s="1" t="s">
        <v>0</v>
      </c>
      <c r="B1" s="1" t="s">
        <v>3</v>
      </c>
      <c r="C1" s="1" t="s">
        <v>5</v>
      </c>
      <c r="D1" s="2" t="s">
        <v>6</v>
      </c>
      <c r="E1" s="2" t="s">
        <v>2</v>
      </c>
      <c r="F1" s="1" t="s">
        <v>7</v>
      </c>
    </row>
    <row r="2" spans="1:7" ht="18.75">
      <c r="A2" s="42"/>
      <c r="B2" s="42"/>
      <c r="C2" s="41"/>
      <c r="D2" s="42" t="s">
        <v>249</v>
      </c>
      <c r="E2" s="41"/>
      <c r="F2" s="41"/>
      <c r="G2" s="17"/>
    </row>
    <row r="3" spans="1:7" ht="18.75">
      <c r="A3" s="42"/>
      <c r="B3" s="42"/>
      <c r="C3" s="41"/>
      <c r="D3" s="42" t="s">
        <v>255</v>
      </c>
      <c r="E3" s="41"/>
      <c r="F3" s="41"/>
      <c r="G3" s="17"/>
    </row>
    <row r="4" spans="1:7">
      <c r="A4" t="s">
        <v>10</v>
      </c>
      <c r="B4" t="s">
        <v>12</v>
      </c>
      <c r="C4" t="s">
        <v>187</v>
      </c>
      <c r="D4" t="s">
        <v>188</v>
      </c>
      <c r="E4" t="s">
        <v>10</v>
      </c>
      <c r="F4" t="s">
        <v>189</v>
      </c>
    </row>
    <row r="5" spans="1:7" ht="30">
      <c r="A5" s="12" t="s">
        <v>11</v>
      </c>
      <c r="B5" s="12" t="s">
        <v>97</v>
      </c>
      <c r="C5" s="12" t="s">
        <v>251</v>
      </c>
      <c r="D5" s="11" t="s">
        <v>256</v>
      </c>
      <c r="E5" s="12" t="s">
        <v>11</v>
      </c>
      <c r="F5" s="13">
        <f>F6*F8*F9*F7</f>
        <v>2500</v>
      </c>
      <c r="G5" s="12"/>
    </row>
    <row r="6" spans="1:7" ht="30">
      <c r="A6" t="s">
        <v>10</v>
      </c>
      <c r="B6" t="s">
        <v>128</v>
      </c>
      <c r="C6" t="s">
        <v>129</v>
      </c>
      <c r="D6" s="8" t="s">
        <v>204</v>
      </c>
      <c r="E6" t="s">
        <v>10</v>
      </c>
      <c r="F6" s="10">
        <v>25</v>
      </c>
    </row>
    <row r="7" spans="1:7">
      <c r="A7" t="s">
        <v>10</v>
      </c>
      <c r="B7" t="s">
        <v>128</v>
      </c>
      <c r="C7" t="s">
        <v>131</v>
      </c>
      <c r="D7" s="8" t="s">
        <v>132</v>
      </c>
      <c r="E7" t="s">
        <v>10</v>
      </c>
      <c r="F7" s="10">
        <v>1</v>
      </c>
    </row>
    <row r="8" spans="1:7" ht="30">
      <c r="A8" t="s">
        <v>10</v>
      </c>
      <c r="B8" t="s">
        <v>128</v>
      </c>
      <c r="C8" t="s">
        <v>133</v>
      </c>
      <c r="D8" s="8" t="s">
        <v>134</v>
      </c>
      <c r="E8" t="s">
        <v>10</v>
      </c>
      <c r="F8" s="10">
        <v>10</v>
      </c>
    </row>
    <row r="9" spans="1:7" ht="45">
      <c r="A9" t="s">
        <v>10</v>
      </c>
      <c r="B9" t="s">
        <v>128</v>
      </c>
      <c r="C9" t="s">
        <v>135</v>
      </c>
      <c r="D9" s="8" t="s">
        <v>136</v>
      </c>
      <c r="E9" t="s">
        <v>10</v>
      </c>
      <c r="F9" s="10">
        <v>10</v>
      </c>
    </row>
    <row r="10" spans="1:7" ht="18.75">
      <c r="A10" s="42"/>
      <c r="B10" s="42"/>
      <c r="C10" s="41"/>
      <c r="D10" s="42" t="s">
        <v>249</v>
      </c>
      <c r="E10" s="41"/>
      <c r="F10" s="41"/>
      <c r="G10" s="17"/>
    </row>
    <row r="11" spans="1:7">
      <c r="A11" t="s">
        <v>10</v>
      </c>
      <c r="B11" t="s">
        <v>12</v>
      </c>
      <c r="C11" t="s">
        <v>187</v>
      </c>
      <c r="D11" t="s">
        <v>188</v>
      </c>
      <c r="E11" t="s">
        <v>10</v>
      </c>
      <c r="F11" t="s">
        <v>248</v>
      </c>
    </row>
    <row r="12" spans="1:7" ht="30">
      <c r="A12" s="12" t="s">
        <v>11</v>
      </c>
      <c r="B12" s="12" t="s">
        <v>97</v>
      </c>
      <c r="C12" s="12" t="s">
        <v>251</v>
      </c>
      <c r="D12" s="11" t="s">
        <v>256</v>
      </c>
      <c r="E12" s="12" t="s">
        <v>11</v>
      </c>
      <c r="F12" s="13">
        <f>F13*F15*F16*F14</f>
        <v>2500</v>
      </c>
      <c r="G12" s="12"/>
    </row>
    <row r="13" spans="1:7" ht="30">
      <c r="A13" t="s">
        <v>10</v>
      </c>
      <c r="B13" t="s">
        <v>128</v>
      </c>
      <c r="C13" t="s">
        <v>129</v>
      </c>
      <c r="D13" s="8" t="s">
        <v>204</v>
      </c>
      <c r="E13" t="s">
        <v>10</v>
      </c>
      <c r="F13" s="10">
        <v>25</v>
      </c>
    </row>
    <row r="14" spans="1:7">
      <c r="A14" t="s">
        <v>10</v>
      </c>
      <c r="B14" t="s">
        <v>128</v>
      </c>
      <c r="C14" t="s">
        <v>131</v>
      </c>
      <c r="D14" s="8" t="s">
        <v>132</v>
      </c>
      <c r="E14" t="s">
        <v>10</v>
      </c>
      <c r="F14" s="10">
        <v>1</v>
      </c>
    </row>
    <row r="15" spans="1:7" ht="30">
      <c r="A15" t="s">
        <v>10</v>
      </c>
      <c r="B15" t="s">
        <v>128</v>
      </c>
      <c r="C15" t="s">
        <v>133</v>
      </c>
      <c r="D15" s="8" t="s">
        <v>134</v>
      </c>
      <c r="E15" t="s">
        <v>10</v>
      </c>
      <c r="F15" s="10">
        <v>10</v>
      </c>
    </row>
    <row r="16" spans="1:7" ht="45">
      <c r="A16" t="s">
        <v>10</v>
      </c>
      <c r="B16" t="s">
        <v>128</v>
      </c>
      <c r="C16" t="s">
        <v>135</v>
      </c>
      <c r="D16" s="8" t="s">
        <v>136</v>
      </c>
      <c r="E16" t="s">
        <v>10</v>
      </c>
      <c r="F16" s="10">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338B1-668A-4A69-95F0-D62A2C6AFE45}">
  <dimension ref="A1:H39"/>
  <sheetViews>
    <sheetView zoomScaleNormal="100" workbookViewId="0">
      <selection activeCell="G5" sqref="G5"/>
    </sheetView>
  </sheetViews>
  <sheetFormatPr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36" t="s">
        <v>0</v>
      </c>
      <c r="B1" s="36" t="s">
        <v>1</v>
      </c>
      <c r="C1" s="35" t="s">
        <v>257</v>
      </c>
      <c r="D1" s="36" t="s">
        <v>3</v>
      </c>
      <c r="E1" s="36" t="s">
        <v>5</v>
      </c>
      <c r="F1" s="2" t="s">
        <v>6</v>
      </c>
      <c r="G1" s="2" t="s">
        <v>7</v>
      </c>
      <c r="H1" s="35" t="s">
        <v>8</v>
      </c>
    </row>
    <row r="2" spans="1:8" ht="30" customHeight="1">
      <c r="A2" s="114" t="s">
        <v>258</v>
      </c>
      <c r="B2" s="114"/>
      <c r="C2" s="114"/>
      <c r="D2" s="114"/>
      <c r="E2" s="114"/>
      <c r="F2" s="114"/>
      <c r="G2" s="114"/>
      <c r="H2" s="114"/>
    </row>
    <row r="3" spans="1:8" ht="30">
      <c r="A3" s="12" t="s">
        <v>11</v>
      </c>
      <c r="B3" s="12"/>
      <c r="C3" s="12" t="s">
        <v>11</v>
      </c>
      <c r="D3" s="12" t="s">
        <v>97</v>
      </c>
      <c r="E3" s="47" t="s">
        <v>259</v>
      </c>
      <c r="F3" s="48" t="s">
        <v>260</v>
      </c>
      <c r="G3" s="13">
        <f>SUM((G11*G12),(G29*G30))</f>
        <v>0</v>
      </c>
      <c r="H3" s="13" t="s">
        <v>261</v>
      </c>
    </row>
    <row r="4" spans="1:8" ht="46.5" customHeight="1">
      <c r="A4" s="114" t="s">
        <v>262</v>
      </c>
      <c r="B4" s="114"/>
      <c r="C4" s="114"/>
      <c r="D4" s="114"/>
      <c r="E4" s="114"/>
      <c r="F4" s="114"/>
      <c r="G4" s="114"/>
      <c r="H4" s="114"/>
    </row>
    <row r="5" spans="1:8" ht="33" customHeight="1">
      <c r="A5" t="s">
        <v>10</v>
      </c>
      <c r="C5" t="s">
        <v>10</v>
      </c>
      <c r="D5" t="s">
        <v>12</v>
      </c>
      <c r="E5" s="49" t="s">
        <v>263</v>
      </c>
      <c r="F5" s="50" t="s">
        <v>264</v>
      </c>
      <c r="G5" t="s">
        <v>211</v>
      </c>
      <c r="H5" t="s">
        <v>265</v>
      </c>
    </row>
    <row r="6" spans="1:8">
      <c r="A6" t="s">
        <v>10</v>
      </c>
      <c r="C6" t="s">
        <v>10</v>
      </c>
      <c r="D6" t="s">
        <v>12</v>
      </c>
      <c r="F6" s="50" t="s">
        <v>266</v>
      </c>
      <c r="G6" t="s">
        <v>211</v>
      </c>
    </row>
    <row r="7" spans="1:8" ht="60">
      <c r="A7" s="26" t="s">
        <v>10</v>
      </c>
      <c r="B7" s="26"/>
      <c r="C7" s="26" t="s">
        <v>10</v>
      </c>
      <c r="D7" s="26" t="s">
        <v>267</v>
      </c>
      <c r="E7" s="26" t="s">
        <v>6</v>
      </c>
      <c r="F7" s="51" t="s">
        <v>268</v>
      </c>
      <c r="G7" s="26" t="s">
        <v>269</v>
      </c>
      <c r="H7" s="31" t="s">
        <v>270</v>
      </c>
    </row>
    <row r="8" spans="1:8" ht="30">
      <c r="A8" s="26" t="s">
        <v>10</v>
      </c>
      <c r="B8" s="26"/>
      <c r="C8" s="26" t="s">
        <v>10</v>
      </c>
      <c r="D8" s="26" t="s">
        <v>267</v>
      </c>
      <c r="E8" s="26" t="s">
        <v>6</v>
      </c>
      <c r="F8" s="51" t="s">
        <v>271</v>
      </c>
      <c r="G8" s="26" t="s">
        <v>272</v>
      </c>
      <c r="H8" s="27" t="s">
        <v>273</v>
      </c>
    </row>
    <row r="9" spans="1:8" ht="21">
      <c r="A9" s="113" t="s">
        <v>274</v>
      </c>
      <c r="B9" s="113"/>
      <c r="C9" s="113"/>
      <c r="D9" s="113"/>
      <c r="E9" s="113"/>
      <c r="F9" s="113"/>
      <c r="G9" s="113"/>
      <c r="H9" s="113"/>
    </row>
    <row r="10" spans="1:8" ht="30">
      <c r="A10" s="12" t="s">
        <v>11</v>
      </c>
      <c r="B10" s="12"/>
      <c r="C10" s="12" t="s">
        <v>11</v>
      </c>
      <c r="D10" s="12" t="s">
        <v>97</v>
      </c>
      <c r="E10" s="52" t="s">
        <v>275</v>
      </c>
      <c r="F10" s="48" t="s">
        <v>276</v>
      </c>
      <c r="G10" s="13">
        <f>G11*G12</f>
        <v>0</v>
      </c>
      <c r="H10" s="13"/>
    </row>
    <row r="11" spans="1:8" ht="30">
      <c r="A11" t="s">
        <v>10</v>
      </c>
      <c r="C11" t="s">
        <v>10</v>
      </c>
      <c r="D11" t="s">
        <v>128</v>
      </c>
      <c r="E11" s="53" t="s">
        <v>277</v>
      </c>
      <c r="F11" s="50" t="s">
        <v>278</v>
      </c>
      <c r="G11" s="10">
        <v>0</v>
      </c>
      <c r="H11" s="10"/>
    </row>
    <row r="12" spans="1:8" ht="30">
      <c r="A12" s="12" t="s">
        <v>10</v>
      </c>
      <c r="B12" s="12"/>
      <c r="C12" s="12" t="s">
        <v>11</v>
      </c>
      <c r="D12" s="12" t="s">
        <v>97</v>
      </c>
      <c r="E12" s="54" t="s">
        <v>279</v>
      </c>
      <c r="F12" s="48" t="s">
        <v>280</v>
      </c>
      <c r="G12" s="13">
        <f>G14</f>
        <v>0</v>
      </c>
      <c r="H12" s="14" t="s">
        <v>281</v>
      </c>
    </row>
    <row r="13" spans="1:8" ht="21">
      <c r="A13" s="113" t="s">
        <v>282</v>
      </c>
      <c r="B13" s="113"/>
      <c r="C13" s="113"/>
      <c r="D13" s="113"/>
      <c r="E13" s="113"/>
      <c r="F13" s="113"/>
      <c r="G13" s="113"/>
      <c r="H13" s="113"/>
    </row>
    <row r="14" spans="1:8" ht="30">
      <c r="A14" s="12" t="s">
        <v>11</v>
      </c>
      <c r="B14" s="12"/>
      <c r="C14" s="12" t="s">
        <v>11</v>
      </c>
      <c r="D14" s="12" t="s">
        <v>97</v>
      </c>
      <c r="E14" s="52" t="s">
        <v>279</v>
      </c>
      <c r="F14" s="48" t="s">
        <v>283</v>
      </c>
      <c r="G14" s="13">
        <f>G16*(44/12)</f>
        <v>0</v>
      </c>
      <c r="H14" s="13" t="s">
        <v>284</v>
      </c>
    </row>
    <row r="15" spans="1:8" ht="30">
      <c r="A15" s="12" t="s">
        <v>11</v>
      </c>
      <c r="B15" s="12"/>
      <c r="C15" s="12" t="s">
        <v>11</v>
      </c>
      <c r="D15" s="12" t="s">
        <v>97</v>
      </c>
      <c r="E15" s="52" t="s">
        <v>279</v>
      </c>
      <c r="F15" s="48" t="s">
        <v>285</v>
      </c>
      <c r="G15" s="13">
        <f>G16*G17*(44/12)</f>
        <v>0</v>
      </c>
      <c r="H15" s="13" t="s">
        <v>286</v>
      </c>
    </row>
    <row r="16" spans="1:8" ht="30">
      <c r="A16" t="s">
        <v>10</v>
      </c>
      <c r="C16" t="s">
        <v>10</v>
      </c>
      <c r="D16" t="s">
        <v>128</v>
      </c>
      <c r="E16" s="53" t="s">
        <v>287</v>
      </c>
      <c r="F16" s="50" t="s">
        <v>288</v>
      </c>
      <c r="G16" s="10">
        <v>0</v>
      </c>
      <c r="H16" s="10"/>
    </row>
    <row r="17" spans="1:8" ht="30">
      <c r="A17" t="s">
        <v>10</v>
      </c>
      <c r="C17" t="s">
        <v>10</v>
      </c>
      <c r="D17" t="s">
        <v>128</v>
      </c>
      <c r="E17" s="53" t="s">
        <v>289</v>
      </c>
      <c r="F17" s="50" t="s">
        <v>290</v>
      </c>
      <c r="G17" s="10">
        <v>0</v>
      </c>
      <c r="H17" s="10"/>
    </row>
    <row r="18" spans="1:8" ht="21">
      <c r="A18" s="113" t="s">
        <v>291</v>
      </c>
      <c r="B18" s="113"/>
      <c r="C18" s="113"/>
      <c r="D18" s="113"/>
      <c r="E18" s="113"/>
      <c r="F18" s="113"/>
      <c r="G18" s="113"/>
      <c r="H18" s="113"/>
    </row>
    <row r="19" spans="1:8" ht="30">
      <c r="A19" s="12" t="s">
        <v>11</v>
      </c>
      <c r="B19" s="12"/>
      <c r="C19" s="12" t="s">
        <v>11</v>
      </c>
      <c r="D19" s="12" t="s">
        <v>97</v>
      </c>
      <c r="E19" s="52" t="s">
        <v>279</v>
      </c>
      <c r="F19" s="14" t="s">
        <v>280</v>
      </c>
      <c r="G19" s="13">
        <f>G20*G21</f>
        <v>0</v>
      </c>
      <c r="H19" s="13"/>
    </row>
    <row r="20" spans="1:8" ht="30">
      <c r="A20" t="s">
        <v>10</v>
      </c>
      <c r="C20" t="s">
        <v>10</v>
      </c>
      <c r="D20" t="s">
        <v>128</v>
      </c>
      <c r="E20" s="53" t="s">
        <v>292</v>
      </c>
      <c r="F20" s="8" t="s">
        <v>293</v>
      </c>
      <c r="G20" s="10">
        <v>0</v>
      </c>
      <c r="H20" s="10"/>
    </row>
    <row r="21" spans="1:8" ht="30">
      <c r="A21" t="s">
        <v>10</v>
      </c>
      <c r="C21" t="s">
        <v>10</v>
      </c>
      <c r="D21" t="s">
        <v>128</v>
      </c>
      <c r="E21" s="53" t="s">
        <v>294</v>
      </c>
      <c r="F21" s="8" t="s">
        <v>295</v>
      </c>
      <c r="G21" s="10">
        <v>0</v>
      </c>
      <c r="H21" s="10"/>
    </row>
    <row r="22" spans="1:8" ht="46.5" customHeight="1">
      <c r="A22" s="114" t="s">
        <v>296</v>
      </c>
      <c r="B22" s="114"/>
      <c r="C22" s="114"/>
      <c r="D22" s="114"/>
      <c r="E22" s="114"/>
      <c r="F22" s="114"/>
      <c r="G22" s="114"/>
      <c r="H22" s="114"/>
    </row>
    <row r="23" spans="1:8" ht="33" customHeight="1">
      <c r="A23" t="s">
        <v>10</v>
      </c>
      <c r="C23" t="s">
        <v>10</v>
      </c>
      <c r="D23" t="s">
        <v>12</v>
      </c>
      <c r="E23" s="53" t="s">
        <v>263</v>
      </c>
      <c r="F23" s="50" t="s">
        <v>264</v>
      </c>
      <c r="G23" t="s">
        <v>211</v>
      </c>
    </row>
    <row r="24" spans="1:8">
      <c r="A24" t="s">
        <v>10</v>
      </c>
      <c r="C24" t="s">
        <v>10</v>
      </c>
      <c r="D24" t="s">
        <v>12</v>
      </c>
      <c r="E24" s="55"/>
      <c r="F24" s="50" t="s">
        <v>266</v>
      </c>
      <c r="G24" t="s">
        <v>211</v>
      </c>
    </row>
    <row r="25" spans="1:8" ht="60">
      <c r="A25" s="26" t="s">
        <v>10</v>
      </c>
      <c r="B25" s="26"/>
      <c r="C25" s="26" t="s">
        <v>10</v>
      </c>
      <c r="D25" s="26" t="s">
        <v>267</v>
      </c>
      <c r="E25" s="26" t="s">
        <v>6</v>
      </c>
      <c r="F25" s="51" t="s">
        <v>268</v>
      </c>
      <c r="G25" s="26" t="s">
        <v>297</v>
      </c>
      <c r="H25" s="31" t="s">
        <v>270</v>
      </c>
    </row>
    <row r="26" spans="1:8" ht="30">
      <c r="A26" s="26" t="s">
        <v>10</v>
      </c>
      <c r="B26" s="26"/>
      <c r="C26" s="26" t="s">
        <v>10</v>
      </c>
      <c r="D26" s="26" t="s">
        <v>267</v>
      </c>
      <c r="E26" s="26" t="s">
        <v>6</v>
      </c>
      <c r="F26" s="51" t="s">
        <v>271</v>
      </c>
      <c r="G26" s="26" t="s">
        <v>298</v>
      </c>
      <c r="H26" s="27" t="s">
        <v>273</v>
      </c>
    </row>
    <row r="27" spans="1:8" ht="21">
      <c r="A27" s="113" t="s">
        <v>274</v>
      </c>
      <c r="B27" s="113"/>
      <c r="C27" s="113"/>
      <c r="D27" s="113"/>
      <c r="E27" s="113"/>
      <c r="F27" s="113"/>
      <c r="G27" s="113"/>
      <c r="H27" s="113"/>
    </row>
    <row r="28" spans="1:8" ht="30">
      <c r="A28" s="12" t="s">
        <v>11</v>
      </c>
      <c r="B28" s="12"/>
      <c r="C28" s="12" t="s">
        <v>11</v>
      </c>
      <c r="D28" s="12" t="s">
        <v>97</v>
      </c>
      <c r="E28" s="52" t="s">
        <v>275</v>
      </c>
      <c r="F28" s="48" t="s">
        <v>276</v>
      </c>
      <c r="G28" s="13">
        <f>G29*G30</f>
        <v>0</v>
      </c>
      <c r="H28" s="13"/>
    </row>
    <row r="29" spans="1:8" ht="30">
      <c r="A29" t="s">
        <v>10</v>
      </c>
      <c r="C29" t="s">
        <v>10</v>
      </c>
      <c r="D29" t="s">
        <v>128</v>
      </c>
      <c r="E29" s="53" t="s">
        <v>277</v>
      </c>
      <c r="F29" s="50" t="s">
        <v>278</v>
      </c>
      <c r="G29" s="10">
        <v>0</v>
      </c>
      <c r="H29" s="10"/>
    </row>
    <row r="30" spans="1:8" ht="30">
      <c r="A30" s="12" t="s">
        <v>10</v>
      </c>
      <c r="B30" s="12"/>
      <c r="C30" s="12" t="s">
        <v>10</v>
      </c>
      <c r="D30" s="12" t="s">
        <v>97</v>
      </c>
      <c r="E30" s="54" t="s">
        <v>279</v>
      </c>
      <c r="F30" s="48" t="s">
        <v>280</v>
      </c>
      <c r="G30" s="13">
        <f>G33</f>
        <v>0</v>
      </c>
      <c r="H30" s="14" t="s">
        <v>299</v>
      </c>
    </row>
    <row r="31" spans="1:8" ht="21">
      <c r="A31" s="113" t="s">
        <v>282</v>
      </c>
      <c r="B31" s="113"/>
      <c r="C31" s="113"/>
      <c r="D31" s="113"/>
      <c r="E31" s="113"/>
      <c r="F31" s="113"/>
      <c r="G31" s="113"/>
      <c r="H31" s="113"/>
    </row>
    <row r="32" spans="1:8" ht="30">
      <c r="A32" s="12" t="s">
        <v>11</v>
      </c>
      <c r="B32" s="12"/>
      <c r="C32" s="12" t="s">
        <v>11</v>
      </c>
      <c r="D32" s="12" t="s">
        <v>97</v>
      </c>
      <c r="E32" s="52" t="s">
        <v>279</v>
      </c>
      <c r="F32" s="48" t="s">
        <v>283</v>
      </c>
      <c r="G32" s="13">
        <f>G34*(44/12)</f>
        <v>0</v>
      </c>
      <c r="H32" s="13" t="s">
        <v>284</v>
      </c>
    </row>
    <row r="33" spans="1:8" ht="30">
      <c r="A33" s="12" t="s">
        <v>11</v>
      </c>
      <c r="B33" s="12"/>
      <c r="C33" s="12" t="s">
        <v>11</v>
      </c>
      <c r="D33" s="12" t="s">
        <v>97</v>
      </c>
      <c r="E33" s="52" t="s">
        <v>279</v>
      </c>
      <c r="F33" s="48" t="s">
        <v>285</v>
      </c>
      <c r="G33" s="13">
        <f>G34*G35*(44/12)</f>
        <v>0</v>
      </c>
      <c r="H33" s="13" t="s">
        <v>286</v>
      </c>
    </row>
    <row r="34" spans="1:8" ht="30">
      <c r="A34" t="s">
        <v>10</v>
      </c>
      <c r="C34" t="s">
        <v>10</v>
      </c>
      <c r="D34" t="s">
        <v>128</v>
      </c>
      <c r="E34" s="53" t="s">
        <v>287</v>
      </c>
      <c r="F34" s="50" t="s">
        <v>288</v>
      </c>
      <c r="G34" s="10">
        <v>0</v>
      </c>
      <c r="H34" s="10"/>
    </row>
    <row r="35" spans="1:8" ht="30">
      <c r="A35" t="s">
        <v>10</v>
      </c>
      <c r="C35" t="s">
        <v>10</v>
      </c>
      <c r="D35" t="s">
        <v>128</v>
      </c>
      <c r="E35" s="53" t="s">
        <v>289</v>
      </c>
      <c r="F35" s="50" t="s">
        <v>290</v>
      </c>
      <c r="G35" s="10">
        <v>0</v>
      </c>
      <c r="H35" s="10"/>
    </row>
    <row r="36" spans="1:8" ht="21">
      <c r="A36" s="113" t="s">
        <v>291</v>
      </c>
      <c r="B36" s="113"/>
      <c r="C36" s="113"/>
      <c r="D36" s="113"/>
      <c r="E36" s="113"/>
      <c r="F36" s="113"/>
      <c r="G36" s="113"/>
      <c r="H36" s="113"/>
    </row>
    <row r="37" spans="1:8" ht="30">
      <c r="A37" s="12" t="s">
        <v>11</v>
      </c>
      <c r="B37" s="12"/>
      <c r="C37" s="12" t="s">
        <v>11</v>
      </c>
      <c r="D37" s="12" t="s">
        <v>97</v>
      </c>
      <c r="E37" s="52" t="s">
        <v>279</v>
      </c>
      <c r="F37" s="48" t="s">
        <v>280</v>
      </c>
      <c r="G37" s="13">
        <f>G38*G39</f>
        <v>0</v>
      </c>
      <c r="H37" s="13"/>
    </row>
    <row r="38" spans="1:8" ht="30">
      <c r="A38" t="s">
        <v>10</v>
      </c>
      <c r="C38" t="s">
        <v>10</v>
      </c>
      <c r="D38" t="s">
        <v>128</v>
      </c>
      <c r="E38" s="53" t="s">
        <v>292</v>
      </c>
      <c r="F38" s="50" t="s">
        <v>293</v>
      </c>
      <c r="G38" s="10">
        <v>0</v>
      </c>
      <c r="H38" s="10"/>
    </row>
    <row r="39" spans="1:8" ht="30">
      <c r="A39" t="s">
        <v>10</v>
      </c>
      <c r="C39" t="s">
        <v>10</v>
      </c>
      <c r="D39" t="s">
        <v>128</v>
      </c>
      <c r="E39" s="53" t="s">
        <v>294</v>
      </c>
      <c r="F39" s="50" t="s">
        <v>295</v>
      </c>
      <c r="G39" s="10">
        <v>0</v>
      </c>
      <c r="H39" s="10"/>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7AA33BAD-3E2D-447B-AC04-587AE85C688E}">
      <formula1>"Mass,Volume"</formula1>
    </dataValidation>
    <dataValidation type="list" allowBlank="1" showInputMessage="1" showErrorMessage="1" sqref="G7 G25" xr:uid="{7D0E580E-4AB2-4BEA-AFD0-007119227C9E}">
      <formula1>"Option A,Option B"</formula1>
    </dataValidation>
  </dataValidations>
  <pageMargins left="0.7" right="0.7" top="0.75" bottom="0.75" header="0.3" footer="0.3"/>
  <pageSetup scale="34"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B943C-BB3D-40EA-BA76-5C7AAB503313}">
  <dimension ref="A1:I87"/>
  <sheetViews>
    <sheetView topLeftCell="A29" workbookViewId="0">
      <selection activeCell="C7" sqref="C7"/>
    </sheetView>
  </sheetViews>
  <sheetFormatPr defaultRowHeight="15"/>
  <cols>
    <col min="1" max="1" width="20.140625" customWidth="1"/>
    <col min="2" max="2" width="122.42578125" customWidth="1"/>
    <col min="3" max="3" width="20.7109375" customWidth="1"/>
    <col min="5" max="5" width="12.85546875" customWidth="1"/>
    <col min="6" max="6" width="12.7109375" customWidth="1"/>
    <col min="7" max="7" width="16.140625" customWidth="1"/>
    <col min="8" max="8" width="19" customWidth="1"/>
  </cols>
  <sheetData>
    <row r="1" spans="1:8">
      <c r="A1" t="s">
        <v>5</v>
      </c>
      <c r="B1" t="s">
        <v>6</v>
      </c>
      <c r="C1" t="s">
        <v>7</v>
      </c>
      <c r="D1" t="s">
        <v>300</v>
      </c>
      <c r="E1" t="s">
        <v>3</v>
      </c>
      <c r="F1" t="s">
        <v>8</v>
      </c>
      <c r="G1" t="s">
        <v>257</v>
      </c>
      <c r="H1" t="s">
        <v>1</v>
      </c>
    </row>
    <row r="2" spans="1:8" s="43" customFormat="1">
      <c r="B2" s="43" t="s">
        <v>301</v>
      </c>
    </row>
    <row r="3" spans="1:8">
      <c r="B3" t="s">
        <v>302</v>
      </c>
      <c r="C3" t="s">
        <v>303</v>
      </c>
      <c r="D3" t="s">
        <v>10</v>
      </c>
      <c r="E3" t="s">
        <v>304</v>
      </c>
      <c r="G3" t="s">
        <v>11</v>
      </c>
    </row>
    <row r="4" spans="1:8">
      <c r="B4" t="s">
        <v>305</v>
      </c>
      <c r="C4" t="s">
        <v>306</v>
      </c>
      <c r="D4" t="s">
        <v>10</v>
      </c>
      <c r="E4" t="s">
        <v>304</v>
      </c>
      <c r="F4" t="s">
        <v>307</v>
      </c>
      <c r="G4" t="s">
        <v>11</v>
      </c>
    </row>
    <row r="5" spans="1:8" ht="30">
      <c r="B5" s="8" t="s">
        <v>308</v>
      </c>
      <c r="C5" t="s">
        <v>11</v>
      </c>
      <c r="D5" t="s">
        <v>10</v>
      </c>
      <c r="E5" t="s">
        <v>304</v>
      </c>
      <c r="G5" t="s">
        <v>11</v>
      </c>
    </row>
    <row r="6" spans="1:8">
      <c r="B6" s="8" t="s">
        <v>309</v>
      </c>
      <c r="C6" t="s">
        <v>11</v>
      </c>
      <c r="D6" t="s">
        <v>10</v>
      </c>
      <c r="E6" t="s">
        <v>304</v>
      </c>
      <c r="G6" t="s">
        <v>11</v>
      </c>
    </row>
    <row r="7" spans="1:8">
      <c r="B7" s="8" t="s">
        <v>310</v>
      </c>
      <c r="C7" t="s">
        <v>11</v>
      </c>
      <c r="D7" t="s">
        <v>10</v>
      </c>
      <c r="E7" t="s">
        <v>304</v>
      </c>
      <c r="G7" t="s">
        <v>11</v>
      </c>
    </row>
    <row r="8" spans="1:8">
      <c r="B8" t="s">
        <v>311</v>
      </c>
      <c r="C8" t="s">
        <v>312</v>
      </c>
      <c r="D8" t="s">
        <v>10</v>
      </c>
      <c r="E8" t="s">
        <v>304</v>
      </c>
      <c r="G8" t="s">
        <v>11</v>
      </c>
    </row>
    <row r="9" spans="1:8">
      <c r="B9" t="s">
        <v>313</v>
      </c>
      <c r="C9" t="s">
        <v>314</v>
      </c>
      <c r="D9" t="s">
        <v>10</v>
      </c>
      <c r="E9" t="s">
        <v>304</v>
      </c>
      <c r="G9" t="s">
        <v>11</v>
      </c>
    </row>
    <row r="10" spans="1:8">
      <c r="B10" t="s">
        <v>315</v>
      </c>
      <c r="C10" t="s">
        <v>316</v>
      </c>
      <c r="D10" t="s">
        <v>10</v>
      </c>
      <c r="E10" t="s">
        <v>304</v>
      </c>
      <c r="G10" t="s">
        <v>11</v>
      </c>
    </row>
    <row r="11" spans="1:8" ht="30">
      <c r="B11" s="86" t="s">
        <v>317</v>
      </c>
      <c r="C11" t="s">
        <v>318</v>
      </c>
      <c r="D11" t="str">
        <f>IF(C8="Option 2 (Estimated)","Yes","NA")</f>
        <v>NA</v>
      </c>
      <c r="E11" t="s">
        <v>304</v>
      </c>
      <c r="G11" t="s">
        <v>11</v>
      </c>
    </row>
    <row r="12" spans="1:8">
      <c r="B12" s="86" t="s">
        <v>319</v>
      </c>
      <c r="C12" t="s">
        <v>11</v>
      </c>
      <c r="D12" t="str">
        <f>IF(C8="Option 2 (Estimated)","Yes","NA")</f>
        <v>NA</v>
      </c>
      <c r="E12" t="s">
        <v>304</v>
      </c>
      <c r="G12" t="s">
        <v>11</v>
      </c>
    </row>
    <row r="13" spans="1:8">
      <c r="B13" s="86" t="s">
        <v>320</v>
      </c>
      <c r="C13" t="s">
        <v>10</v>
      </c>
      <c r="D13" t="str">
        <f>IF(C8="Option 2 (Estimated)","Yes","NA")</f>
        <v>NA</v>
      </c>
      <c r="E13" t="s">
        <v>304</v>
      </c>
      <c r="G13" t="s">
        <v>11</v>
      </c>
    </row>
    <row r="14" spans="1:8">
      <c r="B14" s="86" t="s">
        <v>321</v>
      </c>
      <c r="C14" t="s">
        <v>322</v>
      </c>
      <c r="D14" t="str">
        <f>IF(C8="Option 2 (Estimated)","Yes","NA")</f>
        <v>NA</v>
      </c>
      <c r="E14" t="s">
        <v>304</v>
      </c>
      <c r="G14" t="s">
        <v>11</v>
      </c>
    </row>
    <row r="15" spans="1:8">
      <c r="B15" s="86" t="s">
        <v>323</v>
      </c>
      <c r="C15" t="s">
        <v>10</v>
      </c>
      <c r="D15" t="str">
        <f>IF(C8="Option 2 (Estimated)","Yes","NA")</f>
        <v>NA</v>
      </c>
      <c r="E15" t="s">
        <v>304</v>
      </c>
      <c r="G15" t="s">
        <v>11</v>
      </c>
    </row>
    <row r="16" spans="1:8">
      <c r="B16" s="86" t="s">
        <v>324</v>
      </c>
      <c r="C16" t="s">
        <v>11</v>
      </c>
      <c r="D16" t="str">
        <f>IF(C8="Option 2 (Estimated)","Yes","NA")</f>
        <v>NA</v>
      </c>
      <c r="E16" t="s">
        <v>304</v>
      </c>
      <c r="G16" t="s">
        <v>11</v>
      </c>
    </row>
    <row r="17" spans="2:7">
      <c r="B17" s="86" t="s">
        <v>325</v>
      </c>
      <c r="C17" t="s">
        <v>326</v>
      </c>
      <c r="D17" t="str">
        <f>IF(AND(C4="Application B",C6="Yes"),"Yes","No")</f>
        <v>No</v>
      </c>
      <c r="E17" t="s">
        <v>304</v>
      </c>
      <c r="G17" t="s">
        <v>11</v>
      </c>
    </row>
    <row r="18" spans="2:7">
      <c r="B18" s="86" t="s">
        <v>327</v>
      </c>
      <c r="C18" t="s">
        <v>11</v>
      </c>
      <c r="D18" t="str">
        <f>IF(C4="Application B","Yes","NA")</f>
        <v>Yes</v>
      </c>
      <c r="E18" t="s">
        <v>304</v>
      </c>
      <c r="G18" t="s">
        <v>11</v>
      </c>
    </row>
    <row r="19" spans="2:7">
      <c r="B19" s="86" t="s">
        <v>328</v>
      </c>
      <c r="C19" t="s">
        <v>329</v>
      </c>
      <c r="D19" t="str">
        <f>IF(AND(C4="Application B",C18="Yes"),"NA","Yes")</f>
        <v>Yes</v>
      </c>
      <c r="E19" t="s">
        <v>304</v>
      </c>
      <c r="G19" t="s">
        <v>11</v>
      </c>
    </row>
    <row r="20" spans="2:7">
      <c r="B20" t="s">
        <v>330</v>
      </c>
      <c r="C20" t="s">
        <v>331</v>
      </c>
      <c r="D20" t="s">
        <v>10</v>
      </c>
      <c r="E20" t="s">
        <v>304</v>
      </c>
      <c r="F20" t="s">
        <v>332</v>
      </c>
      <c r="G20" t="s">
        <v>11</v>
      </c>
    </row>
    <row r="21" spans="2:7">
      <c r="B21" s="86" t="s">
        <v>333</v>
      </c>
      <c r="C21" t="s">
        <v>334</v>
      </c>
      <c r="D21" t="str">
        <f>IF(C20="Default","Yes","NA")</f>
        <v>Yes</v>
      </c>
      <c r="E21" t="s">
        <v>304</v>
      </c>
      <c r="G21" t="s">
        <v>11</v>
      </c>
    </row>
    <row r="22" spans="2:7">
      <c r="B22" s="86" t="s">
        <v>335</v>
      </c>
      <c r="D22" t="str">
        <f>IF(C21="Other","Yes","NA")</f>
        <v>NA</v>
      </c>
      <c r="E22" t="s">
        <v>304</v>
      </c>
      <c r="G22" t="s">
        <v>11</v>
      </c>
    </row>
    <row r="23" spans="2:7">
      <c r="B23" s="86" t="s">
        <v>336</v>
      </c>
      <c r="C23" t="s">
        <v>11</v>
      </c>
      <c r="D23" t="s">
        <v>10</v>
      </c>
      <c r="E23" t="s">
        <v>304</v>
      </c>
      <c r="G23" t="s">
        <v>11</v>
      </c>
    </row>
    <row r="24" spans="2:7" s="43" customFormat="1">
      <c r="B24" s="43" t="s">
        <v>337</v>
      </c>
    </row>
    <row r="25" spans="2:7">
      <c r="B25" s="87" t="s">
        <v>338</v>
      </c>
    </row>
    <row r="26" spans="2:7">
      <c r="B26" t="s">
        <v>339</v>
      </c>
      <c r="C26" s="12">
        <f>IF(C8="Option 2 (Estimated)","NA",IF(C4="Application A",0.75,IF(AND(C4="Application B",C9="Humid/wet conditions"),0.85,IF(AND(C4="Application B",C9="Dry conditions"),0.8,))))</f>
        <v>0.85</v>
      </c>
      <c r="D26" t="str">
        <f>IF(C8="Option 1 (Default)","Yes","NA")</f>
        <v>Yes</v>
      </c>
      <c r="E26" t="s">
        <v>340</v>
      </c>
      <c r="G26" t="s">
        <v>11</v>
      </c>
    </row>
    <row r="27" spans="2:7">
      <c r="B27" s="87" t="s">
        <v>341</v>
      </c>
    </row>
    <row r="28" spans="2:7">
      <c r="B28" t="s">
        <v>342</v>
      </c>
      <c r="C28" s="88" t="str">
        <f>IF(C8="Option 1 (Default)","NA",IF(C11="Weighed",0.02,IF(C11="Estimated",0.1)))</f>
        <v>NA</v>
      </c>
      <c r="D28" t="str">
        <f>IF(C8="Option 2 (Estimated)","Yes","NA")</f>
        <v>NA</v>
      </c>
      <c r="E28" t="s">
        <v>340</v>
      </c>
      <c r="G28" t="s">
        <v>11</v>
      </c>
    </row>
    <row r="29" spans="2:7">
      <c r="B29" t="s">
        <v>343</v>
      </c>
      <c r="C29" s="88" t="str">
        <f>IF(C8="Option 1 (Default)","NA",IF(C20="Measure",0.05,IF(C20="Default",0.1)))</f>
        <v>NA</v>
      </c>
      <c r="D29" t="str">
        <f>IF(C8="Option 2 (Estimated)","Yes","NA")</f>
        <v>NA</v>
      </c>
      <c r="E29" t="s">
        <v>340</v>
      </c>
      <c r="G29" t="s">
        <v>11</v>
      </c>
    </row>
    <row r="30" spans="2:7">
      <c r="B30" t="s">
        <v>344</v>
      </c>
      <c r="C30" s="88" t="str">
        <f>IF(C8="Option 1 (Default)","NA",IF(OR(C12="Yes",C13="Yes"),0.05,0.15))</f>
        <v>NA</v>
      </c>
      <c r="D30" t="str">
        <f>IF(C8="Option 2 (Estimated)","Yes","NA")</f>
        <v>NA</v>
      </c>
      <c r="E30" t="s">
        <v>340</v>
      </c>
      <c r="G30" t="s">
        <v>11</v>
      </c>
    </row>
    <row r="31" spans="2:7">
      <c r="B31" t="s">
        <v>345</v>
      </c>
      <c r="C31" s="88" t="str">
        <f>IF(C8="Option 1 (Default)","NA",IF(C12="Yes",0,0.05))</f>
        <v>NA</v>
      </c>
      <c r="D31" t="str">
        <f>IF(C8="Option 2 (Estimated)","Yes","NA")</f>
        <v>NA</v>
      </c>
      <c r="E31" t="s">
        <v>340</v>
      </c>
      <c r="G31" t="s">
        <v>11</v>
      </c>
    </row>
    <row r="32" spans="2:7">
      <c r="B32" t="s">
        <v>346</v>
      </c>
      <c r="C32" s="88" t="str">
        <f>IF(C8="Option 1 (Default)","NA",IF(C14="Managed",0,IF(C14="Unmanaged",0.5)))</f>
        <v>NA</v>
      </c>
      <c r="D32" t="str">
        <f>IF(C8="Option 2 (Estimated)","Yes","NA")</f>
        <v>NA</v>
      </c>
      <c r="E32" t="s">
        <v>340</v>
      </c>
      <c r="G32" t="s">
        <v>11</v>
      </c>
    </row>
    <row r="33" spans="1:7" ht="17.25">
      <c r="B33" t="s">
        <v>347</v>
      </c>
      <c r="C33" s="88" t="str">
        <f>IF(C8="Option 1 (Default)","NA",IF(AND(C4="Application B",C15="Yes",C84&gt;0.2),0.05,IF(AND(C4="Application A",C16="Yes"),0.05,0.2)))</f>
        <v>NA</v>
      </c>
      <c r="D33" t="str">
        <f>IF(C8="Option 2 (Estimated)","Yes","NA")</f>
        <v>NA</v>
      </c>
      <c r="E33" t="s">
        <v>340</v>
      </c>
      <c r="G33" t="s">
        <v>11</v>
      </c>
    </row>
    <row r="34" spans="1:7">
      <c r="A34" t="s">
        <v>348</v>
      </c>
      <c r="B34" t="s">
        <v>349</v>
      </c>
      <c r="C34" s="12" t="str">
        <f>IF(C8="Option 1 (Default)","NA",SQRT(C28^2+C29^2+C30^2+C31^2+C32^2+C33^2))</f>
        <v>NA</v>
      </c>
      <c r="D34" t="str">
        <f>IF(C8="Option 2 (Estimated)","Yes","NA")</f>
        <v>NA</v>
      </c>
      <c r="E34" t="s">
        <v>340</v>
      </c>
      <c r="G34" t="s">
        <v>11</v>
      </c>
    </row>
    <row r="35" spans="1:7">
      <c r="A35" t="s">
        <v>350</v>
      </c>
      <c r="B35" t="s">
        <v>351</v>
      </c>
      <c r="C35" s="12" t="str">
        <f>IF(C8="Option 1 (Default)","NA",1/(1+C34))</f>
        <v>NA</v>
      </c>
      <c r="D35" t="str">
        <f>IF(C8="Option 2 (Estimated)","Yes","NA")</f>
        <v>NA</v>
      </c>
      <c r="E35" t="s">
        <v>340</v>
      </c>
      <c r="G35" t="s">
        <v>11</v>
      </c>
    </row>
    <row r="36" spans="1:7" s="43" customFormat="1">
      <c r="B36" s="43" t="s">
        <v>352</v>
      </c>
    </row>
    <row r="37" spans="1:7">
      <c r="B37" s="87" t="s">
        <v>353</v>
      </c>
    </row>
    <row r="38" spans="1:7">
      <c r="A38" t="s">
        <v>354</v>
      </c>
      <c r="B38" t="s">
        <v>355</v>
      </c>
      <c r="D38" t="str">
        <f>IF(C4="Application A","Yes","NA")</f>
        <v>NA</v>
      </c>
      <c r="E38" t="s">
        <v>128</v>
      </c>
      <c r="G38" t="s">
        <v>11</v>
      </c>
    </row>
    <row r="39" spans="1:7">
      <c r="B39" s="87" t="s">
        <v>306</v>
      </c>
    </row>
    <row r="40" spans="1:7">
      <c r="A40" t="s">
        <v>356</v>
      </c>
      <c r="B40" s="8" t="s">
        <v>357</v>
      </c>
      <c r="C40">
        <v>1</v>
      </c>
      <c r="D40" t="str">
        <f>IF(AND(C4="Application B",C23="No"),"Yes","NA")</f>
        <v>Yes</v>
      </c>
      <c r="E40" t="s">
        <v>128</v>
      </c>
      <c r="G40" t="s">
        <v>10</v>
      </c>
    </row>
    <row r="41" spans="1:7">
      <c r="B41" s="89" t="s">
        <v>358</v>
      </c>
      <c r="C41">
        <v>1</v>
      </c>
    </row>
    <row r="42" spans="1:7">
      <c r="A42" t="s">
        <v>359</v>
      </c>
      <c r="B42" s="8" t="s">
        <v>360</v>
      </c>
      <c r="C42">
        <v>12</v>
      </c>
      <c r="D42" t="str">
        <f>IF(AND(C4="Application B",C23="No"),"Yes","NA")</f>
        <v>Yes</v>
      </c>
      <c r="E42" t="s">
        <v>128</v>
      </c>
      <c r="G42" t="s">
        <v>11</v>
      </c>
    </row>
    <row r="43" spans="1:7">
      <c r="A43" t="s">
        <v>361</v>
      </c>
      <c r="B43" t="s">
        <v>362</v>
      </c>
      <c r="C43">
        <v>0</v>
      </c>
      <c r="D43" t="str">
        <f>IF(C4="Application B","Yes","NA")</f>
        <v>Yes</v>
      </c>
      <c r="E43" t="s">
        <v>128</v>
      </c>
      <c r="G43" t="s">
        <v>11</v>
      </c>
    </row>
    <row r="44" spans="1:7">
      <c r="A44" t="s">
        <v>363</v>
      </c>
      <c r="B44" t="s">
        <v>364</v>
      </c>
      <c r="C44" s="12">
        <f>IF(C4="Application A","NA",C40/C42)</f>
        <v>8.3333333333333329E-2</v>
      </c>
      <c r="D44" t="str">
        <f>IF(AND(C4="Application B",C23="No"),"Yes","NA")</f>
        <v>Yes</v>
      </c>
      <c r="E44" t="s">
        <v>340</v>
      </c>
      <c r="G44" t="s">
        <v>11</v>
      </c>
    </row>
    <row r="45" spans="1:7">
      <c r="A45" t="s">
        <v>365</v>
      </c>
      <c r="B45" t="s">
        <v>366</v>
      </c>
      <c r="C45" s="12">
        <f>IF(C4="Application A","NA",C43*C44)</f>
        <v>0</v>
      </c>
      <c r="D45" t="str">
        <f>IF(AND(C4="Application B",C23="No"),"Yes","NA")</f>
        <v>Yes</v>
      </c>
      <c r="E45" t="s">
        <v>340</v>
      </c>
      <c r="G45" t="s">
        <v>11</v>
      </c>
    </row>
    <row r="46" spans="1:7" s="43" customFormat="1">
      <c r="B46" s="43" t="s">
        <v>367</v>
      </c>
    </row>
    <row r="47" spans="1:7">
      <c r="B47" s="87" t="s">
        <v>331</v>
      </c>
    </row>
    <row r="48" spans="1:7">
      <c r="A48" t="s">
        <v>368</v>
      </c>
      <c r="B48" t="s">
        <v>369</v>
      </c>
      <c r="C48" s="12" t="str">
        <f>IF(AND(C4="Application B",C6="Yes",C17="Default"),0.05,IF((C4="Application A"),0.05,"NA"))</f>
        <v>NA</v>
      </c>
      <c r="D48" t="str">
        <f>IF(AND(C4="Application B",C6="Yes",C17="Default"),"Yes",IF((C4="Application A"),"Yes","NA"))</f>
        <v>NA</v>
      </c>
      <c r="E48" t="s">
        <v>340</v>
      </c>
      <c r="G48" t="s">
        <v>11</v>
      </c>
    </row>
    <row r="49" spans="1:9">
      <c r="B49" s="87" t="s">
        <v>370</v>
      </c>
    </row>
    <row r="50" spans="1:9">
      <c r="A50" t="s">
        <v>371</v>
      </c>
      <c r="B50" s="10" t="s">
        <v>372</v>
      </c>
      <c r="D50" t="str">
        <f>IF(AND(C4="Application B",C6="yes",C17="Measure"),"Yes","NA")</f>
        <v>NA</v>
      </c>
      <c r="E50" t="s">
        <v>128</v>
      </c>
      <c r="G50" t="s">
        <v>11</v>
      </c>
    </row>
    <row r="51" spans="1:9">
      <c r="A51" t="s">
        <v>373</v>
      </c>
      <c r="B51" t="s">
        <v>374</v>
      </c>
      <c r="D51" t="str">
        <f>IF(AND(C4="Application B",C6="yes",C17="Measure"),"Yes","NA")</f>
        <v>NA</v>
      </c>
      <c r="E51" t="s">
        <v>128</v>
      </c>
      <c r="G51" t="s">
        <v>11</v>
      </c>
    </row>
    <row r="52" spans="1:9">
      <c r="A52" t="s">
        <v>375</v>
      </c>
      <c r="B52" t="s">
        <v>376</v>
      </c>
      <c r="D52" t="str">
        <f>IF(AND(C4="Application B",C6="yes",C17="Measure"),"Yes","NA")</f>
        <v>NA</v>
      </c>
      <c r="E52" t="s">
        <v>128</v>
      </c>
      <c r="G52" t="s">
        <v>11</v>
      </c>
    </row>
    <row r="53" spans="1:9">
      <c r="A53" t="s">
        <v>377</v>
      </c>
      <c r="B53" t="s">
        <v>378</v>
      </c>
      <c r="D53" t="str">
        <f>IF(AND(C4="Application B",C6="yes",C17="Measure"),"Yes","NA")</f>
        <v>NA</v>
      </c>
      <c r="E53" t="s">
        <v>128</v>
      </c>
      <c r="G53" t="s">
        <v>11</v>
      </c>
    </row>
    <row r="54" spans="1:9">
      <c r="A54" t="s">
        <v>379</v>
      </c>
      <c r="B54" t="s">
        <v>369</v>
      </c>
      <c r="C54" s="12" t="str">
        <f>IF(AND(C4="Application B",C6="Yes",C17="Measure"),0.7*(12/16)*C50/C51*(C52*C53),"NA")</f>
        <v>NA</v>
      </c>
      <c r="D54" t="str">
        <f>IF(AND(C4="Application B",C6="yes",C17="Measure"),"Yes","NA")</f>
        <v>NA</v>
      </c>
      <c r="E54" t="s">
        <v>340</v>
      </c>
      <c r="G54" t="s">
        <v>11</v>
      </c>
    </row>
    <row r="55" spans="1:9">
      <c r="B55" s="87" t="s">
        <v>380</v>
      </c>
    </row>
    <row r="56" spans="1:9">
      <c r="A56" t="s">
        <v>381</v>
      </c>
      <c r="B56" s="86" t="s">
        <v>382</v>
      </c>
      <c r="D56" t="str">
        <f>IF(AND(C4="Application B",C7="yes"),"Yes","NA")</f>
        <v>NA</v>
      </c>
      <c r="E56" t="s">
        <v>128</v>
      </c>
      <c r="G56" t="s">
        <v>11</v>
      </c>
    </row>
    <row r="57" spans="1:9">
      <c r="A57" t="s">
        <v>373</v>
      </c>
      <c r="B57" t="s">
        <v>374</v>
      </c>
      <c r="D57" t="str">
        <f>IF(AND(C4="Application B",C7="yes"),"Yes","NA")</f>
        <v>NA</v>
      </c>
      <c r="E57" t="s">
        <v>128</v>
      </c>
      <c r="G57" t="s">
        <v>11</v>
      </c>
      <c r="I57" s="10"/>
    </row>
    <row r="58" spans="1:9">
      <c r="A58" t="s">
        <v>377</v>
      </c>
      <c r="B58" t="s">
        <v>378</v>
      </c>
      <c r="D58" t="str">
        <f>IF(AND(C4="Application B",C7="yes"),"Yes","NA")</f>
        <v>NA</v>
      </c>
      <c r="E58" t="s">
        <v>128</v>
      </c>
      <c r="G58" t="s">
        <v>11</v>
      </c>
    </row>
    <row r="59" spans="1:9">
      <c r="A59" t="s">
        <v>379</v>
      </c>
      <c r="B59" s="10" t="s">
        <v>369</v>
      </c>
      <c r="C59" s="12" t="str">
        <f>IF(AND(C4="Application B",C7="Yes"),0.7*(12/16)*C56/(C57*C58),"NA")</f>
        <v>NA</v>
      </c>
      <c r="D59" t="str">
        <f>IF(AND(C4="Application B",C7="yes"),"Yes","NA")</f>
        <v>NA</v>
      </c>
      <c r="E59" t="s">
        <v>340</v>
      </c>
      <c r="G59" t="s">
        <v>11</v>
      </c>
    </row>
    <row r="60" spans="1:9" s="43" customFormat="1">
      <c r="B60" s="43" t="s">
        <v>383</v>
      </c>
    </row>
    <row r="61" spans="1:9">
      <c r="B61" s="87" t="s">
        <v>331</v>
      </c>
    </row>
    <row r="62" spans="1:9">
      <c r="A62" t="s">
        <v>384</v>
      </c>
      <c r="B62" t="s">
        <v>385</v>
      </c>
      <c r="C62" s="12">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t="str">
        <f>IF(AND(C4="Application B",C18="Yes"),"NA","Yes")</f>
        <v>Yes</v>
      </c>
      <c r="E62" t="s">
        <v>340</v>
      </c>
      <c r="G62" t="s">
        <v>11</v>
      </c>
    </row>
    <row r="63" spans="1:9">
      <c r="B63" s="87" t="s">
        <v>386</v>
      </c>
    </row>
    <row r="64" spans="1:9">
      <c r="A64" t="s">
        <v>387</v>
      </c>
      <c r="B64" t="s">
        <v>388</v>
      </c>
      <c r="D64" t="str">
        <f>IF(AND(C4="Application B",C18="Yes"),"Yes","NA")</f>
        <v>NA</v>
      </c>
      <c r="E64" t="s">
        <v>128</v>
      </c>
      <c r="G64" t="s">
        <v>11</v>
      </c>
    </row>
    <row r="65" spans="1:7">
      <c r="A65" t="s">
        <v>389</v>
      </c>
      <c r="B65" t="s">
        <v>390</v>
      </c>
      <c r="D65" t="str">
        <f>IF(AND(C4="Application B",C18="Yes"),"Yes","NA")</f>
        <v>NA</v>
      </c>
      <c r="E65" t="s">
        <v>128</v>
      </c>
      <c r="G65" t="s">
        <v>11</v>
      </c>
    </row>
    <row r="66" spans="1:7">
      <c r="A66" t="s">
        <v>391</v>
      </c>
      <c r="B66" t="s">
        <v>385</v>
      </c>
      <c r="C66" s="12" t="str">
        <f>IF(AND(C4="Application B",C18="yes"),MAX((1-2/C65),C64/C65), "NA")</f>
        <v>NA</v>
      </c>
      <c r="D66" t="str">
        <f>IF(AND(C4="Application B",C18="Yes"),"Yes","NA")</f>
        <v>NA</v>
      </c>
      <c r="E66" t="s">
        <v>340</v>
      </c>
      <c r="G66" t="s">
        <v>11</v>
      </c>
    </row>
    <row r="67" spans="1:7" s="43" customFormat="1">
      <c r="B67" s="43" t="s">
        <v>392</v>
      </c>
    </row>
    <row r="68" spans="1:7">
      <c r="B68" s="87" t="s">
        <v>331</v>
      </c>
    </row>
    <row r="69" spans="1:7">
      <c r="A69" t="s">
        <v>393</v>
      </c>
      <c r="B69" t="s">
        <v>378</v>
      </c>
      <c r="C69" s="88">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t="str">
        <f>IF(AND(C4="Application B",C20="Measure"),"NA","Yes")</f>
        <v>Yes</v>
      </c>
      <c r="E69" t="s">
        <v>340</v>
      </c>
      <c r="G69" t="s">
        <v>11</v>
      </c>
    </row>
    <row r="70" spans="1:7">
      <c r="B70" s="87" t="s">
        <v>394</v>
      </c>
    </row>
    <row r="71" spans="1:7">
      <c r="A71" t="s">
        <v>395</v>
      </c>
      <c r="B71" t="s">
        <v>378</v>
      </c>
      <c r="D71" t="str">
        <f>IF(AND(C4="Application B",C20="Measure"),"Yes","NA")</f>
        <v>NA</v>
      </c>
      <c r="E71" t="s">
        <v>128</v>
      </c>
      <c r="G71" t="s">
        <v>11</v>
      </c>
    </row>
    <row r="72" spans="1:7" s="43" customFormat="1" ht="18.75">
      <c r="B72" s="90" t="s">
        <v>396</v>
      </c>
    </row>
    <row r="73" spans="1:7" ht="30">
      <c r="A73" t="s">
        <v>397</v>
      </c>
      <c r="B73" s="8" t="s">
        <v>398</v>
      </c>
      <c r="D73" t="s">
        <v>10</v>
      </c>
      <c r="E73" t="s">
        <v>128</v>
      </c>
      <c r="G73" t="s">
        <v>11</v>
      </c>
    </row>
    <row r="74" spans="1:7">
      <c r="A74" t="s">
        <v>399</v>
      </c>
      <c r="B74" t="s">
        <v>400</v>
      </c>
      <c r="D74" t="s">
        <v>10</v>
      </c>
      <c r="E74" t="s">
        <v>128</v>
      </c>
      <c r="G74" t="s">
        <v>11</v>
      </c>
    </row>
    <row r="75" spans="1:7">
      <c r="A75" t="s">
        <v>379</v>
      </c>
      <c r="B75" t="s">
        <v>369</v>
      </c>
      <c r="C75" s="12" t="b">
        <f>IF(C4="Application A",C48,IF(AND(C4="Application B",C6="Yes",C17="Default"),C48,IF(AND(C4="Application B",C6="Yes",C17="Measure"),C54, IF(AND(C4="Application B",C7="Yes",C17="Measure"),C59))))</f>
        <v>0</v>
      </c>
      <c r="D75" t="s">
        <v>10</v>
      </c>
      <c r="E75" t="s">
        <v>340</v>
      </c>
      <c r="G75" t="s">
        <v>11</v>
      </c>
    </row>
    <row r="76" spans="1:7">
      <c r="A76" t="s">
        <v>401</v>
      </c>
      <c r="B76" t="s">
        <v>366</v>
      </c>
      <c r="C76" s="12">
        <f>IF(C4="Application A",C38,IF(AND(C4="Application B",C23="No"),C45,IF(AND(C4="Application B",C23="Yes"),C43)))</f>
        <v>0</v>
      </c>
      <c r="D76" t="s">
        <v>10</v>
      </c>
      <c r="E76" t="s">
        <v>340</v>
      </c>
      <c r="G76" t="s">
        <v>11</v>
      </c>
    </row>
    <row r="77" spans="1:7">
      <c r="A77" t="s">
        <v>350</v>
      </c>
      <c r="B77" t="s">
        <v>351</v>
      </c>
      <c r="C77" s="12">
        <f>IF(C8="Option 1 (Default)",C26,C35)</f>
        <v>0.85</v>
      </c>
      <c r="D77" t="s">
        <v>10</v>
      </c>
      <c r="E77" t="s">
        <v>340</v>
      </c>
      <c r="G77" t="s">
        <v>11</v>
      </c>
    </row>
    <row r="78" spans="1:7" ht="15.75" thickBot="1">
      <c r="A78" t="s">
        <v>402</v>
      </c>
      <c r="B78" t="s">
        <v>403</v>
      </c>
      <c r="D78" t="s">
        <v>10</v>
      </c>
      <c r="E78" t="s">
        <v>128</v>
      </c>
      <c r="G78" t="s">
        <v>11</v>
      </c>
    </row>
    <row r="79" spans="1:7" ht="15.75" thickBot="1">
      <c r="A79" t="s">
        <v>404</v>
      </c>
      <c r="B79" t="s">
        <v>405</v>
      </c>
      <c r="C79" s="91">
        <v>28</v>
      </c>
      <c r="D79" t="s">
        <v>10</v>
      </c>
      <c r="E79" t="s">
        <v>406</v>
      </c>
      <c r="G79" t="s">
        <v>11</v>
      </c>
    </row>
    <row r="80" spans="1:7" ht="15.75" thickBot="1">
      <c r="A80" t="s">
        <v>407</v>
      </c>
      <c r="B80" t="s">
        <v>408</v>
      </c>
      <c r="C80" s="91">
        <v>0.1</v>
      </c>
      <c r="D80" t="s">
        <v>10</v>
      </c>
      <c r="E80" t="s">
        <v>406</v>
      </c>
      <c r="G80" t="s">
        <v>11</v>
      </c>
    </row>
    <row r="81" spans="1:7" ht="15.75" thickBot="1">
      <c r="A81" t="s">
        <v>373</v>
      </c>
      <c r="B81" t="s">
        <v>374</v>
      </c>
      <c r="C81" s="91">
        <v>0.5</v>
      </c>
      <c r="D81" t="s">
        <v>10</v>
      </c>
      <c r="E81" t="s">
        <v>406</v>
      </c>
      <c r="G81" t="s">
        <v>11</v>
      </c>
    </row>
    <row r="82" spans="1:7">
      <c r="A82" t="s">
        <v>409</v>
      </c>
      <c r="B82" t="s">
        <v>385</v>
      </c>
      <c r="C82" s="12">
        <f>IF(AND(C4="Application B",C18="Yes"),C66,C62)</f>
        <v>0.8</v>
      </c>
      <c r="D82" t="s">
        <v>10</v>
      </c>
      <c r="E82" t="s">
        <v>340</v>
      </c>
      <c r="G82" t="s">
        <v>11</v>
      </c>
    </row>
    <row r="83" spans="1:7">
      <c r="A83" t="s">
        <v>395</v>
      </c>
      <c r="B83" t="s">
        <v>378</v>
      </c>
      <c r="C83" s="88">
        <f>IF(C20="Default",C69,C71)</f>
        <v>0.4</v>
      </c>
      <c r="D83" t="s">
        <v>10</v>
      </c>
      <c r="E83" t="s">
        <v>340</v>
      </c>
      <c r="G83" t="s">
        <v>11</v>
      </c>
    </row>
    <row r="84" spans="1:7">
      <c r="A84" t="s">
        <v>198</v>
      </c>
      <c r="B84" t="s">
        <v>410</v>
      </c>
      <c r="C84" s="12">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t="s">
        <v>10</v>
      </c>
      <c r="E84" t="s">
        <v>340</v>
      </c>
      <c r="F84" t="s">
        <v>411</v>
      </c>
      <c r="G84" t="s">
        <v>11</v>
      </c>
    </row>
    <row r="85" spans="1:7">
      <c r="A85" t="s">
        <v>412</v>
      </c>
      <c r="B85" t="s">
        <v>413</v>
      </c>
      <c r="C85" s="12" t="str">
        <f>IF(C21="Other",C22,C21)</f>
        <v>Pulp, paper and cardboard (other than sludge)</v>
      </c>
      <c r="D85" t="s">
        <v>10</v>
      </c>
      <c r="E85" t="s">
        <v>340</v>
      </c>
      <c r="G85" t="s">
        <v>11</v>
      </c>
    </row>
    <row r="86" spans="1:7">
      <c r="A86" t="s">
        <v>414</v>
      </c>
      <c r="B86" t="s">
        <v>415</v>
      </c>
      <c r="C86" s="12">
        <f>C77*(1-C78)*C79*(1-C80)*(16/12)*C81*C75*C82*(C76*C83*EXP(-C84*(C74-C73))*(1-EXP(-C84)))</f>
        <v>0</v>
      </c>
      <c r="D86" t="s">
        <v>10</v>
      </c>
      <c r="E86" t="s">
        <v>340</v>
      </c>
      <c r="G86" t="s">
        <v>11</v>
      </c>
    </row>
    <row r="87" spans="1:7">
      <c r="B87" s="92" t="s">
        <v>416</v>
      </c>
      <c r="F87" t="s">
        <v>417</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A817ECD6-B593-421D-B84D-D071CB426BAC}">
          <x14:formula1>
            <xm:f>'Dropdown Items'!$B$2:$B$3</xm:f>
          </x14:formula1>
          <xm:sqref>C4</xm:sqref>
        </x14:dataValidation>
        <x14:dataValidation type="list" allowBlank="1" showInputMessage="1" showErrorMessage="1" xr:uid="{6D43F8BF-6EBC-48DD-84E7-42B47392AACE}">
          <x14:formula1>
            <xm:f>'Dropdown Items'!$D$2:$D$3</xm:f>
          </x14:formula1>
          <xm:sqref>C12:C13 C23 C18 C5:C7 C15:C16</xm:sqref>
        </x14:dataValidation>
        <x14:dataValidation type="list" allowBlank="1" showInputMessage="1" showErrorMessage="1" xr:uid="{26809942-847B-4468-B52F-E79413E3EEDB}">
          <x14:formula1>
            <xm:f>'Dropdown Items'!$E$2:$E$3</xm:f>
          </x14:formula1>
          <xm:sqref>C8</xm:sqref>
        </x14:dataValidation>
        <x14:dataValidation type="list" allowBlank="1" showInputMessage="1" showErrorMessage="1" xr:uid="{6E9ED857-BC12-4293-A835-148FE82602CE}">
          <x14:formula1>
            <xm:f>'Dropdown Items'!$G$2:$G$3</xm:f>
          </x14:formula1>
          <xm:sqref>C9</xm:sqref>
        </x14:dataValidation>
        <x14:dataValidation type="list" allowBlank="1" showInputMessage="1" showErrorMessage="1" xr:uid="{CABAAECB-CE19-435E-B94D-4CD72C6A6F04}">
          <x14:formula1>
            <xm:f>'Dropdown Items'!$J$2:$J$3</xm:f>
          </x14:formula1>
          <xm:sqref>C11</xm:sqref>
        </x14:dataValidation>
        <x14:dataValidation type="list" allowBlank="1" showInputMessage="1" showErrorMessage="1" xr:uid="{E9986CDC-E451-40B6-A3CF-D1A7E51F7E54}">
          <x14:formula1>
            <xm:f>'Dropdown Items'!$K$2:$K$3</xm:f>
          </x14:formula1>
          <xm:sqref>C23 C17:C18</xm:sqref>
        </x14:dataValidation>
        <x14:dataValidation type="list" allowBlank="1" showInputMessage="1" showErrorMessage="1" xr:uid="{378C300D-295D-4312-9CEF-779AE3A57F69}">
          <x14:formula1>
            <xm:f>'Dropdown Items'!$L$2:$L$3</xm:f>
          </x14:formula1>
          <xm:sqref>C14</xm:sqref>
        </x14:dataValidation>
        <x14:dataValidation type="list" allowBlank="1" showInputMessage="1" showErrorMessage="1" xr:uid="{61F755D1-A88A-4E29-9883-0A4EB082167F}">
          <x14:formula1>
            <xm:f>'Dropdown Items'!$M$2:$M$5</xm:f>
          </x14:formula1>
          <xm:sqref>C19</xm:sqref>
        </x14:dataValidation>
        <x14:dataValidation type="list" allowBlank="1" showInputMessage="1" showErrorMessage="1" xr:uid="{F495D672-459B-444A-ACDC-84007DA02F66}">
          <x14:formula1>
            <xm:f>'Dropdown Items'!$F$2:$F$3</xm:f>
          </x14:formula1>
          <xm:sqref>C20</xm:sqref>
        </x14:dataValidation>
        <x14:dataValidation type="list" allowBlank="1" showInputMessage="1" showErrorMessage="1" xr:uid="{F8BA33C4-598F-4872-BABC-FD84142337CA}">
          <x14:formula1>
            <xm:f>'Dropdown Items'!$I$2:$I$11</xm:f>
          </x14:formula1>
          <xm:sqref>C21</xm:sqref>
        </x14:dataValidation>
        <x14:dataValidation type="list" allowBlank="1" showInputMessage="1" showErrorMessage="1" xr:uid="{F2C0DE53-A940-4E91-8CC9-0B9D1B07226F}">
          <x14:formula1>
            <xm:f>'Dropdown Items'!$H$2:$H$3</xm:f>
          </x14:formula1>
          <xm:sqref>C10</xm:sqref>
        </x14:dataValidation>
        <x14:dataValidation type="list" allowBlank="1" showInputMessage="1" showErrorMessage="1" xr:uid="{6565190A-E9D7-43D0-AD08-6D29C7958338}">
          <x14:formula1>
            <xm:f>'Dropdown Items'!$A$2:$A$4</xm:f>
          </x14:formula1>
          <xm:sqref>C3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53C-E417-4106-9A04-F6730D042884}">
  <dimension ref="A1:D8"/>
  <sheetViews>
    <sheetView workbookViewId="0">
      <selection activeCell="B90" sqref="B90"/>
    </sheetView>
  </sheetViews>
  <sheetFormatPr defaultRowHeight="15"/>
  <cols>
    <col min="1" max="1" width="14.5703125" style="93" customWidth="1"/>
    <col min="2" max="2" width="26.5703125" customWidth="1"/>
    <col min="3" max="3" width="23.7109375" customWidth="1"/>
    <col min="4" max="4" width="25.140625" customWidth="1"/>
  </cols>
  <sheetData>
    <row r="1" spans="1:4" s="93" customFormat="1">
      <c r="B1" s="93" t="s">
        <v>418</v>
      </c>
      <c r="C1" s="93" t="s">
        <v>419</v>
      </c>
      <c r="D1" s="93" t="s">
        <v>303</v>
      </c>
    </row>
    <row r="2" spans="1:4">
      <c r="A2" s="93" t="s">
        <v>420</v>
      </c>
      <c r="B2" t="b">
        <f>IF('Tool 04-SWDS-Yearly'!C3="Baseline Emissions (BE)",'Tool 04-SWDS-Yearly'!C86)</f>
        <v>0</v>
      </c>
      <c r="C2" t="b">
        <f>IF('Tool 04-SWDS-Yearly'!C3="Project Emissions (PE)",'Tool 04-SWDS-Yearly'!C86)</f>
        <v>0</v>
      </c>
      <c r="D2">
        <f>IF('Tool 04-SWDS-Yearly'!C3="Leakage Emissions (LE)",'Tool 04-SWDS-Yearly'!C86)</f>
        <v>0</v>
      </c>
    </row>
    <row r="3" spans="1:4">
      <c r="A3" s="94" t="s">
        <v>420</v>
      </c>
      <c r="B3" s="95"/>
      <c r="C3" s="95"/>
      <c r="D3" s="95"/>
    </row>
    <row r="4" spans="1:4">
      <c r="A4" s="94" t="s">
        <v>420</v>
      </c>
      <c r="B4" s="95"/>
      <c r="C4" s="95"/>
      <c r="D4" s="95"/>
    </row>
    <row r="5" spans="1:4">
      <c r="A5" s="94" t="s">
        <v>420</v>
      </c>
      <c r="B5" s="95"/>
      <c r="C5" s="95"/>
      <c r="D5" s="95"/>
    </row>
    <row r="6" spans="1:4">
      <c r="A6" s="94" t="s">
        <v>420</v>
      </c>
      <c r="B6" s="95"/>
      <c r="C6" s="95"/>
      <c r="D6" s="95"/>
    </row>
    <row r="7" spans="1:4">
      <c r="A7" s="94" t="s">
        <v>420</v>
      </c>
      <c r="B7" s="95"/>
      <c r="C7" s="95"/>
      <c r="D7" s="95"/>
    </row>
    <row r="8" spans="1:4" s="93" customFormat="1">
      <c r="A8" s="93" t="s">
        <v>421</v>
      </c>
      <c r="B8" s="93">
        <f>SUM(B2:B7)</f>
        <v>0</v>
      </c>
      <c r="C8" s="93">
        <f t="shared" ref="C8" si="0">SUM(C2:C7)</f>
        <v>0</v>
      </c>
      <c r="D8" s="93">
        <f>SUM(D2:D7)</f>
        <v>0</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4" ma:contentTypeDescription="Create a new document." ma:contentTypeScope="" ma:versionID="ca3cab8b0fad4a8cc11179bbc72a9d6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8704e392ffcbbae8f264f3297d7e21b0"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7AD7E7-8ED9-4C16-8655-66F24FC26718}"/>
</file>

<file path=customXml/itemProps2.xml><?xml version="1.0" encoding="utf-8"?>
<ds:datastoreItem xmlns:ds="http://schemas.openxmlformats.org/officeDocument/2006/customXml" ds:itemID="{989F4730-A23F-41CF-B459-FBDFD72BE582}"/>
</file>

<file path=customXml/itemProps3.xml><?xml version="1.0" encoding="utf-8"?>
<ds:datastoreItem xmlns:ds="http://schemas.openxmlformats.org/officeDocument/2006/customXml" ds:itemID="{230BACB4-A1AA-4003-B3B3-5B1A72A74C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Jailine Molina</cp:lastModifiedBy>
  <cp:revision/>
  <dcterms:created xsi:type="dcterms:W3CDTF">2023-08-02T15:55:33Z</dcterms:created>
  <dcterms:modified xsi:type="dcterms:W3CDTF">2024-03-04T19:33:45Z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