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F/"/>
    </mc:Choice>
  </mc:AlternateContent>
  <xr:revisionPtr revIDLastSave="0" documentId="8_{30619B72-F246-4DC4-9B4E-D9BC8EC7F239}" xr6:coauthVersionLast="47" xr6:coauthVersionMax="47" xr10:uidLastSave="{00000000-0000-0000-0000-000000000000}"/>
  <bookViews>
    <workbookView xWindow="28680" yWindow="-120" windowWidth="29040" windowHeight="15840" firstSheet="3" activeTab="3" xr2:uid="{762E8A34-A743-4BF9-9EEE-1D58F5A73C2C}"/>
  </bookViews>
  <sheets>
    <sheet name="AMS-III.F Mainframe" sheetId="1" r:id="rId1"/>
    <sheet name="Partial BE Based on LT 17a" sheetId="12" r:id="rId2"/>
    <sheet name="Partial BE Based on LT 17b" sheetId="13" r:id="rId3"/>
    <sheet name="Tool 13" sheetId="2" r:id="rId4"/>
    <sheet name="MCF Defaults" sheetId="3" r:id="rId5"/>
    <sheet name="(Revised) Tool 03" sheetId="4" r:id="rId6"/>
    <sheet name="Tool 05.1" sheetId="5" r:id="rId7"/>
    <sheet name="Tool 05.2 Power Plants" sheetId="6" r:id="rId8"/>
    <sheet name="Tool 05.3 Default Values" sheetId="7" r:id="rId9"/>
    <sheet name="Tool 04-SWDS-Yearly" sheetId="8" r:id="rId10"/>
    <sheet name="SWDS Emissions Summary Tab " sheetId="9" r:id="rId11"/>
    <sheet name="Dropdown Items" sheetId="10" r:id="rId12"/>
    <sheet name="IWA Properties" sheetId="11"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2" i="2" l="1"/>
  <c r="H73" i="1"/>
  <c r="H44" i="1"/>
  <c r="H63" i="1"/>
  <c r="H67" i="1"/>
  <c r="H55" i="1"/>
  <c r="H61" i="1"/>
  <c r="H47" i="1"/>
  <c r="H45" i="1"/>
  <c r="H46" i="1"/>
  <c r="H49" i="1" l="1"/>
  <c r="H42" i="1" l="1"/>
  <c r="H37" i="1"/>
  <c r="H35" i="1" s="1"/>
  <c r="H72" i="1" s="1"/>
  <c r="F12" i="13"/>
  <c r="F5" i="13"/>
  <c r="F33" i="12"/>
  <c r="F25" i="12" s="1"/>
  <c r="F29" i="12"/>
  <c r="F13" i="12"/>
  <c r="F5" i="12" s="1"/>
  <c r="F9" i="12"/>
  <c r="H82" i="1" l="1"/>
  <c r="H74" i="1"/>
  <c r="H70" i="1"/>
  <c r="D2" i="9"/>
  <c r="D8" i="9" s="1"/>
  <c r="C2" i="9"/>
  <c r="C8" i="9" s="1"/>
  <c r="C85" i="8"/>
  <c r="C84" i="8"/>
  <c r="C83" i="8"/>
  <c r="C75" i="8"/>
  <c r="D71" i="8"/>
  <c r="D69" i="8"/>
  <c r="C69" i="8"/>
  <c r="D66" i="8"/>
  <c r="C66" i="8"/>
  <c r="D65" i="8"/>
  <c r="D64" i="8"/>
  <c r="D62" i="8"/>
  <c r="C62" i="8"/>
  <c r="C82" i="8" s="1"/>
  <c r="D59" i="8"/>
  <c r="C59" i="8"/>
  <c r="D58" i="8"/>
  <c r="D57" i="8"/>
  <c r="D56" i="8"/>
  <c r="D54" i="8"/>
  <c r="C54" i="8"/>
  <c r="D53" i="8"/>
  <c r="D52" i="8"/>
  <c r="D51" i="8"/>
  <c r="D50" i="8"/>
  <c r="D48" i="8"/>
  <c r="C48" i="8"/>
  <c r="D45" i="8"/>
  <c r="D44" i="8"/>
  <c r="C44" i="8"/>
  <c r="C45" i="8" s="1"/>
  <c r="C76" i="8" s="1"/>
  <c r="D43" i="8"/>
  <c r="D42" i="8"/>
  <c r="D40" i="8"/>
  <c r="D38" i="8"/>
  <c r="D35" i="8"/>
  <c r="C35" i="8"/>
  <c r="D34" i="8"/>
  <c r="C34" i="8"/>
  <c r="D33" i="8"/>
  <c r="C33" i="8"/>
  <c r="D32" i="8"/>
  <c r="C32" i="8"/>
  <c r="D31" i="8"/>
  <c r="C31" i="8"/>
  <c r="D30" i="8"/>
  <c r="C30" i="8"/>
  <c r="D29" i="8"/>
  <c r="C29" i="8"/>
  <c r="D28" i="8"/>
  <c r="C28" i="8"/>
  <c r="D26" i="8"/>
  <c r="C26" i="8"/>
  <c r="C77" i="8" s="1"/>
  <c r="C86" i="8" s="1"/>
  <c r="D22" i="8"/>
  <c r="D21" i="8"/>
  <c r="D19" i="8"/>
  <c r="D18" i="8"/>
  <c r="D17" i="8"/>
  <c r="D16" i="8"/>
  <c r="D15" i="8"/>
  <c r="D14" i="8"/>
  <c r="D13" i="8"/>
  <c r="D12" i="8"/>
  <c r="D11" i="8"/>
  <c r="G35" i="6"/>
  <c r="G34" i="6"/>
  <c r="G32" i="6" s="1"/>
  <c r="G23" i="6"/>
  <c r="G20" i="6" s="1"/>
  <c r="G22" i="6"/>
  <c r="G11" i="6"/>
  <c r="G10" i="6"/>
  <c r="G7" i="6" s="1"/>
  <c r="G23" i="5"/>
  <c r="G22" i="5"/>
  <c r="G17" i="5"/>
  <c r="G16" i="5"/>
  <c r="G12" i="5"/>
  <c r="G11" i="5"/>
  <c r="G7" i="5"/>
  <c r="G6" i="5" s="1"/>
  <c r="G16" i="2" s="1"/>
  <c r="G37" i="4"/>
  <c r="G33" i="4"/>
  <c r="G30" i="4" s="1"/>
  <c r="G28" i="4" s="1"/>
  <c r="G32" i="4"/>
  <c r="G19" i="4"/>
  <c r="G15" i="4"/>
  <c r="G14" i="4"/>
  <c r="G12" i="4" s="1"/>
  <c r="G70" i="2"/>
  <c r="G63" i="2"/>
  <c r="G62" i="2"/>
  <c r="G61" i="2"/>
  <c r="G59" i="2"/>
  <c r="G58" i="2"/>
  <c r="G57" i="2"/>
  <c r="G41" i="2"/>
  <c r="G28" i="2"/>
  <c r="G27" i="2" s="1"/>
  <c r="G24" i="2"/>
  <c r="G22" i="2" s="1"/>
  <c r="G9" i="2"/>
  <c r="H69" i="1" l="1"/>
  <c r="G3" i="4"/>
  <c r="G20" i="2" s="1"/>
  <c r="G3" i="2" s="1"/>
  <c r="H76" i="1" s="1"/>
  <c r="G10" i="4"/>
  <c r="G73" i="2"/>
  <c r="H78" i="1" s="1"/>
  <c r="B2" i="9"/>
  <c r="B8" i="9" s="1"/>
  <c r="G8" i="6"/>
  <c r="G4" i="6" s="1"/>
  <c r="G38" i="5" s="1"/>
  <c r="G31" i="6"/>
  <c r="G3" i="6" s="1"/>
  <c r="G37" i="5" s="1"/>
  <c r="G19" i="6"/>
  <c r="H8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tc={443A775C-CB4A-4C7A-81BD-8068D81D1733}</author>
    <author>tc={1FB97FF0-F714-4198-819F-88244E228BFD}</author>
    <author>tc={F6A726EA-AC0C-4FD9-AE5C-B4E365490037}</author>
    <author>tc={3E4894A1-28C8-4FF7-80E9-4AC2C4B352E5}</author>
    <author>tc={89FDE336-0F7C-4329-8EED-22552D80315E}</author>
    <author>tc={7054BFB7-3CCC-4D12-AB28-135169724DA6}</author>
    <author>tc={BC4E3F4B-13D3-4765-B892-F73E89B83C23}</author>
    <author>tc={45F26EC6-37C3-44B0-8A4C-DF8673463FD9}</author>
  </authors>
  <commentList>
    <comment ref="G35" authorId="0" shapeId="0" xr:uid="{443A775C-CB4A-4C7A-81BD-8068D81D1733}">
      <text>
        <t>[Threaded comment]
Your version of Excel allows you to read this threaded comment; however, any edits to it will get removed if the file is opened in a newer version of Excel. Learn more: https://go.microsoft.com/fwlink/?linkid=870924
Comment:
    Eq 1</t>
      </text>
    </comment>
    <comment ref="G37" authorId="1" shapeId="0" xr:uid="{1FB97FF0-F714-4198-819F-88244E228BFD}">
      <text>
        <t>[Threaded comment]
Your version of Excel allows you to read this threaded comment; however, any edits to it will get removed if the file is opened in a newer version of Excel. Learn more: https://go.microsoft.com/fwlink/?linkid=870924
Comment:
    Eq 1</t>
      </text>
    </comment>
    <comment ref="G42" authorId="2" shapeId="0" xr:uid="{F6A726EA-AC0C-4FD9-AE5C-B4E365490037}">
      <text>
        <t>[Threaded comment]
Your version of Excel allows you to read this threaded comment; however, any edits to it will get removed if the file is opened in a newer version of Excel. Learn more: https://go.microsoft.com/fwlink/?linkid=870924
Comment:
    Eq 5</t>
      </text>
    </comment>
    <comment ref="G69" authorId="3" shapeId="0" xr:uid="{3E4894A1-28C8-4FF7-80E9-4AC2C4B352E5}">
      <text>
        <t>[Threaded comment]
Your version of Excel allows you to read this threaded comment; however, any edits to it will get removed if the file is opened in a newer version of Excel. Learn more: https://go.microsoft.com/fwlink/?linkid=870924
Comment:
    Eq 1</t>
      </text>
    </comment>
    <comment ref="G76" authorId="4" shapeId="0" xr:uid="{89FDE336-0F7C-4329-8EED-22552D80315E}">
      <text>
        <t>[Threaded comment]
Your version of Excel allows you to read this threaded comment; however, any edits to it will get removed if the file is opened in a newer version of Excel. Learn more: https://go.microsoft.com/fwlink/?linkid=870924
Comment:
    From Tool 13</t>
      </text>
    </comment>
    <comment ref="G78" authorId="5" shapeId="0" xr:uid="{7054BFB7-3CCC-4D12-AB28-135169724DA6}">
      <text>
        <t>[Threaded comment]
Your version of Excel allows you to read this threaded comment; however, any edits to it will get removed if the file is opened in a newer version of Excel. Learn more: https://go.microsoft.com/fwlink/?linkid=870924
Comment:
    Tool 13</t>
      </text>
    </comment>
    <comment ref="G81" authorId="6" shapeId="0" xr:uid="{BC4E3F4B-13D3-4765-B892-F73E89B83C23}">
      <text>
        <t>[Threaded comment]
Your version of Excel allows you to read this threaded comment; however, any edits to it will get removed if the file is opened in a newer version of Excel. Learn more: https://go.microsoft.com/fwlink/?linkid=870924
Comment:
    Eq 2</t>
      </text>
    </comment>
    <comment ref="G82" authorId="7" shapeId="0" xr:uid="{45F26EC6-37C3-44B0-8A4C-DF8673463FD9}">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tc={28C78F5C-655D-4709-9A84-87CEDE9FE7BA}</author>
    <author>tc={AA50BC0C-C768-429F-9E23-A65D60E7DA13}</author>
    <author>tc={FCDBF84E-9241-43A0-813D-92DB940AE162}</author>
    <author>tc={ABC8DEEC-C19E-460C-A95B-0496DF6AAA7E}</author>
  </authors>
  <commentList>
    <comment ref="D9" authorId="0" shapeId="0" xr:uid="{28C78F5C-655D-4709-9A84-87CEDE9FE7BA}">
      <text>
        <t>[Threaded comment]
Your version of Excel allows you to read this threaded comment; however, any edits to it will get removed if the file is opened in a newer version of Excel. Learn more: https://go.microsoft.com/fwlink/?linkid=870924
Comment:
    Eq 4</t>
      </text>
    </comment>
    <comment ref="D13" authorId="1" shapeId="0" xr:uid="{AA50BC0C-C768-429F-9E23-A65D60E7DA13}">
      <text>
        <t>[Threaded comment]
Your version of Excel allows you to read this threaded comment; however, any edits to it will get removed if the file is opened in a newer version of Excel. Learn more: https://go.microsoft.com/fwlink/?linkid=870924
Comment:
    Eq 2 &amp; 3
Reply:
    Default option &amp; Adjusted Default
Reply:
    PP should be able to choose if they want to use the default value (eq 2) or if they want to adjust the default value (eq 3)</t>
      </text>
    </comment>
    <comment ref="D29" authorId="2" shapeId="0" xr:uid="{FCDBF84E-9241-43A0-813D-92DB940AE162}">
      <text>
        <t>[Threaded comment]
Your version of Excel allows you to read this threaded comment; however, any edits to it will get removed if the file is opened in a newer version of Excel. Learn more: https://go.microsoft.com/fwlink/?linkid=870924
Comment:
    Eq 4</t>
      </text>
    </comment>
    <comment ref="D33" authorId="3" shapeId="0" xr:uid="{ABC8DEEC-C19E-460C-A95B-0496DF6AAA7E}">
      <text>
        <t>[Threaded comment]
Your version of Excel allows you to read this threaded comment; however, any edits to it will get removed if the file is opened in a newer version of Excel. Learn more: https://go.microsoft.com/fwlink/?linkid=870924
Comment:
    Eq 2
Reply:
    Default option
Reply:
    PP should be able to choose if they want to use the default value (eq 2) or if they want to adjust the default value (eq 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tc={1FA19FA1-B104-4577-A815-9CB994B6E80E}</author>
    <author>tc={EFECCA12-9FFB-4CD9-A41B-F17863ADCF10}</author>
    <author>tc={B6F7C81B-6FC2-450E-BB1D-A3AC7407924B}</author>
    <author>tc={91AFE3ED-7805-4F86-890E-E1073295A94D}</author>
    <author>tc={31796D78-385B-4831-BC2E-5A9349547B67}</author>
    <author>tc={F9FC19AD-6857-4449-938F-B0D85BCC4121}</author>
    <author>tc={D43C39F6-A9F9-4187-9A74-FFF67BA04FA1}</author>
    <author>tc={0DF2C0D6-6B5A-4819-B513-9DE5F85D26D9}</author>
    <author>tc={D12D4FB1-EC05-4C26-B47F-2529ADC31E07}</author>
    <author>tc={48B09FA5-D379-4E87-893F-7BAA2C6EE7A8}</author>
  </authors>
  <commentList>
    <comment ref="F9" authorId="0" shapeId="0" xr:uid="{1FA19FA1-B104-4577-A815-9CB994B6E80E}">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EFECCA12-9FFB-4CD9-A41B-F17863ADCF10}">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B6F7C81B-6FC2-450E-BB1D-A3AC7407924B}">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91AFE3ED-7805-4F86-890E-E1073295A94D}">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31796D78-385B-4831-BC2E-5A9349547B67}">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F9FC19AD-6857-4449-938F-B0D85BCC4121}">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1" authorId="6" shapeId="0" xr:uid="{D43C39F6-A9F9-4187-9A74-FFF67BA04FA1}">
      <text>
        <t>[Threaded comment]
Your version of Excel allows you to read this threaded comment; however, any edits to it will get removed if the file is opened in a newer version of Excel. Learn more: https://go.microsoft.com/fwlink/?linkid=870924
Comment:
    Eq 7</t>
      </text>
    </comment>
    <comment ref="F42" authorId="7" shapeId="0" xr:uid="{0DF2C0D6-6B5A-4819-B513-9DE5F85D26D9}">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57" authorId="8" shapeId="0" xr:uid="{D12D4FB1-EC05-4C26-B47F-2529ADC31E07}">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I70" authorId="9" shapeId="0" xr:uid="{48B09FA5-D379-4E87-893F-7BAA2C6EE7A8}">
      <text>
        <t>[Threaded comment]
Your version of Excel allows you to read this threaded comment; however, any edits to it will get removed if the file is opened in a newer version of Excel. Learn more: https://go.microsoft.com/fwlink/?linkid=870924
Comment:
    The calculated value for this is located in row 66 as option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tc={5078B788-AF6A-44CB-8490-768768E87466}</author>
  </authors>
  <commentList>
    <comment ref="F10" authorId="0" shapeId="0" xr:uid="{5078B788-AF6A-44CB-8490-768768E87466}">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tc={D35453D9-4F22-45AA-83C8-D2D899994FB7}</author>
    <author>tc={407E624C-FC91-4F26-A3E7-BF37BDFA4E83}</author>
    <author>tc={4A0E177B-4F5A-445D-BA5C-FA22561FB1EE}</author>
    <author>tc={D5ECC3F9-5F6D-48AD-8D34-74133DCEAF5F}</author>
    <author>tc={0EEA6625-7FA4-42EF-8A61-593A8D5747B4}</author>
    <author>tc={B73E29A7-F8CB-41D7-85E3-E63496CCEAC7}</author>
    <author>tc={962F2535-EC1A-499C-ABDA-7609C3C74E56}</author>
    <author>tc={6D040008-1AFE-4593-8C29-B21E5ADDE58E}</author>
  </authors>
  <commentList>
    <comment ref="F6" authorId="0" shapeId="0" xr:uid="{D35453D9-4F22-45AA-83C8-D2D899994FB7}">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407E624C-FC91-4F26-A3E7-BF37BDFA4E83}">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4A0E177B-4F5A-445D-BA5C-FA22561FB1EE}">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D5ECC3F9-5F6D-48AD-8D34-74133DCEAF5F}">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0EEA6625-7FA4-42EF-8A61-593A8D5747B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B73E29A7-F8CB-41D7-85E3-E63496CCEAC7}">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962F2535-EC1A-499C-ABDA-7609C3C74E56}">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6D040008-1AFE-4593-8C29-B21E5ADDE58E}">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tc={BCC325B0-DAE9-403C-9AD7-32043FC90070}</author>
    <author>tc={C35888C5-FCD7-4017-824F-39BE3D8F4B9B}</author>
    <author>tc={25F84C17-09F0-4B32-8BD0-3DE929AFDED7}</author>
    <author>tc={97AAD12C-46D3-463E-8647-09346C3BF59C}</author>
    <author>tc={609E5A4C-B301-497E-AA0C-7B0140ABB2A4}</author>
    <author>tc={B5B47A51-AE51-42A0-A04F-71CEEC6D4053}</author>
    <author>tc={C047BB73-EF12-4064-8E10-FA85577EC641}</author>
    <author>tc={0F9F6D19-32D1-4B1B-9B90-AD7A1BBC22B5}</author>
    <author>tc={845158A4-3EDD-4A67-A992-FECBC7D198F9}</author>
    <author>tc={F6DBF2AF-3BEE-442C-9988-89B491E9FF90}</author>
    <author>tc={068E5FC9-E003-42A2-87BE-8DD866DB260E}</author>
    <author>tc={6A25D7DC-CF5E-479A-A45F-ACE1B6E44976}</author>
    <author>tc={A67145C6-AC96-4557-BE07-37EE3A253AE6}</author>
    <author>tc={E1AD1E05-38CB-4E32-9C97-397F3013F396}</author>
    <author>tc={6E92020B-DC4B-49BD-946F-4ED9A5F1B5C1}</author>
    <author>tc={F5D5F15B-1166-4925-9A84-A3BA4AA8D546}</author>
    <author>tc={DC2B6246-17FA-416E-9FF5-ACBCDC37EA27}</author>
    <author>tc={4E60422F-1FD7-45A0-B86E-E345BACA3673}</author>
    <author>tc={5ACE38EF-7BD3-43FA-B240-5F0671B68F7A}</author>
    <author>tc={9FC6A603-09B8-4C7C-A0A1-B7148673F72F}</author>
  </authors>
  <commentList>
    <comment ref="F3" authorId="0" shapeId="0" xr:uid="{BCC325B0-DAE9-403C-9AD7-32043FC90070}">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C35888C5-FCD7-4017-824F-39BE3D8F4B9B}">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25F84C17-09F0-4B32-8BD0-3DE929AFDED7}">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97AAD12C-46D3-463E-8647-09346C3BF59C}">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609E5A4C-B301-497E-AA0C-7B0140ABB2A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B5B47A51-AE51-42A0-A04F-71CEEC6D405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047BB73-EF12-4064-8E10-FA85577EC64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0F9F6D19-32D1-4B1B-9B90-AD7A1BBC22B5}">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45158A4-3EDD-4A67-A992-FECBC7D198F9}">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F6DBF2AF-3BEE-442C-9988-89B491E9FF90}">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068E5FC9-E003-42A2-87BE-8DD866DB260E}">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6A25D7DC-CF5E-479A-A45F-ACE1B6E4497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A67145C6-AC96-4557-BE07-37EE3A253AE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E1AD1E05-38CB-4E32-9C97-397F3013F39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6E92020B-DC4B-49BD-946F-4ED9A5F1B5C1}">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F5D5F15B-1166-4925-9A84-A3BA4AA8D546}">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DC2B6246-17FA-416E-9FF5-ACBCDC37EA2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4E60422F-1FD7-45A0-B86E-E345BACA367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5ACE38EF-7BD3-43FA-B240-5F0671B68F7A}">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9FC6A603-09B8-4C7C-A0A1-B7148673F72F}">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tc={B7C689FF-C45B-47C5-8903-9C7A9E27F2E1}</author>
  </authors>
  <commentList>
    <comment ref="D3" authorId="0" shapeId="0" xr:uid="{B7C689FF-C45B-47C5-8903-9C7A9E27F2E1}">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tc={35F36423-61D0-4B97-81AA-292B72ADEE8A}</author>
    <author>tc={B0DDEC59-B96A-4A02-95BE-0D1C622D5C03}</author>
    <author>tc={AFE7536B-BD3E-47CE-86D2-B3D9089CB477}</author>
    <author>tc={F0717DC6-5780-438E-8412-89CBE28A0699}</author>
    <author>tc={897E0BC6-A266-425D-82A2-A2AFC53E80C1}</author>
    <author>tc={C8A49747-D190-4659-B9E4-58D51DA7036E}</author>
    <author>tc={5C45C33F-0AD6-4191-8878-E85031110FB4}</author>
    <author>tc={8D2311B1-041B-4E2F-8114-FDE0F79B50E2}</author>
  </authors>
  <commentList>
    <comment ref="B34" authorId="0" shapeId="0" xr:uid="{35F36423-61D0-4B97-81AA-292B72ADEE8A}">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B0DDEC59-B96A-4A02-95BE-0D1C622D5C03}">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AFE7536B-BD3E-47CE-86D2-B3D9089CB477}">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F0717DC6-5780-438E-8412-89CBE28A0699}">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897E0BC6-A266-425D-82A2-A2AFC53E80C1}">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C8A49747-D190-4659-B9E4-58D51DA7036E}">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5C45C33F-0AD6-4191-8878-E85031110FB4}">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8D2311B1-041B-4E2F-8114-FDE0F79B50E2}">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tc={2FB7DB08-B2B0-45EA-9F2E-D216A362309D}</author>
  </authors>
  <commentList>
    <comment ref="A2" authorId="0" shapeId="0" xr:uid="{2FB7DB08-B2B0-45EA-9F2E-D216A362309D}">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sharedStrings.xml><?xml version="1.0" encoding="utf-8"?>
<sst xmlns="http://schemas.openxmlformats.org/spreadsheetml/2006/main" count="2785" uniqueCount="1444">
  <si>
    <t>Required Field</t>
  </si>
  <si>
    <t>Selective Disclosure</t>
  </si>
  <si>
    <t>Allow Multiple Answers</t>
  </si>
  <si>
    <t>Schema Type</t>
  </si>
  <si>
    <t>Properties</t>
  </si>
  <si>
    <t>Parameter</t>
  </si>
  <si>
    <t>Question</t>
  </si>
  <si>
    <t>Answer</t>
  </si>
  <si>
    <t>Notes</t>
  </si>
  <si>
    <t>Comments</t>
  </si>
  <si>
    <t>Project Details</t>
  </si>
  <si>
    <t>Yes</t>
  </si>
  <si>
    <t>No</t>
  </si>
  <si>
    <t>String</t>
  </si>
  <si>
    <t>N/A</t>
  </si>
  <si>
    <t>Summary Description of the Project</t>
  </si>
  <si>
    <t>Controlled biological treatment of biomass or other organic matter is introduced through aerobic treatment by composting and proper soil application of the compost</t>
  </si>
  <si>
    <t>ActivityImpactModule.projectScope</t>
  </si>
  <si>
    <t>Sectoral Scope</t>
  </si>
  <si>
    <t>Sectoral Scope: 13</t>
  </si>
  <si>
    <t>The correct term is 'Sectoral Scope'</t>
  </si>
  <si>
    <t>ActivityImpactModule.projectType</t>
  </si>
  <si>
    <t>Project Type</t>
  </si>
  <si>
    <t>GHG emission avoidance: Avoidance of GHG emissions by alternative treatment process</t>
  </si>
  <si>
    <t>Type of Activity</t>
  </si>
  <si>
    <t>ActivityImpactModule.projectScale</t>
  </si>
  <si>
    <t>Project Scale</t>
  </si>
  <si>
    <t>Small scale</t>
  </si>
  <si>
    <t>ActivityImpactModule.GeographicLocation.latitude</t>
  </si>
  <si>
    <t>Project Location Latitude</t>
  </si>
  <si>
    <t>13° 43' 45.716" S</t>
  </si>
  <si>
    <t>ActivityImpactModule.GeographicLocation.longitude</t>
  </si>
  <si>
    <t>Project Location Longitude</t>
  </si>
  <si>
    <t>22° 0' 1.695" E</t>
  </si>
  <si>
    <t>GeoJSON</t>
  </si>
  <si>
    <t>ActivityImpactModule.GeographicLocation.geoJsonOrKml</t>
  </si>
  <si>
    <t>Project Location GeoJSON (GeoJSON supports the following geometry types: Point, LineString, Polygon, MultiPoint, MultiLineString, MultiPolygon.)</t>
  </si>
  <si>
    <t>(13° 43' 45.716" S, 22° 0' 1.695" E)</t>
  </si>
  <si>
    <t>Project Eligibility</t>
  </si>
  <si>
    <t>The project activity would not occur or be financially attractive without the income associated with the sale of CERs.</t>
  </si>
  <si>
    <t>AccountableImpactOrganization.name</t>
  </si>
  <si>
    <t>Project Participant Organization Name</t>
  </si>
  <si>
    <t>X Group Trading</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</si>
  <si>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</si>
  <si>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</si>
  <si>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</si>
  <si>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</si>
  <si>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</si>
  <si>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</si>
  <si>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</si>
  <si>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</si>
  <si>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South Africa</t>
  </si>
  <si>
    <t>Phone Number</t>
  </si>
  <si>
    <t xml:space="preserve">Project Participant Telephone </t>
  </si>
  <si>
    <t>(555) 222-3131</t>
  </si>
  <si>
    <t>Email</t>
  </si>
  <si>
    <t>Project Participant Email</t>
  </si>
  <si>
    <t>JD@gmail.com</t>
  </si>
  <si>
    <t>AccountableImpactOrganization.owners</t>
  </si>
  <si>
    <t>Project Ownership</t>
  </si>
  <si>
    <t>The total extent of the Reliance property is 62 hectares, with composting being undertaken over 13 hectares. The project proponent is the title-holder of the entire property and therefore has ownership of the project and the GHG emissions reductions.</t>
  </si>
  <si>
    <t>Emissions Trading Programs and Other Binding Limits</t>
  </si>
  <si>
    <t>Participation under other GHG Programs</t>
  </si>
  <si>
    <t>Other Forms of Environmental Credit</t>
  </si>
  <si>
    <t>Projects Rejected by Other GHG Programs</t>
  </si>
  <si>
    <t>The project has not been rejected by any GHG reduction or removal program.</t>
  </si>
  <si>
    <t>Title and Reference of Methodologies</t>
  </si>
  <si>
    <t>AMS-III.F: Avoidance of methane emissions through composting</t>
  </si>
  <si>
    <t>Date</t>
  </si>
  <si>
    <t>ActivityImpactModule.projectStartDate</t>
  </si>
  <si>
    <t>Project Start Date</t>
  </si>
  <si>
    <t>Date Range</t>
  </si>
  <si>
    <t>ActivityImpactModule.projectCreditingPeriod</t>
  </si>
  <si>
    <t>Project Crediting Period</t>
  </si>
  <si>
    <t>01/01/2015-12/31/2024</t>
  </si>
  <si>
    <t>ActivityImpactModule.projectMonitoringPeriod</t>
  </si>
  <si>
    <t>Project Monitoring Period</t>
  </si>
  <si>
    <t>Project Monitoring Plan</t>
  </si>
  <si>
    <t>Monitoring plan was structured based on AMS-III.AV criteria</t>
  </si>
  <si>
    <t>Compliance with Laws, Statutes and Other Regulatory Frameworks</t>
  </si>
  <si>
    <t>Reliance is compliant with the legal requirements of South Africa</t>
  </si>
  <si>
    <t>Leakage Management</t>
  </si>
  <si>
    <t>Not applicable, the project technology does not involve equipment being transferred from another activity and existing equipment is not being transferred to another activity.</t>
  </si>
  <si>
    <t>CoBenefit.unSdg</t>
  </si>
  <si>
    <t>Sustainable development</t>
  </si>
  <si>
    <t>SDG 13, SDG 7</t>
  </si>
  <si>
    <t>Further Information</t>
  </si>
  <si>
    <t>There is no further relevant information.</t>
  </si>
  <si>
    <t xml:space="preserve">Determination of which approach will be used 17a or 17b </t>
  </si>
  <si>
    <t>If/Then</t>
  </si>
  <si>
    <r>
      <t xml:space="preserve">Please select the option that applies to your project in order to calculate baseline emission for manure:
</t>
    </r>
    <r>
      <rPr>
        <b/>
        <sz val="11"/>
        <color rgb="FF000000"/>
        <rFont val="Calibri"/>
        <family val="2"/>
        <scheme val="minor"/>
      </rPr>
      <t>Option 17a:</t>
    </r>
    <r>
      <rPr>
        <sz val="11"/>
        <color rgb="FF000000"/>
        <rFont val="Calibri"/>
        <family val="2"/>
        <scheme val="minor"/>
      </rPr>
      <t xml:space="preserve"> Using the amount of the waste or raw material that would decay anaerobically in the absence of the project activity, with the most recent IPCC Tier 2 approach. For this calculation, information about the characteristics of the manure and of the management systems in the baseline is required. Manure characteristics include the amount of volatile solids (VS) produced by the livestock and the maximum amount of methane that can be potentially produced from that manure (Bo). 
</t>
    </r>
    <r>
      <rPr>
        <b/>
        <sz val="11"/>
        <color rgb="FF000000"/>
        <rFont val="Calibri"/>
        <family val="2"/>
        <scheme val="minor"/>
      </rPr>
      <t xml:space="preserve">Option 17b: </t>
    </r>
    <r>
      <rPr>
        <sz val="11"/>
        <color rgb="FF000000"/>
        <rFont val="Calibri"/>
        <family val="2"/>
        <scheme val="minor"/>
      </rPr>
      <t>Using the amount of manure that would decay anaerobically in the absence of the project activity based on direct measurement of the quantity of manure treated together with its specific volatile solids (SVS) content.</t>
    </r>
  </si>
  <si>
    <t>Option 17a</t>
  </si>
  <si>
    <t>Baseline Emissions from Manure (AMS-III.D)</t>
  </si>
  <si>
    <t>Auto-Calculated</t>
  </si>
  <si>
    <t xml:space="preserve">BE,manure,y </t>
  </si>
  <si>
    <t>Baseline emissions from manure in year y (t CO2e)</t>
  </si>
  <si>
    <t>Baseline Emissions 17a (AMS-III.D)</t>
  </si>
  <si>
    <t xml:space="preserve">BE,manure,17a,y </t>
  </si>
  <si>
    <t>Baseline emissions from manure 17a in year y (t CO2e)</t>
  </si>
  <si>
    <t xml:space="preserve">GWPCH4 </t>
  </si>
  <si>
    <t>Global Warming Potential (GWP) of CH4 applicable to the crediting period (t CO2e/t CH4)</t>
  </si>
  <si>
    <t xml:space="preserve">DCH4 </t>
  </si>
  <si>
    <t>CH4 density</t>
  </si>
  <si>
    <t xml:space="preserve">UFb </t>
  </si>
  <si>
    <t>Model correction factor to account for model uncertainties</t>
  </si>
  <si>
    <t>Baseline Emissions 17b (AMS-III.D)</t>
  </si>
  <si>
    <t xml:space="preserve">BE,manure,17b,y </t>
  </si>
  <si>
    <t>Baseline emissions from manure 17b in year y (t CO2e)</t>
  </si>
  <si>
    <t>Baseline Emissions from Wastewater (AMS-III.H)</t>
  </si>
  <si>
    <t>Auto-Calculate</t>
  </si>
  <si>
    <t>BE,ww,y</t>
  </si>
  <si>
    <t>Baseline Emissions Wastewater (t CO2e)</t>
  </si>
  <si>
    <t xml:space="preserve">𝐵𝑜,𝑤𝑤 </t>
  </si>
  <si>
    <t>Methane producing capacity of the wastewater (IPCC value of 0.25 kg CH4/kg COD)</t>
  </si>
  <si>
    <t>𝑈𝐹BL</t>
  </si>
  <si>
    <t>Model correction factor to account for model uncertainties - 0.89</t>
  </si>
  <si>
    <t>𝐺𝑊𝑃𝐶𝐻4</t>
  </si>
  <si>
    <t>Global Warming Potential for methane</t>
  </si>
  <si>
    <t>Baseline Emissions from Wastewater Treatment Systems (AMS-III.H)</t>
  </si>
  <si>
    <t>BEww,treatment,y</t>
  </si>
  <si>
    <t>Baseline Emissions from Wastewater Treatment Systems (t CO2e)</t>
  </si>
  <si>
    <t>[Click to Add Baseline Wastewater Treatment System]</t>
  </si>
  <si>
    <t>Number</t>
  </si>
  <si>
    <t>Qww,i,y</t>
  </si>
  <si>
    <t>What is the volume of wastewater treated in baseline wastewater treatment system I in year y (m3)?</t>
  </si>
  <si>
    <t>CODinflow,i,y</t>
  </si>
  <si>
    <t>What is the Chemical Oxygen Demand (COD) of the wastewater inflow to the baseline treatment system I in year y (t/m3)?</t>
  </si>
  <si>
    <t>ηCOD,BL,i</t>
  </si>
  <si>
    <t>What is the COD removal efficiency of the baseline treatment system I?</t>
  </si>
  <si>
    <t xml:space="preserve">Question </t>
  </si>
  <si>
    <t xml:space="preserve">Select the type of wastewater treatment and discharge pathway or system to determine the methane correction factor for the baseline wastewater treatment
system:
Option 1- Discharge of wastewater to sea, river or lake
Option 2- Land application
Option 3- Aerobic treatment, well managed 
Option 4- Aerobic treatment, poorly managed or overloaded
Option 5- Anaerobic digester for sludge without methane recovery
Option 6- Anaerobic reactor without methane recover
Option 7- Anaerobic shallow lagoon (depth less than 2 metres)
Option 8- Anaerobic deep lagoon (depth more than 2 metres)
Option 9- Septic system 
</t>
  </si>
  <si>
    <t>MCF𝑤𝑤,𝑡𝑟𝑒𝑎𝑡𝑚𝑒𝑛𝑡,𝐵𝐿,𝑖</t>
  </si>
  <si>
    <t>Methane Correction Factor (MCF) for baseline wastewater treatment system I</t>
  </si>
  <si>
    <t>Baseline Emissions from from Degradable Organic Carbon in Treated Wastewater (AMS-III.H)</t>
  </si>
  <si>
    <t>BEww,discharge,y</t>
  </si>
  <si>
    <t>Baseline Emissions from Degradable Organic Carbon in Treated Wastewater (t CO2e)</t>
  </si>
  <si>
    <t>Qww,y</t>
  </si>
  <si>
    <t>Volume of treated wastewater discharged in year y (m3 )</t>
  </si>
  <si>
    <t>CODww,discharge,BL,y</t>
  </si>
  <si>
    <t>Chemical oxygen demand of the treated wastewater discharged into sea, river or lake in the baseline situation in the year y (t/m3 ). If the baseline scenario is the discharge of untreated wastewater, the COD of untreated wastewater shall be used</t>
  </si>
  <si>
    <t xml:space="preserve">Select the type of wastewater treatment and discharge pathway or system to determine the methane correction factor for the baseline discharge:
Option 1- Discharge of wastewater to sea, river or lake
Option 2- Land application
Option 3- Aerobic treatment, well managed 
Option 4- Aerobic treatment, poorly managed or overloaded
Option 5- Anaerobic digester for sludge without methane recovery
Option 6- Anaerobic reactor without methane recover
Option 7- Anaerobic shallow lagoon (depth less than 2 metres)
Option 8- Anaerobic deep lagoon (depth more than 2 metres)
Option 9- Septic system 
</t>
  </si>
  <si>
    <t>MCFww,BL,discharge</t>
  </si>
  <si>
    <t>Methane correction factor based on discharge pathway in the baseline situation (e.g. into sea, river or lake) of the wastewater (fraction)</t>
  </si>
  <si>
    <t>Baseline Scenario</t>
  </si>
  <si>
    <t>ImpactClaimCheckpoint.efBefore</t>
  </si>
  <si>
    <t>BEy</t>
  </si>
  <si>
    <t>Baseline emissions in the year y (tCO2e)</t>
  </si>
  <si>
    <t>BECH4,SWDS,y</t>
  </si>
  <si>
    <t>Yearly methane generation potential of the solid waste composted by the project activity during the years x from the beginning of the project activity (x=1) up to the year y estimated as per the latest version of the methodological tool “Emissions from solid waste disposal sites” (tCO2e).</t>
  </si>
  <si>
    <t>MDy,reg</t>
  </si>
  <si>
    <t>Amount of methane that would have to be captured and combusted in the year y to comply with the prevailing regulations (tonne)</t>
  </si>
  <si>
    <t>BECH4,manure,y</t>
  </si>
  <si>
    <t>Where applicable, baseline emissions from manure composted by the project activities, as per the procedures in AMS-III.D (tCO2e)</t>
  </si>
  <si>
    <t>This value should be calculated automatically following the algorithm for III. H.</t>
  </si>
  <si>
    <t>BEww,y</t>
  </si>
  <si>
    <t>Where applicable, baseline emissions from the wastewater cocomposted, calculated as per the procedures in AMS-III.H (tCO2e)</t>
  </si>
  <si>
    <t>GWPCH4</t>
  </si>
  <si>
    <t>Global Warming Potential for CH4 applicable to the crediting period (t CO2e/t CH4)</t>
  </si>
  <si>
    <t>Project Activity Emissions</t>
  </si>
  <si>
    <t>ImpactClaimCheckpoint.efAfter</t>
  </si>
  <si>
    <t>PEy</t>
  </si>
  <si>
    <t>Project emissions from composting process (tCO2e)</t>
  </si>
  <si>
    <t>Leakage</t>
  </si>
  <si>
    <t>LEy</t>
  </si>
  <si>
    <t>Leakage emissions from composting process (tCO2e)</t>
  </si>
  <si>
    <t>Emission Reductions</t>
  </si>
  <si>
    <t xml:space="preserve">Select the case that applies to your project activities: 
Case 1: The construction of new composting facilities or expansion of capacity of existing composting facilities is included in the project activity. 
Case 2: The increase of capacity utilization of existing composting facilities is included in the project activity. </t>
  </si>
  <si>
    <t>Case 1</t>
  </si>
  <si>
    <t>ImpactClaim.quantity</t>
  </si>
  <si>
    <t>ERy</t>
  </si>
  <si>
    <t>Emission reduction in the year y (tCO2e)</t>
  </si>
  <si>
    <t>r</t>
  </si>
  <si>
    <t>Factor r</t>
  </si>
  <si>
    <t>TWCOMy</t>
  </si>
  <si>
    <t>Total quantity of waste composted in year y (tonnes) at the facility</t>
  </si>
  <si>
    <t>WCOMBAU</t>
  </si>
  <si>
    <t>Registered annual amount of waste composted (tonnes) at the facility on a business as usual basis calculated as the highest amount of annual compost production in the last five years prior to the project implementation</t>
  </si>
  <si>
    <t>Document Upload</t>
  </si>
  <si>
    <t>Documents</t>
  </si>
  <si>
    <t>In case of projects involving increase of capacity utilization of existing composting facilities, the historical records of annual amount of waste treated at the facility in the last five years prior to the project implementation and additional information to cross check the historical records (e.g. invoices of compost sales) shall be provided for project activity validation.</t>
  </si>
  <si>
    <t>[Click to Add New Livestock Type to Calculate Baseline Emissions]</t>
  </si>
  <si>
    <t>Partial Equation for Baseline Emissions year y (17a Option)</t>
  </si>
  <si>
    <t>LT</t>
  </si>
  <si>
    <t>Type of livestock</t>
  </si>
  <si>
    <t>Cattle</t>
  </si>
  <si>
    <t>Partial BEy</t>
  </si>
  <si>
    <t>Partial Equation for baseline emissions in year y (t CO2e) (17a option)</t>
  </si>
  <si>
    <t>MCFj</t>
  </si>
  <si>
    <t>Annual methane conversion factor (MCF) for the baseline animal manure management system j</t>
  </si>
  <si>
    <t>𝐵0,𝐿T</t>
  </si>
  <si>
    <t>Maximum methane producing potential of the volatile solid generated for defined animal type (m3 CH4/kg-dm)</t>
  </si>
  <si>
    <t xml:space="preserve">MS%Bl,j </t>
  </si>
  <si>
    <t>Fraction of manure handled in baseline animal manure management system j</t>
  </si>
  <si>
    <t xml:space="preserve">NLT,y </t>
  </si>
  <si>
    <t>Annual average number of animals of type LT in year y (numbers)</t>
  </si>
  <si>
    <t xml:space="preserve">Nda,y </t>
  </si>
  <si>
    <t>Number of days animal is alive in the farm in the year y (numbers)</t>
  </si>
  <si>
    <t xml:space="preserve">Np,y </t>
  </si>
  <si>
    <t>Number of animals produced annually of type LT for the year y (numbers)</t>
  </si>
  <si>
    <t>Do you want to use a default value for "Annual volatile solid excretions for livestock entering all animal waste management systems on a dry matter weight basis" or would you like to adjust the default value?</t>
  </si>
  <si>
    <t>Default Value</t>
  </si>
  <si>
    <t xml:space="preserve">VSLT,y </t>
  </si>
  <si>
    <t>Annual volatile solid excretions for livestock LT entering all animal waste management systems on a dry matter weight basis (kgdm/animal/yr)</t>
  </si>
  <si>
    <t>GELT</t>
  </si>
  <si>
    <t>Daily average gross energy intake (MJ/animal/day)</t>
  </si>
  <si>
    <t xml:space="preserve">DELT </t>
  </si>
  <si>
    <t>Digestible energy of the feed (per cent)</t>
  </si>
  <si>
    <t xml:space="preserve">UE </t>
  </si>
  <si>
    <t>Urinary energy (fraction of GELT)</t>
  </si>
  <si>
    <t xml:space="preserve">ASH </t>
  </si>
  <si>
    <t>Ash content of manure (fraction of the dry matter feed intake)</t>
  </si>
  <si>
    <t>EDLT</t>
  </si>
  <si>
    <t>Energy density of the feed fed to livestock type LT (MJ/kg-dm)</t>
  </si>
  <si>
    <t xml:space="preserve">ndy </t>
  </si>
  <si>
    <t>Number of days treatment plant was operational in year y</t>
  </si>
  <si>
    <t>𝑊𝑠𝑖𝑡e</t>
  </si>
  <si>
    <t>Average animal weight of a defined livestock population at the project site (kg)</t>
  </si>
  <si>
    <t>𝑊𝑑𝑒𝑓𝑎𝑢𝑙t</t>
  </si>
  <si>
    <t>Default average animal weight of a defined population, this data is sourced from IPCC 2006 (kg)</t>
  </si>
  <si>
    <t>𝑉𝑆𝑑𝑒𝑓𝑎𝑢𝑙t</t>
  </si>
  <si>
    <t>Default value for the volatile solid excretion rate per day on a dry-matter basis for a defined livestock population (kg-dm/animal/day)</t>
  </si>
  <si>
    <t>Swine</t>
  </si>
  <si>
    <t>Partial Bey</t>
  </si>
  <si>
    <t>Partial Equation for Baseline Emissions year y (17b Option)</t>
  </si>
  <si>
    <t>Partial Equation for baseline emissions in year y (t CO2e) (17b option)</t>
  </si>
  <si>
    <t>Fraction of manure handled in system i in year y</t>
  </si>
  <si>
    <t>𝑄𝑚𝑎𝑛𝑢𝑟𝑒,𝐿𝑇,𝑦</t>
  </si>
  <si>
    <t>Quantity of manure treated from livestock type LT and animal manure management system j (tonnes/year, dry basis)</t>
  </si>
  <si>
    <t>𝑆𝑉𝑆𝐿𝑇,y</t>
  </si>
  <si>
    <t>Specific volatile solids content of animal manure from livestock type LT and animal manure management system j in year y (tonnes/tonnes, dry basis)</t>
  </si>
  <si>
    <t>Multiple Answers</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</si>
  <si>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</si>
  <si>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</si>
  <si>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</si>
  <si>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</si>
  <si>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</si>
  <si>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</si>
  <si>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</si>
  <si>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</si>
  <si>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</si>
  <si>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</si>
  <si>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</si>
  <si>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</si>
  <si>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</si>
  <si>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</si>
  <si>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</si>
  <si>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</si>
  <si>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</si>
  <si>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</si>
  <si>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</si>
  <si>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</si>
  <si>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</si>
  <si>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</si>
  <si>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</si>
  <si>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</si>
  <si>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</si>
  <si>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</si>
  <si>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</si>
  <si>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</si>
  <si>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</si>
  <si>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</si>
  <si>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</si>
  <si>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</si>
  <si>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</si>
  <si>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</si>
  <si>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</si>
  <si>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 for CH4]</t>
  </si>
  <si>
    <t xml:space="preserve">c </t>
  </si>
  <si>
    <t>Composting cycle for which measurements were undertaken</t>
  </si>
  <si>
    <t>Cycle 1</t>
  </si>
  <si>
    <t>ECCCH4,c</t>
  </si>
  <si>
    <t>Methane emissions from composting during the composting cycle c (t CH4)</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</si>
  <si>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</si>
  <si>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</si>
  <si>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</si>
  <si>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</si>
  <si>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</si>
  <si>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</si>
  <si>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</si>
  <si>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</si>
  <si>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</si>
  <si>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</si>
  <si>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</si>
  <si>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</si>
  <si>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</si>
  <si>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of nitrous oxide (PEN2O,y) Option 1</t>
  </si>
  <si>
    <t>[Click to add composting cycles for which measurements were undertaken for N2O]</t>
  </si>
  <si>
    <t>ECCN2O,c</t>
  </si>
  <si>
    <t>Nitrous oxide emissions from composting during the composting cycle c (t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</si>
  <si>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</si>
  <si>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</si>
  <si>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</si>
  <si>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</si>
  <si>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</si>
  <si>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</si>
  <si>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</si>
  <si>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</si>
  <si>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</si>
  <si>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One</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</si>
  <si>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</si>
  <si>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</si>
  <si>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</si>
  <si>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</si>
  <si>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</si>
  <si>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</si>
  <si>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</si>
  <si>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</si>
  <si>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</si>
  <si>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</si>
  <si>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</si>
  <si>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</si>
  <si>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</si>
  <si>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</si>
  <si>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</si>
  <si>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</si>
  <si>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</si>
  <si>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</si>
  <si>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This is default value and a calculated value.</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</si>
  <si>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</si>
  <si>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</si>
  <si>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</si>
  <si>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</si>
  <si>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</si>
  <si>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</si>
  <si>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</si>
  <si>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</si>
  <si>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</si>
  <si>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</si>
  <si>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</si>
  <si>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</si>
  <si>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</si>
  <si>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</si>
  <si>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 xml:space="preserve">Tool 03: Tool to calculate project or leakage CO2 emissions from fossil fuel combustion </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</si>
  <si>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</si>
  <si>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</si>
  <si>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</si>
  <si>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</si>
  <si>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</si>
  <si>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</si>
  <si>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</si>
  <si>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</si>
  <si>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</si>
  <si>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</si>
  <si>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</si>
  <si>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</si>
  <si>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</si>
  <si>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</si>
  <si>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</si>
  <si>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</si>
  <si>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</si>
  <si>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</si>
  <si>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</si>
  <si>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</si>
  <si>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</si>
  <si>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</si>
  <si>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</si>
  <si>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</si>
  <si>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</si>
  <si>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</si>
  <si>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</si>
  <si>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</si>
  <si>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</si>
  <si>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</si>
  <si>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</si>
  <si>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</si>
  <si>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</si>
  <si>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</si>
  <si>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</si>
  <si>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</si>
  <si>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</si>
  <si>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</si>
  <si>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</si>
  <si>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</si>
  <si>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</si>
  <si>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</si>
  <si>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</si>
  <si>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</si>
  <si>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</si>
  <si>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</si>
  <si>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</si>
  <si>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</si>
  <si>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</si>
  <si>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</si>
  <si>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</si>
  <si>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</si>
  <si>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</si>
  <si>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</si>
  <si>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</si>
  <si>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</si>
  <si>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</si>
  <si>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</si>
  <si>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</si>
  <si>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</si>
  <si>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</si>
  <si>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</si>
  <si>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</si>
  <si>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</si>
  <si>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</si>
  <si>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</si>
  <si>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</si>
  <si>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</si>
  <si>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</si>
  <si>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</si>
  <si>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</si>
  <si>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</si>
  <si>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</si>
  <si>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</si>
  <si>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</si>
  <si>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</si>
  <si>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</si>
  <si>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</si>
  <si>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</si>
  <si>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</si>
  <si>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</si>
  <si>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</si>
  <si>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</si>
  <si>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</si>
  <si>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</si>
  <si>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</si>
  <si>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</si>
  <si>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</si>
  <si>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</si>
  <si>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</si>
  <si>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</si>
  <si>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</si>
  <si>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</si>
  <si>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</si>
  <si>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</si>
  <si>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</si>
  <si>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</si>
  <si>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</si>
  <si>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</si>
  <si>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</si>
  <si>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</si>
  <si>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</si>
  <si>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</si>
  <si>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</si>
  <si>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</si>
  <si>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</si>
  <si>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</si>
  <si>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</si>
  <si>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</si>
  <si>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</si>
  <si>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</si>
  <si>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</si>
  <si>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</si>
  <si>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</si>
  <si>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</si>
  <si>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</si>
  <si>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</si>
  <si>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</si>
  <si>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</si>
  <si>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</si>
  <si>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</si>
  <si>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</si>
  <si>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</si>
  <si>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</si>
  <si>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</si>
  <si>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</si>
  <si>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</si>
  <si>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</si>
  <si>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</si>
  <si>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</si>
  <si>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</si>
  <si>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</si>
  <si>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</si>
  <si>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</si>
  <si>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</si>
  <si>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</si>
  <si>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</si>
  <si>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</si>
  <si>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</si>
  <si>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</si>
  <si>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</si>
  <si>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</si>
  <si>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</si>
  <si>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</si>
  <si>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</si>
  <si>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</si>
  <si>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</si>
  <si>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</si>
  <si>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</si>
  <si>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</si>
  <si>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</si>
  <si>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</si>
  <si>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</si>
  <si>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</si>
  <si>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</si>
  <si>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</si>
  <si>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</si>
  <si>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</si>
  <si>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</si>
  <si>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</si>
  <si>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</si>
  <si>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</si>
  <si>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</si>
  <si>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</si>
  <si>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</si>
  <si>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</si>
  <si>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</si>
  <si>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</si>
  <si>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</si>
  <si>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</si>
  <si>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</si>
  <si>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</si>
  <si>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</si>
  <si>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</si>
  <si>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</si>
  <si>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</si>
  <si>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</si>
  <si>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</si>
  <si>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</si>
  <si>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</si>
  <si>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</si>
  <si>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</si>
  <si>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</si>
  <si>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</si>
  <si>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</si>
  <si>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</si>
  <si>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</si>
  <si>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</si>
  <si>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</si>
  <si>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</si>
  <si>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</si>
  <si>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</si>
  <si>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</si>
  <si>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</si>
  <si>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</si>
  <si>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</si>
  <si>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</si>
  <si>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</si>
  <si>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</si>
  <si>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</si>
  <si>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</si>
  <si>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</si>
  <si>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</si>
  <si>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</si>
  <si>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</si>
  <si>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</si>
  <si>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</si>
  <si>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</si>
  <si>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</si>
  <si>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</si>
  <si>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</si>
  <si>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</si>
  <si>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</si>
  <si>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</si>
  <si>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</si>
  <si>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</si>
  <si>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</si>
  <si>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</si>
  <si>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</si>
  <si>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</si>
  <si>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</si>
  <si>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</si>
  <si>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</si>
  <si>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Required</t>
  </si>
  <si>
    <t xml:space="preserve">Questionnaire </t>
  </si>
  <si>
    <t xml:space="preserve">To which emission category is the tool being applied? </t>
  </si>
  <si>
    <t>Baseline Emissions (BE)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</si>
  <si>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</si>
  <si>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</si>
  <si>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</si>
  <si>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</si>
  <si>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</si>
  <si>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</si>
  <si>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</si>
  <si>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</si>
  <si>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</si>
  <si>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</si>
  <si>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</si>
  <si>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</si>
  <si>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</si>
  <si>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</si>
  <si>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</si>
  <si>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</si>
  <si>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</si>
  <si>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</si>
  <si>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</si>
  <si>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</si>
  <si>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</si>
  <si>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</si>
  <si>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</si>
  <si>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</si>
  <si>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</si>
  <si>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</si>
  <si>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</si>
  <si>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</si>
  <si>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</si>
  <si>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</si>
  <si>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</si>
  <si>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</si>
  <si>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</si>
  <si>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</si>
  <si>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</si>
  <si>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</si>
  <si>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</si>
  <si>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</si>
  <si>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</si>
  <si>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</si>
  <si>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</si>
  <si>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</si>
  <si>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</si>
  <si>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</si>
  <si>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</si>
  <si>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</si>
  <si>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</si>
  <si>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</si>
  <si>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</si>
  <si>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</si>
  <si>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</si>
  <si>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</si>
  <si>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</si>
  <si>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</si>
  <si>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</si>
  <si>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</si>
  <si>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</si>
  <si>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</si>
  <si>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</si>
  <si>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</si>
  <si>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</si>
  <si>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</si>
  <si>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</si>
  <si>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</si>
  <si>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</si>
  <si>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</si>
  <si>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</si>
  <si>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</si>
  <si>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</si>
  <si>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</si>
  <si>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</si>
  <si>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</si>
  <si>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</si>
  <si>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</si>
  <si>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</si>
  <si>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</si>
  <si>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</si>
  <si>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</si>
  <si>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</si>
  <si>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</si>
  <si>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</si>
  <si>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</si>
  <si>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</si>
  <si>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</si>
  <si>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</si>
  <si>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</si>
  <si>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</si>
  <si>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</si>
  <si>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</si>
  <si>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</si>
  <si>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</si>
  <si>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</si>
  <si>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</si>
  <si>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</si>
  <si>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</si>
  <si>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</si>
  <si>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</si>
  <si>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</si>
  <si>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Global Warming Potential of methane</t>
  </si>
  <si>
    <t>Fixed Default</t>
  </si>
  <si>
    <t>𝑂X</t>
  </si>
  <si>
    <t>Oxidation factor (reflecting the amount of methane from SWDS that is oxidized in the soil or other material covering the waste)</t>
  </si>
  <si>
    <t>𝑀𝐶𝐹𝑦</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</si>
  <si>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</si>
  <si>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</si>
  <si>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</si>
  <si>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</si>
  <si>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</si>
  <si>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</si>
  <si>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</si>
  <si>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</si>
  <si>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</si>
  <si>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</si>
  <si>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</si>
  <si>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</si>
  <si>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</si>
  <si>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</si>
  <si>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</si>
  <si>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</si>
  <si>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</si>
  <si>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</si>
  <si>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</si>
  <si>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</si>
  <si>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</si>
  <si>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</si>
  <si>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</si>
  <si>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</si>
  <si>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</si>
  <si>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</si>
  <si>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</si>
  <si>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</si>
  <si>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</si>
  <si>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</si>
  <si>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</si>
  <si>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</si>
  <si>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</si>
  <si>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</si>
  <si>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</si>
  <si>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</si>
  <si>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</si>
  <si>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</si>
  <si>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</si>
  <si>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</si>
  <si>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</si>
  <si>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</si>
  <si>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</si>
  <si>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</si>
  <si>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</si>
  <si>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</si>
  <si>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</si>
  <si>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</si>
  <si>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</si>
  <si>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</si>
  <si>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</si>
  <si>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</si>
  <si>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</si>
  <si>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</si>
  <si>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</si>
  <si>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</si>
  <si>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</si>
  <si>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</si>
  <si>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</si>
  <si>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</si>
  <si>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</si>
  <si>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</si>
  <si>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</si>
  <si>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</si>
  <si>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</si>
  <si>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</si>
  <si>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</si>
  <si>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</si>
  <si>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</si>
  <si>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</si>
  <si>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</si>
  <si>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</si>
  <si>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</si>
  <si>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</si>
  <si>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</si>
  <si>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</si>
  <si>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</si>
  <si>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</si>
  <si>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</si>
  <si>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</si>
  <si>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</si>
  <si>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</si>
  <si>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</si>
  <si>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</si>
  <si>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</si>
  <si>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</si>
  <si>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</si>
  <si>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</si>
  <si>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</si>
  <si>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</si>
  <si>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</si>
  <si>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</si>
  <si>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</si>
  <si>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</si>
  <si>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</si>
  <si>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</si>
  <si>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</si>
  <si>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</si>
  <si>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</si>
  <si>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</si>
  <si>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</si>
  <si>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</si>
  <si>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</si>
  <si>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</si>
  <si>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</si>
  <si>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</si>
  <si>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</si>
  <si>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</si>
  <si>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</si>
  <si>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</si>
  <si>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</si>
  <si>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</si>
  <si>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</si>
  <si>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</si>
  <si>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</si>
  <si>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</si>
  <si>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</si>
  <si>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</si>
  <si>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</si>
  <si>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</si>
  <si>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</si>
  <si>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</si>
  <si>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</si>
  <si>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</si>
  <si>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</si>
  <si>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</si>
  <si>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</si>
  <si>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</si>
  <si>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</si>
  <si>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</si>
  <si>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</si>
  <si>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</si>
  <si>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</si>
  <si>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</si>
  <si>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</si>
  <si>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</si>
  <si>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</si>
  <si>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</si>
  <si>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</si>
  <si>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</si>
  <si>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</si>
  <si>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</si>
  <si>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</si>
  <si>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</si>
  <si>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</si>
  <si>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</si>
  <si>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</si>
  <si>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</si>
  <si>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</si>
  <si>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</si>
  <si>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</si>
  <si>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</si>
  <si>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</si>
  <si>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</si>
  <si>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</si>
  <si>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</si>
  <si>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</si>
  <si>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</si>
  <si>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</si>
  <si>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</si>
  <si>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</si>
  <si>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</si>
  <si>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</si>
  <si>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</si>
  <si>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</si>
  <si>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</si>
  <si>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</si>
  <si>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</si>
  <si>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</si>
  <si>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</si>
  <si>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</si>
  <si>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</si>
  <si>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</si>
  <si>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</si>
  <si>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</si>
  <si>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</si>
  <si>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</si>
  <si>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</si>
  <si>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</si>
  <si>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</si>
  <si>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</si>
  <si>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</si>
  <si>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</si>
  <si>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</si>
  <si>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</si>
  <si>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</si>
  <si>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</si>
  <si>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</si>
  <si>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</si>
  <si>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</si>
  <si>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</si>
  <si>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</si>
  <si>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</si>
  <si>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</si>
  <si>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</si>
  <si>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</si>
  <si>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</si>
  <si>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</si>
  <si>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</si>
  <si>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</si>
  <si>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</si>
  <si>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</si>
  <si>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</si>
  <si>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</si>
  <si>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</si>
  <si>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</si>
  <si>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</si>
  <si>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</si>
  <si>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</si>
  <si>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</si>
  <si>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</si>
  <si>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</si>
  <si>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</si>
  <si>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</si>
  <si>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</si>
  <si>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</si>
  <si>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</si>
  <si>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</si>
  <si>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</si>
  <si>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</si>
  <si>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</si>
  <si>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</si>
  <si>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</si>
  <si>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</si>
  <si>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</si>
  <si>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</si>
  <si>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</si>
  <si>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</si>
  <si>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</si>
  <si>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</si>
  <si>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</si>
  <si>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</si>
  <si>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</si>
  <si>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</si>
  <si>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</si>
  <si>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</si>
  <si>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</si>
  <si>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</si>
  <si>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</si>
  <si>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</si>
  <si>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</si>
  <si>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</si>
  <si>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</si>
  <si>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</si>
  <si>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</si>
  <si>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</si>
  <si>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</si>
  <si>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</si>
  <si>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</si>
  <si>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</si>
  <si>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</si>
  <si>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</si>
  <si>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</si>
  <si>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</si>
  <si>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</si>
  <si>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</si>
  <si>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</si>
  <si>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</si>
  <si>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</si>
  <si>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</si>
  <si>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</si>
  <si>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</si>
  <si>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</si>
  <si>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</si>
  <si>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</si>
  <si>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</si>
  <si>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</si>
  <si>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</si>
  <si>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</si>
  <si>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</si>
  <si>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</si>
  <si>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</si>
  <si>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</si>
  <si>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</si>
  <si>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</si>
  <si>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</si>
  <si>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</si>
  <si>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</si>
  <si>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</si>
  <si>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</si>
  <si>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</si>
  <si>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</si>
  <si>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</si>
  <si>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</si>
  <si>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</si>
  <si>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</si>
  <si>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</si>
  <si>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</si>
  <si>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</si>
  <si>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</si>
  <si>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</si>
  <si>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</si>
  <si>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</si>
  <si>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</si>
  <si>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</si>
  <si>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</si>
  <si>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</si>
  <si>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</si>
  <si>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</si>
  <si>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</si>
  <si>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</si>
  <si>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</si>
  <si>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</si>
  <si>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</si>
  <si>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</si>
  <si>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</si>
  <si>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</si>
  <si>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</si>
  <si>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</si>
  <si>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</si>
  <si>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</si>
  <si>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</si>
  <si>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</si>
  <si>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</si>
  <si>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</si>
  <si>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</si>
  <si>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</si>
  <si>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</si>
  <si>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</si>
  <si>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</si>
  <si>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</si>
  <si>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</si>
  <si>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</si>
  <si>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</si>
  <si>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</si>
  <si>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</si>
  <si>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</si>
  <si>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</si>
  <si>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</si>
  <si>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</si>
  <si>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</si>
  <si>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</si>
  <si>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</si>
  <si>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</si>
  <si>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</si>
  <si>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</si>
  <si>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</si>
  <si>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</si>
  <si>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</si>
  <si>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</si>
  <si>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</si>
  <si>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</si>
  <si>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</si>
  <si>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</si>
  <si>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</si>
  <si>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</si>
  <si>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</si>
  <si>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</si>
  <si>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</si>
  <si>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</si>
  <si>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</si>
  <si>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</si>
  <si>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</si>
  <si>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</si>
  <si>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</si>
  <si>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</si>
  <si>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</si>
  <si>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</si>
  <si>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</si>
  <si>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</si>
  <si>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</si>
  <si>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</si>
  <si>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</si>
  <si>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</si>
  <si>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</si>
  <si>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</si>
  <si>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</si>
  <si>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</si>
  <si>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</si>
  <si>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</si>
  <si>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</si>
  <si>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</si>
  <si>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</si>
  <si>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</si>
  <si>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</si>
  <si>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</si>
  <si>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</si>
  <si>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</si>
  <si>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</si>
  <si>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</si>
  <si>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</si>
  <si>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</si>
  <si>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</si>
  <si>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</si>
  <si>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</si>
  <si>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</si>
  <si>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</si>
  <si>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</si>
  <si>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</si>
  <si>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</si>
  <si>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</si>
  <si>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</si>
  <si>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</si>
  <si>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</si>
  <si>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</si>
  <si>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</si>
  <si>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</si>
  <si>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</si>
  <si>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</si>
  <si>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</si>
  <si>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</si>
  <si>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</si>
  <si>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</si>
  <si>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</si>
  <si>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</si>
  <si>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</si>
  <si>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</si>
  <si>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</si>
  <si>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</si>
  <si>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</si>
  <si>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</si>
  <si>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</si>
  <si>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</si>
  <si>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</si>
  <si>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</si>
  <si>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</si>
  <si>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</si>
  <si>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QualityStandard.methodologyAndTools</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</si>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</sst>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b/>
      <sz val="14"/>
      <color theme="1"/>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sz val="20"/>
      <color theme="1"/>
      <name val="Calibri"/>
      <family val="2"/>
      <scheme val="minor"/>
    </font>
    <font>
      <vertAlign val="subscript"/>
      <sz val="20"/>
      <color theme="1"/>
      <name val="Calibri"/>
      <family val="2"/>
      <scheme val="minor"/>
    </font>
    <font>
      <b/>
      <u/>
      <sz val="11"/>
      <color theme="1"/>
      <name val="Calibri"/>
      <family val="2"/>
      <scheme val="minor"/>
    </font>
    <font>
      <b/>
      <sz val="11"/>
      <color rgb="FF000000"/>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
      <vertAlign val="superscript"/>
      <sz val="11"/>
      <color theme="1"/>
      <name val="Calibri"/>
      <family val="2"/>
      <scheme val="minor"/>
    </font>
    <font>
      <b/>
      <i/>
      <sz val="11"/>
      <color theme="1"/>
      <name val="Calibri"/>
      <family val="2"/>
      <scheme val="minor"/>
    </font>
    <font>
      <i/>
      <sz val="11"/>
      <color theme="1"/>
      <name val="Calibri"/>
      <family val="2"/>
      <scheme val="minor"/>
    </font>
    <font>
      <sz val="11"/>
      <color rgb="FF92D050"/>
      <name val="Calibri"/>
      <family val="2"/>
      <scheme val="minor"/>
    </font>
    <font>
      <sz val="14"/>
      <color rgb="FF000000"/>
      <name val="Calibri"/>
      <family val="2"/>
      <scheme val="minor"/>
    </font>
    <font>
      <sz val="11"/>
      <color theme="9"/>
      <name val="Calibri"/>
      <family val="2"/>
      <scheme val="minor"/>
    </font>
    <font>
      <sz val="11"/>
      <name val="Calibri"/>
      <family val="2"/>
      <scheme val="minor"/>
    </font>
  </fonts>
  <fills count="11">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bgColor indexed="64"/>
      </patternFill>
    </fill>
  </fills>
  <borders count="19">
    <border>
      <left/>
      <right/>
      <top/>
      <bottom/>
      <diagonal/>
    </border>
    <border>
      <left/>
      <right/>
      <top/>
      <bottom style="medium">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3" fontId="1" fillId="0" borderId="0" applyFont="0" applyFill="0" applyBorder="0" applyAlignment="0" applyProtection="0"/>
  </cellStyleXfs>
  <cellXfs count="126">
    <xf numFmtId="0" fontId="0" fillId="0" borderId="0" xfId="0"/>
    <xf numFmtId="0" fontId="4" fillId="0" borderId="0" xfId="0" applyFont="1" applyAlignment="1">
      <alignment horizontal="left"/>
    </xf>
    <xf numFmtId="0" fontId="5" fillId="0" borderId="0" xfId="0" applyFont="1"/>
    <xf numFmtId="0" fontId="5"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3" fillId="0" borderId="0" xfId="1" applyAlignment="1">
      <alignment horizontal="left"/>
    </xf>
    <xf numFmtId="0" fontId="4"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center" wrapText="1"/>
    </xf>
    <xf numFmtId="0" fontId="0" fillId="0" borderId="0" xfId="0" applyAlignment="1">
      <alignment wrapText="1"/>
    </xf>
    <xf numFmtId="0" fontId="4" fillId="0" borderId="0" xfId="0" applyFont="1" applyAlignment="1">
      <alignment wrapText="1"/>
    </xf>
    <xf numFmtId="0" fontId="5" fillId="3" borderId="0" xfId="0" applyFont="1" applyFill="1" applyAlignment="1">
      <alignment wrapText="1"/>
    </xf>
    <xf numFmtId="0" fontId="4" fillId="3" borderId="0" xfId="0" applyFont="1" applyFill="1" applyAlignment="1">
      <alignment wrapText="1"/>
    </xf>
    <xf numFmtId="0" fontId="5" fillId="3" borderId="0" xfId="0" applyFont="1" applyFill="1" applyAlignment="1">
      <alignment horizontal="left" wrapText="1"/>
    </xf>
    <xf numFmtId="0" fontId="0" fillId="3" borderId="0" xfId="0" applyFill="1"/>
    <xf numFmtId="0" fontId="5" fillId="3" borderId="0" xfId="0" applyFont="1" applyFill="1" applyAlignment="1">
      <alignment horizontal="right"/>
    </xf>
    <xf numFmtId="0" fontId="4" fillId="3" borderId="0" xfId="0" applyFont="1" applyFill="1" applyAlignment="1">
      <alignment horizontal="left" wrapText="1"/>
    </xf>
    <xf numFmtId="0" fontId="0" fillId="3" borderId="0" xfId="0" applyFill="1" applyAlignment="1">
      <alignment wrapText="1"/>
    </xf>
    <xf numFmtId="0" fontId="0" fillId="0" borderId="0" xfId="0" applyAlignment="1">
      <alignment horizontal="right"/>
    </xf>
    <xf numFmtId="0" fontId="0" fillId="3" borderId="0" xfId="0" applyFill="1" applyAlignment="1">
      <alignment horizontal="right"/>
    </xf>
    <xf numFmtId="0" fontId="6" fillId="0" borderId="0" xfId="0" applyFont="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xf>
    <xf numFmtId="0" fontId="0" fillId="0" borderId="4" xfId="0" applyBorder="1" applyAlignment="1">
      <alignment wrapText="1"/>
    </xf>
    <xf numFmtId="0" fontId="0" fillId="0" borderId="5" xfId="0" applyBorder="1"/>
    <xf numFmtId="0" fontId="0" fillId="0" borderId="6" xfId="0" applyBorder="1"/>
    <xf numFmtId="0" fontId="0" fillId="0" borderId="7" xfId="0" applyBorder="1"/>
    <xf numFmtId="0" fontId="0" fillId="0" borderId="6" xfId="0" applyBorder="1" applyAlignment="1">
      <alignment wrapText="1"/>
    </xf>
    <xf numFmtId="0" fontId="0" fillId="0" borderId="8" xfId="0" applyBorder="1"/>
    <xf numFmtId="0" fontId="0" fillId="0" borderId="9" xfId="0" applyBorder="1"/>
    <xf numFmtId="0" fontId="8" fillId="3" borderId="0" xfId="0" applyFont="1"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left"/>
    </xf>
    <xf numFmtId="0" fontId="10" fillId="0" borderId="0" xfId="0" applyFont="1"/>
    <xf numFmtId="0" fontId="0" fillId="0" borderId="0" xfId="0" applyAlignment="1">
      <alignment horizontal="left" vertical="center" wrapText="1"/>
    </xf>
    <xf numFmtId="0" fontId="0" fillId="5" borderId="0" xfId="0" applyFill="1"/>
    <xf numFmtId="0" fontId="0" fillId="5" borderId="0" xfId="0" applyFill="1" applyAlignment="1">
      <alignment horizontal="left" vertical="center" wrapText="1"/>
    </xf>
    <xf numFmtId="0" fontId="0" fillId="5" borderId="0" xfId="0" applyFill="1" applyAlignment="1">
      <alignment wrapText="1"/>
    </xf>
    <xf numFmtId="0" fontId="10" fillId="3"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left"/>
    </xf>
    <xf numFmtId="0" fontId="10" fillId="3" borderId="0" xfId="0" applyFont="1" applyFill="1"/>
    <xf numFmtId="0" fontId="0" fillId="3"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14" fillId="5" borderId="0" xfId="0" applyFont="1" applyFill="1" applyAlignment="1">
      <alignment horizontal="left" vertical="center"/>
    </xf>
    <xf numFmtId="0" fontId="14" fillId="5" borderId="0" xfId="0" applyFont="1" applyFill="1" applyAlignment="1">
      <alignment horizontal="left" vertical="center" wrapText="1"/>
    </xf>
    <xf numFmtId="0" fontId="15" fillId="5" borderId="0" xfId="0" applyFont="1" applyFill="1" applyAlignment="1">
      <alignment wrapText="1"/>
    </xf>
    <xf numFmtId="0" fontId="14" fillId="0" borderId="0" xfId="0" applyFont="1"/>
    <xf numFmtId="0" fontId="14" fillId="3" borderId="0" xfId="0" applyFont="1" applyFill="1"/>
    <xf numFmtId="0" fontId="10" fillId="0" borderId="0" xfId="0" applyFont="1" applyAlignment="1">
      <alignment horizontal="center"/>
    </xf>
    <xf numFmtId="0" fontId="0" fillId="5" borderId="0" xfId="0" applyFill="1" applyAlignment="1">
      <alignment vertical="center" wrapText="1"/>
    </xf>
    <xf numFmtId="0" fontId="0" fillId="5" borderId="0" xfId="0" applyFill="1" applyAlignment="1">
      <alignment vertical="center"/>
    </xf>
    <xf numFmtId="0" fontId="17" fillId="3" borderId="0" xfId="0" applyFont="1" applyFill="1" applyAlignment="1">
      <alignment vertical="center"/>
    </xf>
    <xf numFmtId="0" fontId="0" fillId="3" borderId="0" xfId="0" applyFill="1" applyAlignment="1">
      <alignment horizontal="left" wrapText="1"/>
    </xf>
    <xf numFmtId="0" fontId="0" fillId="3" borderId="0" xfId="0" applyFill="1" applyAlignment="1">
      <alignment vertical="center"/>
    </xf>
    <xf numFmtId="0" fontId="20" fillId="0" borderId="0" xfId="0" applyFont="1" applyAlignment="1">
      <alignment horizontal="left"/>
    </xf>
    <xf numFmtId="0" fontId="0" fillId="5" borderId="0" xfId="0" applyFill="1" applyAlignment="1">
      <alignment horizontal="left" wrapText="1"/>
    </xf>
    <xf numFmtId="0" fontId="21" fillId="3" borderId="0" xfId="0" applyFont="1" applyFill="1" applyAlignment="1">
      <alignment vertical="center"/>
    </xf>
    <xf numFmtId="0" fontId="21" fillId="0" borderId="0" xfId="0" applyFont="1" applyAlignment="1">
      <alignment vertical="center"/>
    </xf>
    <xf numFmtId="0" fontId="23" fillId="0" borderId="12" xfId="0" applyFont="1" applyBorder="1" applyAlignment="1">
      <alignment horizontal="center"/>
    </xf>
    <xf numFmtId="0" fontId="23" fillId="0" borderId="12" xfId="0" applyFont="1" applyBorder="1" applyAlignment="1">
      <alignment horizontal="center" wrapText="1"/>
    </xf>
    <xf numFmtId="0" fontId="0" fillId="0" borderId="13" xfId="0" applyBorder="1"/>
    <xf numFmtId="0" fontId="0" fillId="0" borderId="14" xfId="0" applyBorder="1"/>
    <xf numFmtId="164" fontId="0" fillId="0" borderId="15" xfId="2" applyNumberFormat="1" applyFont="1" applyBorder="1"/>
    <xf numFmtId="0" fontId="0" fillId="0" borderId="16" xfId="0" applyBorder="1"/>
    <xf numFmtId="164" fontId="0" fillId="0" borderId="7" xfId="2" applyNumberFormat="1" applyFont="1" applyBorder="1"/>
    <xf numFmtId="0" fontId="0" fillId="0" borderId="17" xfId="0" applyBorder="1"/>
    <xf numFmtId="164" fontId="0" fillId="0" borderId="9" xfId="2" applyNumberFormat="1" applyFont="1" applyBorder="1"/>
    <xf numFmtId="0" fontId="0" fillId="8" borderId="0" xfId="0" applyFill="1"/>
    <xf numFmtId="0" fontId="2" fillId="0" borderId="0" xfId="0" applyFont="1" applyAlignment="1">
      <alignment horizontal="center"/>
    </xf>
    <xf numFmtId="9" fontId="0" fillId="3" borderId="0" xfId="0" applyNumberFormat="1" applyFill="1"/>
    <xf numFmtId="0" fontId="2" fillId="0" borderId="0" xfId="0" applyFont="1" applyAlignment="1">
      <alignment horizontal="center" wrapText="1"/>
    </xf>
    <xf numFmtId="0" fontId="7" fillId="8" borderId="0" xfId="0" applyFont="1" applyFill="1"/>
    <xf numFmtId="0" fontId="0" fillId="3" borderId="2" xfId="0" applyFill="1" applyBorder="1"/>
    <xf numFmtId="0" fontId="25" fillId="0" borderId="0" xfId="0" applyFont="1" applyAlignment="1">
      <alignment horizontal="center"/>
    </xf>
    <xf numFmtId="0" fontId="2" fillId="0" borderId="0" xfId="0" applyFont="1"/>
    <xf numFmtId="0" fontId="25" fillId="0" borderId="0" xfId="0" applyFont="1"/>
    <xf numFmtId="0" fontId="26" fillId="0" borderId="0" xfId="0" applyFont="1"/>
    <xf numFmtId="14" fontId="5" fillId="0" borderId="0" xfId="0" applyNumberFormat="1" applyFont="1" applyAlignment="1">
      <alignment horizontal="left" wrapText="1"/>
    </xf>
    <xf numFmtId="0" fontId="5" fillId="5" borderId="0" xfId="0" applyFont="1" applyFill="1" applyAlignment="1">
      <alignment horizontal="left"/>
    </xf>
    <xf numFmtId="0" fontId="0" fillId="5" borderId="0" xfId="0" applyFill="1" applyAlignment="1">
      <alignment horizontal="right"/>
    </xf>
    <xf numFmtId="0" fontId="2" fillId="0" borderId="16" xfId="0" applyFont="1" applyBorder="1" applyAlignment="1">
      <alignment horizontal="center" vertical="top"/>
    </xf>
    <xf numFmtId="0" fontId="2" fillId="0" borderId="18" xfId="0" applyFont="1" applyBorder="1" applyAlignment="1">
      <alignment horizontal="center" vertical="top" wrapText="1"/>
    </xf>
    <xf numFmtId="0" fontId="0" fillId="9" borderId="0" xfId="0" applyFill="1"/>
    <xf numFmtId="0" fontId="5" fillId="0" borderId="0" xfId="0" applyFont="1" applyAlignment="1">
      <alignment wrapText="1"/>
    </xf>
    <xf numFmtId="0" fontId="5" fillId="3" borderId="0" xfId="0" applyFont="1" applyFill="1"/>
    <xf numFmtId="0" fontId="0" fillId="10" borderId="0" xfId="0" applyFill="1"/>
    <xf numFmtId="0" fontId="0" fillId="10" borderId="0" xfId="0" applyFill="1" applyAlignment="1">
      <alignment wrapText="1"/>
    </xf>
    <xf numFmtId="0" fontId="0" fillId="10" borderId="0" xfId="0" applyFill="1" applyAlignment="1">
      <alignment horizontal="left" wrapText="1"/>
    </xf>
    <xf numFmtId="0" fontId="27" fillId="0" borderId="0" xfId="0" applyFont="1"/>
    <xf numFmtId="0" fontId="4" fillId="0" borderId="0" xfId="0" applyFont="1"/>
    <xf numFmtId="0" fontId="4" fillId="6" borderId="0" xfId="0" applyFont="1" applyFill="1" applyAlignment="1">
      <alignment horizontal="left"/>
    </xf>
    <xf numFmtId="0" fontId="28" fillId="6" borderId="0" xfId="0" applyFont="1" applyFill="1" applyAlignment="1">
      <alignment horizontal="left"/>
    </xf>
    <xf numFmtId="0" fontId="0" fillId="6" borderId="0" xfId="0" applyFill="1"/>
    <xf numFmtId="0" fontId="0" fillId="5" borderId="0" xfId="0" applyFill="1" applyAlignment="1">
      <alignment horizontal="left"/>
    </xf>
    <xf numFmtId="0" fontId="5" fillId="5" borderId="0" xfId="0" applyFont="1" applyFill="1"/>
    <xf numFmtId="0" fontId="5" fillId="5" borderId="0" xfId="0" applyFont="1" applyFill="1" applyAlignment="1">
      <alignment horizontal="left" wrapText="1"/>
    </xf>
    <xf numFmtId="0" fontId="4" fillId="2" borderId="0" xfId="0" applyFont="1" applyFill="1" applyAlignment="1">
      <alignment horizontal="left"/>
    </xf>
    <xf numFmtId="0" fontId="28" fillId="2" borderId="0" xfId="0" applyFont="1" applyFill="1" applyAlignment="1">
      <alignment horizontal="left"/>
    </xf>
    <xf numFmtId="0" fontId="5" fillId="2" borderId="0" xfId="0" applyFont="1" applyFill="1"/>
    <xf numFmtId="0" fontId="5" fillId="3" borderId="0" xfId="0" applyFont="1" applyFill="1" applyAlignment="1">
      <alignment horizontal="left"/>
    </xf>
    <xf numFmtId="0" fontId="28" fillId="2" borderId="0" xfId="0" applyFont="1" applyFill="1" applyAlignment="1">
      <alignment horizontal="right"/>
    </xf>
    <xf numFmtId="0" fontId="5" fillId="5" borderId="0" xfId="0" applyFont="1" applyFill="1" applyAlignment="1">
      <alignment horizontal="right" wrapText="1"/>
    </xf>
    <xf numFmtId="0" fontId="29" fillId="0" borderId="0" xfId="0" applyFont="1"/>
    <xf numFmtId="0" fontId="30" fillId="0" borderId="0" xfId="0" applyFont="1"/>
    <xf numFmtId="0" fontId="30" fillId="0" borderId="0" xfId="0" applyFont="1" applyAlignment="1">
      <alignment horizontal="left" wrapText="1"/>
    </xf>
    <xf numFmtId="0" fontId="30" fillId="0" borderId="0" xfId="0" applyFont="1" applyAlignment="1">
      <alignment horizontal="right"/>
    </xf>
    <xf numFmtId="0" fontId="30" fillId="0" borderId="0" xfId="0" applyFont="1" applyAlignment="1">
      <alignment horizontal="left"/>
    </xf>
    <xf numFmtId="0" fontId="30" fillId="5" borderId="0" xfId="0" applyFont="1" applyFill="1"/>
    <xf numFmtId="0" fontId="30" fillId="5" borderId="0" xfId="0" applyFont="1" applyFill="1" applyAlignment="1">
      <alignment horizontal="left" wrapText="1"/>
    </xf>
    <xf numFmtId="0" fontId="30" fillId="5" borderId="0" xfId="0" applyFont="1" applyFill="1" applyAlignment="1">
      <alignment horizontal="right"/>
    </xf>
    <xf numFmtId="0" fontId="4" fillId="2" borderId="0" xfId="0" applyFont="1" applyFill="1" applyAlignment="1">
      <alignment horizontal="center"/>
    </xf>
    <xf numFmtId="0" fontId="6" fillId="2" borderId="0" xfId="0" applyFont="1" applyFill="1" applyAlignment="1">
      <alignment horizontal="center" vertical="center" wrapText="1"/>
    </xf>
    <xf numFmtId="0" fontId="6" fillId="4"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6" fillId="6" borderId="0" xfId="0" applyFont="1" applyFill="1" applyAlignment="1">
      <alignment horizontal="center"/>
    </xf>
    <xf numFmtId="0" fontId="6" fillId="7" borderId="0" xfId="0" applyFont="1" applyFill="1" applyAlignment="1">
      <alignment horizontal="center"/>
    </xf>
    <xf numFmtId="0" fontId="6" fillId="7" borderId="0" xfId="0" applyFont="1" applyFill="1" applyAlignment="1">
      <alignment horizontal="center" vertical="center"/>
    </xf>
    <xf numFmtId="0" fontId="6" fillId="6" borderId="0" xfId="0" applyFont="1" applyFill="1" applyAlignment="1">
      <alignment horizontal="center" vertical="center"/>
    </xf>
    <xf numFmtId="0" fontId="4" fillId="6" borderId="0" xfId="0" applyFont="1" applyFill="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3" xfId="0" applyFont="1" applyBorder="1" applyAlignment="1">
      <alignment horizontal="center"/>
    </xf>
    <xf numFmtId="0" fontId="5" fillId="5" borderId="0" xfId="0" applyFont="1" applyFill="1" applyAlignment="1">
      <alignment wrapText="1"/>
    </xf>
  </cellXfs>
  <cellStyles count="3">
    <cellStyle name="Comma 2" xfId="2" xr:uid="{00256EF3-20AA-42F7-A6FF-A1C7D48D521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x Pinnola" id="{D510BBE3-F3A6-41BF-A847-47DBCC1CB1E7}" userId="6071b2e426a8e48f" providerId="Windows Live"/>
  <person displayName="Jailine Molina" id="{E7AD2465-55E2-48D5-B8CD-F78DDADBF51D}" userId="f3e4387646bbb898" providerId="Windows Live"/>
  <person displayName="Jailine Molina" id="{55555B3A-C984-4610-8199-071CDE22A689}"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8-02T16:15:50.59" personId="{55555B3A-C984-4610-8199-071CDE22A689}" id="{443A775C-CB4A-4C7A-81BD-8068D81D1733}">
    <text>Eq 1</text>
  </threadedComment>
  <threadedComment ref="G37" dT="2023-08-02T16:15:50.59" personId="{55555B3A-C984-4610-8199-071CDE22A689}" id="{1FB97FF0-F714-4198-819F-88244E228BFD}">
    <text>Eq 1</text>
  </threadedComment>
  <threadedComment ref="G42" dT="2023-08-02T16:15:50.59" personId="{55555B3A-C984-4610-8199-071CDE22A689}" id="{F6A726EA-AC0C-4FD9-AE5C-B4E365490037}">
    <text>Eq 5</text>
  </threadedComment>
  <threadedComment ref="G69" dT="2023-10-03T16:01:44.89" personId="{E7AD2465-55E2-48D5-B8CD-F78DDADBF51D}" id="{3E4894A1-28C8-4FF7-80E9-4AC2C4B352E5}">
    <text>Eq 1</text>
  </threadedComment>
  <threadedComment ref="G76" dT="2023-10-03T16:03:43.32" personId="{E7AD2465-55E2-48D5-B8CD-F78DDADBF51D}" id="{89FDE336-0F7C-4329-8EED-22552D80315E}">
    <text>From Tool 13</text>
  </threadedComment>
  <threadedComment ref="G78" dT="2023-10-03T16:04:55.82" personId="{E7AD2465-55E2-48D5-B8CD-F78DDADBF51D}" id="{7054BFB7-3CCC-4D12-AB28-135169724DA6}">
    <text>Tool 13</text>
  </threadedComment>
  <threadedComment ref="G81" dT="2023-10-03T16:06:55.45" personId="{E7AD2465-55E2-48D5-B8CD-F78DDADBF51D}" id="{BC4E3F4B-13D3-4765-B892-F73E89B83C23}">
    <text>Eq 2</text>
  </threadedComment>
  <threadedComment ref="G82" dT="2023-10-03T16:17:02.30" personId="{55555B3A-C984-4610-8199-071CDE22A689}" id="{45F26EC6-37C3-44B0-8A4C-DF8673463FD9}">
    <text>Eq 4</text>
  </threadedComment>
</ThreadedComments>
</file>

<file path=xl/threadedComments/threadedComment2.xml><?xml version="1.0" encoding="utf-8"?>
<ThreadedComments xmlns="http://schemas.microsoft.com/office/spreadsheetml/2018/threadedcomments" xmlns:x="http://schemas.openxmlformats.org/spreadsheetml/2006/main">
  <threadedComment ref="D9" dT="2023-08-02T16:17:38.02" personId="{55555B3A-C984-4610-8199-071CDE22A689}" id="{28C78F5C-655D-4709-9A84-87CEDE9FE7BA}">
    <text>Eq 4</text>
  </threadedComment>
  <threadedComment ref="D13" dT="2023-08-02T16:16:00.60" personId="{55555B3A-C984-4610-8199-071CDE22A689}" id="{AA50BC0C-C768-429F-9E23-A65D60E7DA13}">
    <text>Eq 2 &amp; 3</text>
  </threadedComment>
  <threadedComment ref="D13" dT="2023-08-03T15:04:52.91" personId="{55555B3A-C984-4610-8199-071CDE22A689}" id="{6675837E-04F9-475A-AB50-0474A6EF1683}" parentId="{AA50BC0C-C768-429F-9E23-A65D60E7DA13}">
    <text>Default option &amp; Adjusted Default</text>
  </threadedComment>
  <threadedComment ref="D13" dT="2023-08-03T15:06:08.73" personId="{55555B3A-C984-4610-8199-071CDE22A689}" id="{D7D5B5F6-F908-4E12-8414-BA233583074F}" parentId="{AA50BC0C-C768-429F-9E23-A65D60E7DA13}">
    <text>PP should be able to choose if they want to use the default value (eq 2) or if they want to adjust the default value (eq 3)</text>
  </threadedComment>
  <threadedComment ref="D29" dT="2023-08-02T16:17:38.02" personId="{55555B3A-C984-4610-8199-071CDE22A689}" id="{FCDBF84E-9241-43A0-813D-92DB940AE162}">
    <text>Eq 4</text>
  </threadedComment>
  <threadedComment ref="D33" dT="2023-08-02T16:16:00.60" personId="{55555B3A-C984-4610-8199-071CDE22A689}" id="{ABC8DEEC-C19E-460C-A95B-0496DF6AAA7E}">
    <text>Eq 2</text>
  </threadedComment>
  <threadedComment ref="D33" dT="2023-08-03T15:04:52.91" personId="{55555B3A-C984-4610-8199-071CDE22A689}" id="{6687343F-32BC-4BBE-A573-129B014F8B89}" parentId="{ABC8DEEC-C19E-460C-A95B-0496DF6AAA7E}">
    <text>Default option</text>
  </threadedComment>
  <threadedComment ref="D33" dT="2023-08-03T15:06:08.73" personId="{55555B3A-C984-4610-8199-071CDE22A689}" id="{0F57B8F1-D41D-4D9E-8BA9-55CEE5427EF5}" parentId="{ABC8DEEC-C19E-460C-A95B-0496DF6AAA7E}">
    <text>PP should be able to choose if they want to use the default value (eq 2) or if they want to adjust the default value (eq 3)</text>
  </threadedComment>
</ThreadedComments>
</file>

<file path=xl/threadedComments/threadedComment3.xml><?xml version="1.0" encoding="utf-8"?>
<ThreadedComments xmlns="http://schemas.microsoft.com/office/spreadsheetml/2018/threadedcomments" xmlns:x="http://schemas.openxmlformats.org/spreadsheetml/2006/main">
  <threadedComment ref="F9" dT="2023-10-02T17:56:34.11" personId="{55555B3A-C984-4610-8199-071CDE22A689}" id="{1FA19FA1-B104-4577-A815-9CB994B6E80E}">
    <text>Eq 2</text>
  </threadedComment>
  <threadedComment ref="F16" dT="2023-10-02T18:19:24.82" personId="{55555B3A-C984-4610-8199-071CDE22A689}" id="{EFECCA12-9FFB-4CD9-A41B-F17863ADCF10}">
    <text>Tool 05</text>
  </threadedComment>
  <threadedComment ref="F20" dT="2023-10-02T18:19:14.96" personId="{55555B3A-C984-4610-8199-071CDE22A689}" id="{B6F7C81B-6FC2-450E-BB1D-A3AC7407924B}">
    <text>Tool 03</text>
  </threadedComment>
  <threadedComment ref="F22" dT="2023-10-02T18:22:40.35" personId="{55555B3A-C984-4610-8199-071CDE22A689}" id="{91AFE3ED-7805-4F86-890E-E1073295A94D}">
    <text>Eq 4</text>
  </threadedComment>
  <threadedComment ref="F27" dT="2023-10-02T20:18:08.28" personId="{55555B3A-C984-4610-8199-071CDE22A689}" id="{31796D78-385B-4831-BC2E-5A9349547B67}">
    <text>Eq 5</text>
  </threadedComment>
  <threadedComment ref="F28" dT="2023-10-02T19:25:26.05" personId="{55555B3A-C984-4610-8199-071CDE22A689}" id="{F9FC19AD-6857-4449-938F-B0D85BCC4121}">
    <text>Eq 6 for option 1 and default for option 2</text>
  </threadedComment>
  <threadedComment ref="F41" dT="2023-10-02T20:26:17.53" personId="{55555B3A-C984-4610-8199-071CDE22A689}" id="{D43C39F6-A9F9-4187-9A74-FFF67BA04FA1}">
    <text>Eq 7</text>
  </threadedComment>
  <threadedComment ref="F42" dT="2023-10-02T19:35:41.62" personId="{55555B3A-C984-4610-8199-071CDE22A689}" id="{0DF2C0D6-6B5A-4819-B513-9DE5F85D26D9}">
    <text>Eq 8 for option 1 and default for option 2</text>
  </threadedComment>
  <threadedComment ref="F57" dT="2023-10-02T20:09:00.29" personId="{55555B3A-C984-4610-8199-071CDE22A689}" id="{D12D4FB1-EC05-4C26-B47F-2529ADC31E07}">
    <text xml:space="preserve">Eq 9 with if/then for run-off wastewater that is collected and re-circulated </text>
  </threadedComment>
  <threadedComment ref="I70" dT="2023-10-31T19:11:13.38" personId="{55555B3A-C984-4610-8199-071CDE22A689}" id="{48B09FA5-D379-4E87-893F-7BAA2C6EE7A8}">
    <text>The calculated value for this is located in row 66 as option 1</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55555B3A-C984-4610-8199-071CDE22A689}" id="{5078B788-AF6A-44CB-8490-768768E87466}">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F6" dT="2023-08-10T14:56:00.30" personId="{55555B3A-C984-4610-8199-071CDE22A689}" id="{D35453D9-4F22-45AA-83C8-D2D899994FB7}">
    <text>Eq 1</text>
  </threadedComment>
  <threadedComment ref="F11" dT="2023-08-10T14:56:07.23" personId="{55555B3A-C984-4610-8199-071CDE22A689}" id="{407E624C-FC91-4F26-A3E7-BF37BDFA4E83}">
    <text>Eq 2</text>
  </threadedComment>
  <threadedComment ref="F13" dT="2023-08-14T21:55:53.61" personId="{55555B3A-C984-4610-8199-071CDE22A689}" id="{4A0E177B-4F5A-445D-BA5C-FA22561FB1EE}">
    <text>At least monthly recording of data</text>
  </threadedComment>
  <threadedComment ref="F16" dT="2023-08-10T14:56:16.16" personId="{55555B3A-C984-4610-8199-071CDE22A689}" id="{D5ECC3F9-5F6D-48AD-8D34-74133DCEAF5F}">
    <text>Eq 3</text>
  </threadedComment>
  <threadedComment ref="F22" dT="2023-08-22T01:12:00.32" personId="{55555B3A-C984-4610-8199-071CDE22A689}" id="{0EEA6625-7FA4-42EF-8A61-593A8D5747B4}">
    <text>Eq 7</text>
  </threadedComment>
  <threadedComment ref="F23" dT="2023-08-22T01:12:36.84" personId="{55555B3A-C984-4610-8199-071CDE22A689}" id="{B73E29A7-F8CB-41D7-85E3-E63496CCEAC7}">
    <text>Eq 8</text>
  </threadedComment>
  <threadedComment ref="F37" dT="2023-08-10T15:56:01.08" personId="{55555B3A-C984-4610-8199-071CDE22A689}" id="{962F2535-EC1A-499C-ABDA-7609C3C74E56}">
    <text>Eq 4</text>
  </threadedComment>
  <threadedComment ref="F38" dT="2023-08-10T21:11:09.42" personId="{55555B3A-C984-4610-8199-071CDE22A689}" id="{6D040008-1AFE-4593-8C29-B21E5ADDE58E}">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10T15:56:01.08" personId="{55555B3A-C984-4610-8199-071CDE22A689}" id="{BCC325B0-DAE9-403C-9AD7-32043FC90070}">
    <text>Eq 4</text>
  </threadedComment>
  <threadedComment ref="F4" dT="2023-08-10T21:11:09.42" personId="{55555B3A-C984-4610-8199-071CDE22A689}" id="{C35888C5-FCD7-4017-824F-39BE3D8F4B9B}">
    <text>Eq 5</text>
  </threadedComment>
  <threadedComment ref="F7" dT="2023-08-10T15:56:01.08" personId="{55555B3A-C984-4610-8199-071CDE22A689}" id="{25F84C17-09F0-4B32-8BD0-3DE929AFDED7}">
    <text>Eq 4</text>
  </threadedComment>
  <threadedComment ref="F8" dT="2023-08-10T21:11:09.42" personId="{55555B3A-C984-4610-8199-071CDE22A689}" id="{97AAD12C-46D3-463E-8647-09346C3BF59C}">
    <text>Eq 5</text>
  </threadedComment>
  <threadedComment ref="F10" dT="2023-08-10T21:00:37.41" personId="{55555B3A-C984-4610-8199-071CDE22A689}" id="{609E5A4C-B301-497E-AA0C-7B0140ABB2A4}">
    <text>Assumptions are made for this that the unit for FCn,i,t is in metric tons</text>
  </threadedComment>
  <threadedComment ref="G10" dT="2023-08-10T19:37:59.63" personId="{55555B3A-C984-4610-8199-071CDE22A689}" id="{B5B47A51-AE51-42A0-A04F-71CEEC6D4053}">
    <text>Dependent on fuel type selection</text>
  </threadedComment>
  <threadedComment ref="G11" dT="2023-08-10T19:38:12.02" personId="{55555B3A-C984-4610-8199-071CDE22A689}" id="{C047BB73-EF12-4064-8E10-FA85577EC641}">
    <text>Dependent on fuel type selection</text>
  </threadedComment>
  <threadedComment ref="F12" dT="2023-08-10T20:53:47.04" personId="{55555B3A-C984-4610-8199-071CDE22A689}" id="{0F9F6D19-32D1-4B1B-9B90-AD7A1BBC22B5}">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55555B3A-C984-4610-8199-071CDE22A689}" id="{845158A4-3EDD-4A67-A992-FECBC7D198F9}">
    <text>Eq 4</text>
  </threadedComment>
  <threadedComment ref="F20" dT="2023-08-10T21:11:09.42" personId="{55555B3A-C984-4610-8199-071CDE22A689}" id="{F6DBF2AF-3BEE-442C-9988-89B491E9FF90}">
    <text>Eq 5</text>
  </threadedComment>
  <threadedComment ref="F22" dT="2023-08-10T21:00:37.41" personId="{55555B3A-C984-4610-8199-071CDE22A689}" id="{068E5FC9-E003-42A2-87BE-8DD866DB260E}">
    <text>Assumptions are made for this that the unit for FCn,i,t is in metric tons</text>
  </threadedComment>
  <threadedComment ref="G22" dT="2023-08-10T19:37:59.63" personId="{55555B3A-C984-4610-8199-071CDE22A689}" id="{6A25D7DC-CF5E-479A-A45F-ACE1B6E44976}">
    <text>Dependent on fuel type selection</text>
  </threadedComment>
  <threadedComment ref="G23" dT="2023-08-10T19:38:12.02" personId="{55555B3A-C984-4610-8199-071CDE22A689}" id="{A67145C6-AC96-4557-BE07-37EE3A253AE6}">
    <text>Dependent on fuel type selection</text>
  </threadedComment>
  <threadedComment ref="F24" dT="2023-08-10T20:53:47.04" personId="{55555B3A-C984-4610-8199-071CDE22A689}" id="{E1AD1E05-38CB-4E32-9C97-397F3013F39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55555B3A-C984-4610-8199-071CDE22A689}" id="{6E92020B-DC4B-49BD-946F-4ED9A5F1B5C1}">
    <text>Eq 4</text>
  </threadedComment>
  <threadedComment ref="F32" dT="2023-08-10T21:11:09.42" personId="{55555B3A-C984-4610-8199-071CDE22A689}" id="{F5D5F15B-1166-4925-9A84-A3BA4AA8D546}">
    <text>Eq 5</text>
  </threadedComment>
  <threadedComment ref="F34" dT="2023-08-10T21:00:37.41" personId="{55555B3A-C984-4610-8199-071CDE22A689}" id="{DC2B6246-17FA-416E-9FF5-ACBCDC37EA27}">
    <text>Assumptions are made for this that the unit for FCn,i,t is in metric tons</text>
  </threadedComment>
  <threadedComment ref="G34" dT="2023-08-10T19:37:59.63" personId="{55555B3A-C984-4610-8199-071CDE22A689}" id="{4E60422F-1FD7-45A0-B86E-E345BACA3673}">
    <text>Dependent on fuel type selection</text>
  </threadedComment>
  <threadedComment ref="G35" dT="2023-08-10T19:38:12.02" personId="{55555B3A-C984-4610-8199-071CDE22A689}" id="{5ACE38EF-7BD3-43FA-B240-5F0671B68F7A}">
    <text>Dependent on fuel type selection</text>
  </threadedComment>
  <threadedComment ref="F36" dT="2023-08-10T20:53:47.04" personId="{55555B3A-C984-4610-8199-071CDE22A689}" id="{9FC6A603-09B8-4C7C-A0A1-B7148673F72F}">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10T16:26:52.04" personId="{55555B3A-C984-4610-8199-071CDE22A689}" id="{B7C689FF-C45B-47C5-8903-9C7A9E27F2E1}">
    <text>Upper Default Value at the 95% confidence interval</text>
  </threadedComment>
</ThreadedComments>
</file>

<file path=xl/threadedComments/threadedComment8.xml><?xml version="1.0" encoding="utf-8"?>
<ThreadedComments xmlns="http://schemas.microsoft.com/office/spreadsheetml/2018/threadedcomments" xmlns:x="http://schemas.openxmlformats.org/spreadsheetml/2006/main">
  <threadedComment ref="B34" dT="2023-09-14T15:57:32.66" personId="{D510BBE3-F3A6-41BF-A847-47DBCC1CB1E7}" id="{35F36423-61D0-4B97-81AA-292B72ADEE8A}">
    <text>Equation 3</text>
  </threadedComment>
  <threadedComment ref="B35" dT="2023-09-14T15:57:50.52" personId="{D510BBE3-F3A6-41BF-A847-47DBCC1CB1E7}" id="{B0DDEC59-B96A-4A02-95BE-0D1C622D5C03}">
    <text>Equation 4</text>
  </threadedComment>
  <threadedComment ref="B44" dT="2023-09-14T16:00:06.57" personId="{D510BBE3-F3A6-41BF-A847-47DBCC1CB1E7}" id="{AFE7536B-BD3E-47CE-86D2-B3D9089CB477}">
    <text>Equation 7</text>
  </threadedComment>
  <threadedComment ref="B45" dT="2023-09-14T15:58:31.69" personId="{D510BBE3-F3A6-41BF-A847-47DBCC1CB1E7}" id="{F0717DC6-5780-438E-8412-89CBE28A0699}">
    <text>Equation 5</text>
  </threadedComment>
  <threadedComment ref="B54" dT="2023-09-14T16:00:45.83" personId="{D510BBE3-F3A6-41BF-A847-47DBCC1CB1E7}" id="{897E0BC6-A266-425D-82A2-A2AFC53E80C1}">
    <text>Equation 9</text>
  </threadedComment>
  <threadedComment ref="B59" dT="2023-09-14T16:01:11.41" personId="{D510BBE3-F3A6-41BF-A847-47DBCC1CB1E7}" id="{C8A49747-D190-4659-B9E4-58D51DA7036E}">
    <text>Equation 11</text>
  </threadedComment>
  <threadedComment ref="B66" dT="2023-09-14T16:02:00.74" personId="{D510BBE3-F3A6-41BF-A847-47DBCC1CB1E7}" id="{5C45C33F-0AD6-4191-8878-E85031110FB4}">
    <text>Equation 12</text>
  </threadedComment>
  <threadedComment ref="B86" dT="2023-09-08T16:51:38.02" personId="{D510BBE3-F3A6-41BF-A847-47DBCC1CB1E7}" id="{8D2311B1-041B-4E2F-8114-FDE0F79B50E2}">
    <text>Equation 1</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3-09-14T16:39:36.76" personId="{D510BBE3-F3A6-41BF-A847-47DBCC1CB1E7}" id="{2FB7DB08-B2B0-45EA-9F2E-D216A362309D}">
    <text>Add a line for each SWDS CH4 calculation instance added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F908-CBA8-4BE7-833E-392E11513AAC}">
  <dimension ref="A1:J85"/>
  <sheetViews>
    <sheetView workbookViewId="0">
      <selection activeCell="A80" sqref="A80"/>
    </sheetView>
  </sheetViews>
  <sheetFormatPr defaultRowHeight="15"/>
  <cols>
    <col min="1" max="1" width="12.7109375" customWidth="1"/>
    <col min="2" max="2" width="15.28515625" customWidth="1"/>
    <col min="3" max="3" width="13" customWidth="1"/>
    <col min="4" max="4" width="14.85546875" customWidth="1"/>
    <col min="5" max="5" width="53.28515625" bestFit="1" customWidth="1"/>
    <col min="6" max="6" width="23.5703125" customWidth="1"/>
    <col min="7" max="7" width="72.85546875" customWidth="1"/>
    <col min="8" max="8" width="61.7109375" customWidth="1"/>
    <col min="9" max="9" width="44.28515625" customWidth="1"/>
  </cols>
  <sheetData>
    <row r="1" spans="1:10" ht="56.25">
      <c r="A1" s="9" t="s">
        <v>0</v>
      </c>
      <c r="B1" s="9" t="s">
        <v>1</v>
      </c>
      <c r="C1" s="9" t="s">
        <v>2</v>
      </c>
      <c r="D1" s="9" t="s">
        <v>3</v>
      </c>
      <c r="E1" s="9" t="s">
        <v>4</v>
      </c>
      <c r="F1" s="8" t="s">
        <v>5</v>
      </c>
      <c r="G1" s="8" t="s">
        <v>6</v>
      </c>
      <c r="H1" s="8" t="s">
        <v>7</v>
      </c>
      <c r="I1" s="8" t="s">
        <v>8</v>
      </c>
      <c r="J1" t="s">
        <v>9</v>
      </c>
    </row>
    <row r="2" spans="1:10" ht="18.75">
      <c r="A2" s="113" t="s">
        <v>10</v>
      </c>
      <c r="B2" s="113"/>
      <c r="C2" s="113"/>
      <c r="D2" s="113"/>
      <c r="E2" s="113"/>
      <c r="F2" s="113"/>
      <c r="G2" s="113"/>
      <c r="H2" s="113"/>
      <c r="I2" s="113"/>
    </row>
    <row r="3" spans="1:10" ht="45">
      <c r="A3" s="2" t="s">
        <v>11</v>
      </c>
      <c r="B3" s="2"/>
      <c r="C3" s="2" t="s">
        <v>12</v>
      </c>
      <c r="D3" s="2" t="s">
        <v>13</v>
      </c>
      <c r="E3" s="2"/>
      <c r="F3" s="2" t="s">
        <v>14</v>
      </c>
      <c r="G3" s="2" t="s">
        <v>15</v>
      </c>
      <c r="H3" s="10" t="s">
        <v>16</v>
      </c>
      <c r="I3" s="2"/>
    </row>
    <row r="4" spans="1:10">
      <c r="A4" s="2" t="s">
        <v>11</v>
      </c>
      <c r="B4" s="2"/>
      <c r="C4" s="2" t="s">
        <v>11</v>
      </c>
      <c r="D4" s="2" t="s">
        <v>13</v>
      </c>
      <c r="E4" s="2" t="s">
        <v>17</v>
      </c>
      <c r="F4" s="2" t="s">
        <v>14</v>
      </c>
      <c r="G4" s="2" t="s">
        <v>18</v>
      </c>
      <c r="H4" s="4" t="s">
        <v>19</v>
      </c>
      <c r="I4" s="2"/>
      <c r="J4" s="91" t="s">
        <v>20</v>
      </c>
    </row>
    <row r="5" spans="1:10" ht="30">
      <c r="A5" s="2" t="s">
        <v>11</v>
      </c>
      <c r="B5" s="2"/>
      <c r="C5" s="2" t="s">
        <v>11</v>
      </c>
      <c r="D5" s="2" t="s">
        <v>13</v>
      </c>
      <c r="E5" s="2" t="s">
        <v>21</v>
      </c>
      <c r="F5" s="2" t="s">
        <v>14</v>
      </c>
      <c r="G5" t="s">
        <v>22</v>
      </c>
      <c r="H5" s="10" t="s">
        <v>23</v>
      </c>
      <c r="I5" s="2"/>
    </row>
    <row r="6" spans="1:10" ht="45">
      <c r="A6" s="2" t="s">
        <v>11</v>
      </c>
      <c r="B6" s="2"/>
      <c r="C6" s="2" t="s">
        <v>11</v>
      </c>
      <c r="D6" s="2" t="s">
        <v>13</v>
      </c>
      <c r="E6" s="2"/>
      <c r="F6" s="2" t="s">
        <v>14</v>
      </c>
      <c r="G6" s="2" t="s">
        <v>24</v>
      </c>
      <c r="H6" s="10" t="s">
        <v>16</v>
      </c>
      <c r="I6" s="2"/>
    </row>
    <row r="7" spans="1:10">
      <c r="A7" s="2" t="s">
        <v>11</v>
      </c>
      <c r="B7" s="2"/>
      <c r="C7" s="2" t="s">
        <v>11</v>
      </c>
      <c r="D7" s="2" t="s">
        <v>13</v>
      </c>
      <c r="E7" s="2" t="s">
        <v>25</v>
      </c>
      <c r="F7" s="2" t="s">
        <v>14</v>
      </c>
      <c r="G7" s="2" t="s">
        <v>26</v>
      </c>
      <c r="H7" s="10" t="s">
        <v>27</v>
      </c>
      <c r="I7" s="10"/>
    </row>
    <row r="8" spans="1:10">
      <c r="A8" s="2" t="s">
        <v>11</v>
      </c>
      <c r="B8" s="2"/>
      <c r="C8" s="2" t="s">
        <v>11</v>
      </c>
      <c r="D8" s="2" t="s">
        <v>13</v>
      </c>
      <c r="E8" s="2" t="s">
        <v>28</v>
      </c>
      <c r="F8" s="2" t="s">
        <v>14</v>
      </c>
      <c r="G8" s="2" t="s">
        <v>29</v>
      </c>
      <c r="H8" s="10" t="s">
        <v>30</v>
      </c>
      <c r="I8" s="10"/>
    </row>
    <row r="9" spans="1:10">
      <c r="A9" s="2" t="s">
        <v>11</v>
      </c>
      <c r="B9" s="2"/>
      <c r="C9" s="2" t="s">
        <v>11</v>
      </c>
      <c r="D9" s="2" t="s">
        <v>13</v>
      </c>
      <c r="E9" s="2" t="s">
        <v>31</v>
      </c>
      <c r="F9" s="2" t="s">
        <v>14</v>
      </c>
      <c r="G9" s="2" t="s">
        <v>32</v>
      </c>
      <c r="H9" s="10" t="s">
        <v>33</v>
      </c>
      <c r="I9" s="10"/>
    </row>
    <row r="10" spans="1:10" ht="30">
      <c r="A10" s="2" t="s">
        <v>11</v>
      </c>
      <c r="B10" s="2"/>
      <c r="C10" s="2" t="s">
        <v>11</v>
      </c>
      <c r="D10" s="2" t="s">
        <v>34</v>
      </c>
      <c r="E10" s="2" t="s">
        <v>35</v>
      </c>
      <c r="F10" s="2" t="s">
        <v>14</v>
      </c>
      <c r="G10" s="86" t="s">
        <v>36</v>
      </c>
      <c r="H10" t="s">
        <v>37</v>
      </c>
    </row>
    <row r="11" spans="1:10" ht="30">
      <c r="A11" s="2" t="s">
        <v>11</v>
      </c>
      <c r="B11" s="2"/>
      <c r="C11" s="2" t="s">
        <v>11</v>
      </c>
      <c r="D11" s="2" t="s">
        <v>13</v>
      </c>
      <c r="E11" s="2"/>
      <c r="F11" s="2" t="s">
        <v>14</v>
      </c>
      <c r="G11" s="2" t="s">
        <v>38</v>
      </c>
      <c r="H11" s="3" t="s">
        <v>39</v>
      </c>
      <c r="I11" s="2"/>
    </row>
    <row r="12" spans="1:10">
      <c r="A12" s="2" t="s">
        <v>11</v>
      </c>
      <c r="B12" s="2"/>
      <c r="C12" s="2" t="s">
        <v>11</v>
      </c>
      <c r="D12" s="2" t="s">
        <v>13</v>
      </c>
      <c r="E12" s="2" t="s">
        <v>40</v>
      </c>
      <c r="F12" s="2" t="s">
        <v>14</v>
      </c>
      <c r="G12" s="2" t="s">
        <v>41</v>
      </c>
      <c r="H12" s="4" t="s">
        <v>42</v>
      </c>
      <c r="I12" s="2"/>
    </row>
    <row r="13" spans="1:10">
      <c r="A13" s="2" t="s">
        <v>11</v>
      </c>
      <c r="B13" s="2"/>
      <c r="C13" s="2" t="s">
        <v>11</v>
      </c>
      <c r="D13" s="2" t="s">
        <v>43</v>
      </c>
      <c r="E13" s="2"/>
      <c r="F13" s="2" t="s">
        <v>14</v>
      </c>
      <c r="G13" s="2" t="s">
        <v>44</v>
      </c>
      <c r="H13" s="4" t="s">
        <v>45</v>
      </c>
      <c r="I13" s="2"/>
    </row>
    <row r="14" spans="1:10">
      <c r="A14" s="2" t="s">
        <v>11</v>
      </c>
      <c r="B14" s="2"/>
      <c r="C14" s="2" t="s">
        <v>11</v>
      </c>
      <c r="D14" s="2" t="s">
        <v>13</v>
      </c>
      <c r="E14" s="2"/>
      <c r="F14" s="2" t="s">
        <v>14</v>
      </c>
      <c r="G14" s="2" t="s">
        <v>46</v>
      </c>
      <c r="H14" s="4" t="s">
        <v>47</v>
      </c>
      <c r="I14" s="2"/>
    </row>
    <row r="15" spans="1:10">
      <c r="A15" s="2" t="s">
        <v>11</v>
      </c>
      <c r="B15" s="2"/>
      <c r="C15" s="2" t="s">
        <v>11</v>
      </c>
      <c r="D15" s="2" t="s">
        <v>48</v>
      </c>
      <c r="E15" s="2" t="s">
        <v>49</v>
      </c>
      <c r="F15" s="2" t="s">
        <v>14</v>
      </c>
      <c r="G15" s="2" t="s">
        <v>50</v>
      </c>
      <c r="H15" s="4" t="s">
        <v>51</v>
      </c>
      <c r="I15" s="2"/>
    </row>
    <row r="16" spans="1:10">
      <c r="A16" s="2" t="s">
        <v>11</v>
      </c>
      <c r="B16" s="2"/>
      <c r="C16" s="2" t="s">
        <v>11</v>
      </c>
      <c r="D16" s="2" t="s">
        <v>52</v>
      </c>
      <c r="E16" s="2"/>
      <c r="F16" s="2" t="s">
        <v>14</v>
      </c>
      <c r="G16" s="2" t="s">
        <v>53</v>
      </c>
      <c r="H16" s="4" t="s">
        <v>54</v>
      </c>
      <c r="I16" s="2"/>
    </row>
    <row r="17" spans="1:9">
      <c r="A17" s="2" t="s">
        <v>11</v>
      </c>
      <c r="B17" s="2"/>
      <c r="C17" s="2" t="s">
        <v>11</v>
      </c>
      <c r="D17" s="2" t="s">
        <v>55</v>
      </c>
      <c r="E17" s="2"/>
      <c r="F17" s="2" t="s">
        <v>14</v>
      </c>
      <c r="G17" s="2" t="s">
        <v>56</v>
      </c>
      <c r="H17" s="6" t="s">
        <v>57</v>
      </c>
      <c r="I17" s="2"/>
    </row>
    <row r="18" spans="1:9" ht="60">
      <c r="A18" s="2" t="s">
        <v>11</v>
      </c>
      <c r="B18" s="2"/>
      <c r="C18" s="2" t="s">
        <v>11</v>
      </c>
      <c r="D18" s="2" t="s">
        <v>13</v>
      </c>
      <c r="E18" s="2" t="s">
        <v>58</v>
      </c>
      <c r="F18" s="2" t="s">
        <v>14</v>
      </c>
      <c r="G18" t="s">
        <v>59</v>
      </c>
      <c r="H18" s="10" t="s">
        <v>60</v>
      </c>
      <c r="I18" s="2"/>
    </row>
    <row r="19" spans="1:9">
      <c r="A19" s="2"/>
      <c r="B19" s="2"/>
      <c r="C19" s="2" t="s">
        <v>11</v>
      </c>
      <c r="D19" s="2" t="s">
        <v>13</v>
      </c>
      <c r="E19" s="2"/>
      <c r="F19" s="2" t="s">
        <v>14</v>
      </c>
      <c r="G19" t="s">
        <v>61</v>
      </c>
      <c r="H19" s="4" t="s">
        <v>14</v>
      </c>
      <c r="I19" s="2"/>
    </row>
    <row r="20" spans="1:9">
      <c r="A20" s="2" t="s">
        <v>11</v>
      </c>
      <c r="B20" s="2"/>
      <c r="C20" s="2" t="s">
        <v>11</v>
      </c>
      <c r="D20" s="2" t="s">
        <v>13</v>
      </c>
      <c r="E20" s="2"/>
      <c r="F20" s="2" t="s">
        <v>14</v>
      </c>
      <c r="G20" s="2" t="s">
        <v>62</v>
      </c>
      <c r="H20" s="4" t="s">
        <v>12</v>
      </c>
      <c r="I20" s="2"/>
    </row>
    <row r="21" spans="1:9">
      <c r="A21" s="2" t="s">
        <v>11</v>
      </c>
      <c r="B21" s="2"/>
      <c r="C21" s="2" t="s">
        <v>11</v>
      </c>
      <c r="D21" s="2" t="s">
        <v>13</v>
      </c>
      <c r="E21" s="2"/>
      <c r="F21" s="2" t="s">
        <v>14</v>
      </c>
      <c r="G21" s="2" t="s">
        <v>63</v>
      </c>
      <c r="H21" s="4" t="s">
        <v>12</v>
      </c>
      <c r="I21" s="2"/>
    </row>
    <row r="22" spans="1:9" ht="30">
      <c r="A22" s="2" t="s">
        <v>11</v>
      </c>
      <c r="B22" s="2"/>
      <c r="C22" s="2" t="s">
        <v>11</v>
      </c>
      <c r="D22" s="2" t="s">
        <v>13</v>
      </c>
      <c r="E22" s="2"/>
      <c r="F22" s="2" t="s">
        <v>14</v>
      </c>
      <c r="G22" t="s">
        <v>64</v>
      </c>
      <c r="H22" s="10" t="s">
        <v>65</v>
      </c>
      <c r="I22" s="2"/>
    </row>
    <row r="23" spans="1:9">
      <c r="A23" s="2" t="s">
        <v>11</v>
      </c>
      <c r="B23" s="2"/>
      <c r="C23" s="2" t="s">
        <v>11</v>
      </c>
      <c r="D23" s="2" t="s">
        <v>13</v>
      </c>
      <c r="E23" s="2"/>
      <c r="F23" s="2" t="s">
        <v>14</v>
      </c>
      <c r="G23" s="2" t="s">
        <v>66</v>
      </c>
      <c r="H23" t="s">
        <v>67</v>
      </c>
      <c r="I23" s="2"/>
    </row>
    <row r="24" spans="1:9">
      <c r="A24" s="2" t="s">
        <v>11</v>
      </c>
      <c r="B24" s="2"/>
      <c r="C24" s="2" t="s">
        <v>11</v>
      </c>
      <c r="D24" s="2" t="s">
        <v>68</v>
      </c>
      <c r="E24" s="2" t="s">
        <v>69</v>
      </c>
      <c r="F24" s="2" t="s">
        <v>14</v>
      </c>
      <c r="G24" t="s">
        <v>70</v>
      </c>
      <c r="H24" s="80">
        <v>42005</v>
      </c>
      <c r="I24" s="2"/>
    </row>
    <row r="25" spans="1:9">
      <c r="A25" s="2" t="s">
        <v>11</v>
      </c>
      <c r="B25" s="2"/>
      <c r="C25" s="4" t="s">
        <v>11</v>
      </c>
      <c r="D25" s="2" t="s">
        <v>71</v>
      </c>
      <c r="E25" s="2" t="s">
        <v>72</v>
      </c>
      <c r="F25" s="2" t="s">
        <v>14</v>
      </c>
      <c r="G25" t="s">
        <v>73</v>
      </c>
      <c r="H25" s="4" t="s">
        <v>74</v>
      </c>
      <c r="I25" s="2"/>
    </row>
    <row r="26" spans="1:9">
      <c r="A26" s="2" t="s">
        <v>11</v>
      </c>
      <c r="B26" s="2"/>
      <c r="C26" s="4" t="s">
        <v>11</v>
      </c>
      <c r="D26" s="2" t="s">
        <v>71</v>
      </c>
      <c r="E26" s="2" t="s">
        <v>75</v>
      </c>
      <c r="F26" s="2" t="s">
        <v>14</v>
      </c>
      <c r="G26" s="4" t="s">
        <v>76</v>
      </c>
      <c r="H26" s="4" t="s">
        <v>74</v>
      </c>
      <c r="I26" s="2"/>
    </row>
    <row r="27" spans="1:9">
      <c r="A27" s="2" t="s">
        <v>11</v>
      </c>
      <c r="B27" s="2"/>
      <c r="C27" s="4" t="s">
        <v>12</v>
      </c>
      <c r="D27" s="2" t="s">
        <v>13</v>
      </c>
      <c r="E27" s="2"/>
      <c r="F27" s="2" t="s">
        <v>14</v>
      </c>
      <c r="G27" s="4" t="s">
        <v>77</v>
      </c>
      <c r="H27" s="4" t="s">
        <v>78</v>
      </c>
      <c r="I27" s="2"/>
    </row>
    <row r="28" spans="1:9">
      <c r="A28" s="2" t="s">
        <v>11</v>
      </c>
      <c r="B28" s="2"/>
      <c r="C28" s="4" t="s">
        <v>11</v>
      </c>
      <c r="D28" s="2" t="s">
        <v>13</v>
      </c>
      <c r="E28" s="2"/>
      <c r="F28" s="2" t="s">
        <v>14</v>
      </c>
      <c r="G28" t="s">
        <v>79</v>
      </c>
      <c r="H28" t="s">
        <v>80</v>
      </c>
      <c r="I28" s="2"/>
    </row>
    <row r="29" spans="1:9" ht="45">
      <c r="A29" s="2" t="s">
        <v>11</v>
      </c>
      <c r="B29" s="2"/>
      <c r="C29" s="4" t="s">
        <v>11</v>
      </c>
      <c r="D29" s="2" t="s">
        <v>13</v>
      </c>
      <c r="E29" s="2"/>
      <c r="F29" s="2" t="s">
        <v>14</v>
      </c>
      <c r="G29" t="s">
        <v>81</v>
      </c>
      <c r="H29" s="10" t="s">
        <v>82</v>
      </c>
      <c r="I29" s="2"/>
    </row>
    <row r="30" spans="1:9">
      <c r="A30" s="2" t="s">
        <v>11</v>
      </c>
      <c r="B30" s="2"/>
      <c r="C30" s="4" t="s">
        <v>11</v>
      </c>
      <c r="D30" s="2" t="s">
        <v>13</v>
      </c>
      <c r="E30" s="2" t="s">
        <v>83</v>
      </c>
      <c r="F30" s="2" t="s">
        <v>14</v>
      </c>
      <c r="G30" t="s">
        <v>84</v>
      </c>
      <c r="H30" s="10" t="s">
        <v>85</v>
      </c>
      <c r="I30" s="2"/>
    </row>
    <row r="31" spans="1:9">
      <c r="A31" s="2" t="s">
        <v>11</v>
      </c>
      <c r="B31" s="2"/>
      <c r="C31" s="4" t="s">
        <v>11</v>
      </c>
      <c r="D31" s="2" t="s">
        <v>13</v>
      </c>
      <c r="E31" s="2"/>
      <c r="F31" s="2" t="s">
        <v>14</v>
      </c>
      <c r="G31" t="s">
        <v>86</v>
      </c>
      <c r="H31" t="s">
        <v>87</v>
      </c>
      <c r="I31" s="2"/>
    </row>
    <row r="32" spans="1:9" ht="18.75">
      <c r="A32" s="93"/>
      <c r="B32" s="93"/>
      <c r="C32" s="94"/>
      <c r="D32" s="94"/>
      <c r="E32" s="94"/>
      <c r="F32" s="94"/>
      <c r="G32" s="93" t="s">
        <v>88</v>
      </c>
      <c r="H32" s="94"/>
      <c r="I32" s="95"/>
    </row>
    <row r="33" spans="1:9" ht="180">
      <c r="A33" s="97" t="s">
        <v>11</v>
      </c>
      <c r="B33" s="97"/>
      <c r="C33" s="81" t="s">
        <v>12</v>
      </c>
      <c r="D33" s="97" t="s">
        <v>89</v>
      </c>
      <c r="E33" s="97"/>
      <c r="F33" s="97" t="s">
        <v>6</v>
      </c>
      <c r="G33" s="98" t="s">
        <v>90</v>
      </c>
      <c r="H33" s="104" t="s">
        <v>91</v>
      </c>
      <c r="I33" s="98"/>
    </row>
    <row r="34" spans="1:9" ht="18.75">
      <c r="A34" s="99"/>
      <c r="B34" s="99"/>
      <c r="C34" s="100"/>
      <c r="D34" s="100"/>
      <c r="E34" s="100"/>
      <c r="F34" s="100"/>
      <c r="G34" s="99" t="s">
        <v>92</v>
      </c>
      <c r="H34" s="100"/>
      <c r="I34" s="101"/>
    </row>
    <row r="35" spans="1:9">
      <c r="A35" s="15" t="s">
        <v>12</v>
      </c>
      <c r="B35" s="15"/>
      <c r="C35" s="15" t="s">
        <v>12</v>
      </c>
      <c r="D35" s="15" t="s">
        <v>93</v>
      </c>
      <c r="E35" s="87"/>
      <c r="F35" s="15" t="s">
        <v>94</v>
      </c>
      <c r="G35" s="102" t="s">
        <v>95</v>
      </c>
      <c r="H35" s="20">
        <f>IF(AND(H33="Option 17a"),H37,IF(AND(H33="Option 17b"),H42))</f>
        <v>0</v>
      </c>
      <c r="I35" s="15"/>
    </row>
    <row r="36" spans="1:9" ht="18.75">
      <c r="A36" s="99"/>
      <c r="B36" s="99"/>
      <c r="C36" s="100"/>
      <c r="D36" s="100"/>
      <c r="E36" s="100"/>
      <c r="F36" s="100"/>
      <c r="G36" s="99" t="s">
        <v>96</v>
      </c>
      <c r="H36" s="103"/>
      <c r="I36" s="101"/>
    </row>
    <row r="37" spans="1:9">
      <c r="A37" s="15" t="s">
        <v>12</v>
      </c>
      <c r="B37" s="15"/>
      <c r="C37" s="15" t="s">
        <v>12</v>
      </c>
      <c r="D37" s="15" t="s">
        <v>93</v>
      </c>
      <c r="E37" s="15"/>
      <c r="F37" s="15" t="s">
        <v>97</v>
      </c>
      <c r="G37" s="102" t="s">
        <v>98</v>
      </c>
      <c r="H37" s="20">
        <f>H38*H39*H40*SUM('Partial BE Based on LT 17a'!F6,'Partial BE Based on LT 17a'!F26)</f>
        <v>0</v>
      </c>
      <c r="I37" s="15"/>
    </row>
    <row r="38" spans="1:9" ht="30">
      <c r="A38" s="15" t="s">
        <v>12</v>
      </c>
      <c r="B38" s="15"/>
      <c r="C38" s="15" t="s">
        <v>12</v>
      </c>
      <c r="D38" s="15" t="s">
        <v>93</v>
      </c>
      <c r="E38" s="15"/>
      <c r="F38" s="15" t="s">
        <v>99</v>
      </c>
      <c r="G38" s="18" t="s">
        <v>100</v>
      </c>
      <c r="H38" s="20">
        <v>21</v>
      </c>
      <c r="I38" s="15"/>
    </row>
    <row r="39" spans="1:9">
      <c r="A39" s="15" t="s">
        <v>12</v>
      </c>
      <c r="B39" s="15"/>
      <c r="C39" s="15" t="s">
        <v>12</v>
      </c>
      <c r="D39" s="15" t="s">
        <v>93</v>
      </c>
      <c r="E39" s="15"/>
      <c r="F39" s="15" t="s">
        <v>101</v>
      </c>
      <c r="G39" s="18" t="s">
        <v>102</v>
      </c>
      <c r="H39" s="20">
        <v>6.7000000000000002E-4</v>
      </c>
      <c r="I39" s="15"/>
    </row>
    <row r="40" spans="1:9">
      <c r="A40" s="15" t="s">
        <v>12</v>
      </c>
      <c r="B40" s="15"/>
      <c r="C40" s="15" t="s">
        <v>12</v>
      </c>
      <c r="D40" s="15" t="s">
        <v>93</v>
      </c>
      <c r="E40" s="15"/>
      <c r="F40" s="15" t="s">
        <v>103</v>
      </c>
      <c r="G40" s="18" t="s">
        <v>104</v>
      </c>
      <c r="H40" s="20">
        <v>0.94</v>
      </c>
      <c r="I40" s="15"/>
    </row>
    <row r="41" spans="1:9" ht="18.75">
      <c r="A41" s="99"/>
      <c r="B41" s="99"/>
      <c r="C41" s="100"/>
      <c r="D41" s="100"/>
      <c r="E41" s="100"/>
      <c r="F41" s="100"/>
      <c r="G41" s="99" t="s">
        <v>105</v>
      </c>
      <c r="H41" s="100"/>
      <c r="I41" s="101"/>
    </row>
    <row r="42" spans="1:9">
      <c r="A42" s="15" t="s">
        <v>12</v>
      </c>
      <c r="B42" s="15"/>
      <c r="C42" s="15" t="s">
        <v>12</v>
      </c>
      <c r="D42" s="15" t="s">
        <v>93</v>
      </c>
      <c r="E42" s="15"/>
      <c r="F42" s="15" t="s">
        <v>106</v>
      </c>
      <c r="G42" s="102" t="s">
        <v>107</v>
      </c>
      <c r="H42" s="20">
        <f>H38*H39*H40*SUM('Partial BE Based on LT 17b'!F6,'Partial BE Based on LT 17b'!F13)</f>
        <v>0.66128999999999993</v>
      </c>
      <c r="I42" s="15"/>
    </row>
    <row r="43" spans="1:9" ht="18.75">
      <c r="A43" s="113" t="s">
        <v>108</v>
      </c>
      <c r="B43" s="113"/>
      <c r="C43" s="113"/>
      <c r="D43" s="113"/>
      <c r="E43" s="113"/>
      <c r="F43" s="113"/>
      <c r="G43" s="113"/>
      <c r="H43" s="113"/>
      <c r="I43" s="113"/>
    </row>
    <row r="44" spans="1:9">
      <c r="A44" s="15" t="s">
        <v>12</v>
      </c>
      <c r="B44" s="15"/>
      <c r="C44" s="15" t="s">
        <v>12</v>
      </c>
      <c r="D44" s="15" t="s">
        <v>109</v>
      </c>
      <c r="E44" s="15"/>
      <c r="F44" s="15" t="s">
        <v>110</v>
      </c>
      <c r="G44" s="102" t="s">
        <v>111</v>
      </c>
      <c r="H44" s="20">
        <f>H49+H63</f>
        <v>76800</v>
      </c>
      <c r="I44" s="15"/>
    </row>
    <row r="45" spans="1:9" ht="30">
      <c r="A45" s="15" t="s">
        <v>12</v>
      </c>
      <c r="B45" s="15"/>
      <c r="C45" s="15" t="s">
        <v>12</v>
      </c>
      <c r="D45" s="15" t="s">
        <v>109</v>
      </c>
      <c r="E45" s="15"/>
      <c r="F45" s="87" t="s">
        <v>112</v>
      </c>
      <c r="G45" s="14" t="s">
        <v>113</v>
      </c>
      <c r="H45" s="20">
        <f>0.25</f>
        <v>0.25</v>
      </c>
      <c r="I45" s="15"/>
    </row>
    <row r="46" spans="1:9">
      <c r="A46" s="15" t="s">
        <v>12</v>
      </c>
      <c r="B46" s="15"/>
      <c r="C46" s="15" t="s">
        <v>12</v>
      </c>
      <c r="D46" s="15" t="s">
        <v>109</v>
      </c>
      <c r="E46" s="15"/>
      <c r="F46" s="87" t="s">
        <v>114</v>
      </c>
      <c r="G46" s="102" t="s">
        <v>115</v>
      </c>
      <c r="H46" s="20">
        <f>0.89</f>
        <v>0.89</v>
      </c>
      <c r="I46" s="15"/>
    </row>
    <row r="47" spans="1:9" ht="14.25" customHeight="1">
      <c r="A47" s="15" t="s">
        <v>12</v>
      </c>
      <c r="B47" s="15"/>
      <c r="C47" s="15" t="s">
        <v>12</v>
      </c>
      <c r="D47" s="15" t="s">
        <v>109</v>
      </c>
      <c r="E47" s="15"/>
      <c r="F47" s="87" t="s">
        <v>116</v>
      </c>
      <c r="G47" s="102" t="s">
        <v>117</v>
      </c>
      <c r="H47" s="20">
        <f>25</f>
        <v>25</v>
      </c>
      <c r="I47" s="15"/>
    </row>
    <row r="48" spans="1:9" ht="18.75">
      <c r="A48" s="113" t="s">
        <v>118</v>
      </c>
      <c r="B48" s="113"/>
      <c r="C48" s="113"/>
      <c r="D48" s="113"/>
      <c r="E48" s="113"/>
      <c r="F48" s="113"/>
      <c r="G48" s="113"/>
      <c r="H48" s="113"/>
      <c r="I48" s="113"/>
    </row>
    <row r="49" spans="1:9">
      <c r="A49" s="15" t="s">
        <v>12</v>
      </c>
      <c r="B49" s="15"/>
      <c r="C49" s="15" t="s">
        <v>12</v>
      </c>
      <c r="D49" s="15" t="s">
        <v>109</v>
      </c>
      <c r="E49" s="15"/>
      <c r="F49" s="15" t="s">
        <v>119</v>
      </c>
      <c r="G49" s="102" t="s">
        <v>120</v>
      </c>
      <c r="H49" s="20">
        <f>SUM((H57*H58*H59*H61*H51*H52*H53),(H63*H64*H65*H67*H51*H52*H53))</f>
        <v>76800</v>
      </c>
      <c r="I49" s="15"/>
    </row>
    <row r="50" spans="1:9" ht="18.75">
      <c r="A50" s="113" t="s">
        <v>121</v>
      </c>
      <c r="B50" s="113"/>
      <c r="C50" s="113"/>
      <c r="D50" s="113"/>
      <c r="E50" s="113"/>
      <c r="F50" s="113"/>
      <c r="G50" s="113"/>
      <c r="H50" s="113"/>
      <c r="I50" s="113"/>
    </row>
    <row r="51" spans="1:9" s="106" customFormat="1" ht="30">
      <c r="A51" s="2" t="s">
        <v>11</v>
      </c>
      <c r="C51" s="4" t="s">
        <v>11</v>
      </c>
      <c r="D51" t="s">
        <v>122</v>
      </c>
      <c r="F51" s="106" t="s">
        <v>123</v>
      </c>
      <c r="G51" s="107" t="s">
        <v>124</v>
      </c>
      <c r="H51" s="108">
        <v>5000</v>
      </c>
    </row>
    <row r="52" spans="1:9" s="106" customFormat="1" ht="30">
      <c r="A52" s="2" t="s">
        <v>11</v>
      </c>
      <c r="C52" s="4" t="s">
        <v>11</v>
      </c>
      <c r="D52" t="s">
        <v>122</v>
      </c>
      <c r="F52" s="106" t="s">
        <v>125</v>
      </c>
      <c r="G52" s="107" t="s">
        <v>126</v>
      </c>
      <c r="H52" s="108">
        <v>0.2</v>
      </c>
    </row>
    <row r="53" spans="1:9" s="106" customFormat="1">
      <c r="A53" s="2" t="s">
        <v>11</v>
      </c>
      <c r="C53" s="4" t="s">
        <v>11</v>
      </c>
      <c r="D53" t="s">
        <v>122</v>
      </c>
      <c r="F53" s="106" t="s">
        <v>127</v>
      </c>
      <c r="G53" s="109" t="s">
        <v>128</v>
      </c>
      <c r="H53" s="108">
        <v>0.8</v>
      </c>
    </row>
    <row r="54" spans="1:9" s="106" customFormat="1" ht="195">
      <c r="A54" s="97" t="s">
        <v>11</v>
      </c>
      <c r="B54" s="110"/>
      <c r="C54" s="81" t="s">
        <v>12</v>
      </c>
      <c r="D54" s="110" t="s">
        <v>89</v>
      </c>
      <c r="E54" s="110"/>
      <c r="F54" s="110" t="s">
        <v>129</v>
      </c>
      <c r="G54" s="111" t="s">
        <v>130</v>
      </c>
      <c r="H54" s="112">
        <v>4</v>
      </c>
      <c r="I54" s="110"/>
    </row>
    <row r="55" spans="1:9">
      <c r="A55" s="15" t="s">
        <v>12</v>
      </c>
      <c r="B55" s="15"/>
      <c r="C55" s="15" t="s">
        <v>12</v>
      </c>
      <c r="D55" s="15" t="s">
        <v>109</v>
      </c>
      <c r="E55" s="15"/>
      <c r="F55" s="15" t="s">
        <v>131</v>
      </c>
      <c r="G55" s="14" t="s">
        <v>132</v>
      </c>
      <c r="H55" s="20">
        <f>IF(AND(H54=1),0.1,IF(AND(H54=2),0.1,IF(AND(H54=3),0,IF(AND(H54=4),0.3,IF(AND(H54=5),0.8,IF(AND(H54=6),0.8,IF(AND(H54=7),0.2,IF(AND(H54=8),0.8,IF(AND(H54=9),0.5)))))))))</f>
        <v>0.3</v>
      </c>
      <c r="I55" s="15"/>
    </row>
    <row r="56" spans="1:9" ht="18.75">
      <c r="A56" s="113" t="s">
        <v>121</v>
      </c>
      <c r="B56" s="113"/>
      <c r="C56" s="113"/>
      <c r="D56" s="113"/>
      <c r="E56" s="113"/>
      <c r="F56" s="113"/>
      <c r="G56" s="113"/>
      <c r="H56" s="113"/>
      <c r="I56" s="113"/>
    </row>
    <row r="57" spans="1:9" ht="30">
      <c r="A57" s="2" t="s">
        <v>11</v>
      </c>
      <c r="C57" s="4" t="s">
        <v>11</v>
      </c>
      <c r="D57" t="s">
        <v>122</v>
      </c>
      <c r="F57" s="106" t="s">
        <v>123</v>
      </c>
      <c r="G57" s="3" t="s">
        <v>124</v>
      </c>
      <c r="H57" s="108">
        <v>4000</v>
      </c>
    </row>
    <row r="58" spans="1:9" ht="30">
      <c r="A58" s="2" t="s">
        <v>11</v>
      </c>
      <c r="C58" s="4" t="s">
        <v>11</v>
      </c>
      <c r="D58" t="s">
        <v>122</v>
      </c>
      <c r="F58" s="106" t="s">
        <v>125</v>
      </c>
      <c r="G58" s="3" t="s">
        <v>126</v>
      </c>
      <c r="H58" s="108">
        <v>0.3</v>
      </c>
    </row>
    <row r="59" spans="1:9">
      <c r="A59" s="2" t="s">
        <v>11</v>
      </c>
      <c r="C59" s="4" t="s">
        <v>11</v>
      </c>
      <c r="D59" t="s">
        <v>122</v>
      </c>
      <c r="F59" s="106" t="s">
        <v>127</v>
      </c>
      <c r="G59" s="4" t="s">
        <v>128</v>
      </c>
      <c r="H59" s="108">
        <v>0.8</v>
      </c>
    </row>
    <row r="60" spans="1:9" s="106" customFormat="1" ht="195">
      <c r="A60" s="97" t="s">
        <v>11</v>
      </c>
      <c r="B60" s="110"/>
      <c r="C60" s="81" t="s">
        <v>12</v>
      </c>
      <c r="D60" s="110" t="s">
        <v>89</v>
      </c>
      <c r="E60" s="110"/>
      <c r="F60" s="110" t="s">
        <v>129</v>
      </c>
      <c r="G60" s="111" t="s">
        <v>130</v>
      </c>
      <c r="H60" s="112">
        <v>1</v>
      </c>
      <c r="I60" s="110"/>
    </row>
    <row r="61" spans="1:9">
      <c r="A61" s="15" t="s">
        <v>12</v>
      </c>
      <c r="B61" s="15"/>
      <c r="C61" s="15" t="s">
        <v>12</v>
      </c>
      <c r="D61" s="15" t="s">
        <v>109</v>
      </c>
      <c r="E61" s="15"/>
      <c r="F61" s="15" t="s">
        <v>131</v>
      </c>
      <c r="G61" s="14" t="s">
        <v>132</v>
      </c>
      <c r="H61" s="20">
        <f>IF(AND(H60=1),0.1,IF(AND(H60=2),0.1,IF(AND(H60=3),0,IF(AND(H60=4),0.3,IF(AND(H60=5),0.8,IF(AND(H60=6),0.8,IF(AND(H60=7),0.2,IF(AND(H60=8),0.8,IF(AND(H60=9),0.5)))))))))</f>
        <v>0.1</v>
      </c>
      <c r="I61" s="15"/>
    </row>
    <row r="62" spans="1:9" ht="18.75">
      <c r="A62" s="113" t="s">
        <v>133</v>
      </c>
      <c r="B62" s="113"/>
      <c r="C62" s="113"/>
      <c r="D62" s="113"/>
      <c r="E62" s="113"/>
      <c r="F62" s="113"/>
      <c r="G62" s="113"/>
      <c r="H62" s="113"/>
      <c r="I62" s="113"/>
    </row>
    <row r="63" spans="1:9" ht="30">
      <c r="A63" s="15" t="s">
        <v>12</v>
      </c>
      <c r="B63" s="15"/>
      <c r="C63" s="15" t="s">
        <v>12</v>
      </c>
      <c r="D63" s="15" t="s">
        <v>109</v>
      </c>
      <c r="E63" s="15"/>
      <c r="F63" s="15" t="s">
        <v>134</v>
      </c>
      <c r="G63" s="14" t="s">
        <v>135</v>
      </c>
      <c r="H63" s="20">
        <f>H64*H47*H45*H46*H65*H67</f>
        <v>0</v>
      </c>
      <c r="I63" s="15"/>
    </row>
    <row r="64" spans="1:9" ht="14.25" customHeight="1">
      <c r="A64" s="2" t="s">
        <v>11</v>
      </c>
      <c r="C64" s="4" t="s">
        <v>11</v>
      </c>
      <c r="D64" t="s">
        <v>122</v>
      </c>
      <c r="F64" t="s">
        <v>136</v>
      </c>
      <c r="G64" t="s">
        <v>137</v>
      </c>
      <c r="H64" s="19"/>
    </row>
    <row r="65" spans="1:10" ht="60">
      <c r="A65" s="2" t="s">
        <v>11</v>
      </c>
      <c r="C65" s="4" t="s">
        <v>11</v>
      </c>
      <c r="D65" t="s">
        <v>122</v>
      </c>
      <c r="F65" t="s">
        <v>138</v>
      </c>
      <c r="G65" s="10" t="s">
        <v>139</v>
      </c>
      <c r="H65" s="19"/>
    </row>
    <row r="66" spans="1:10" s="106" customFormat="1" ht="165">
      <c r="A66" s="97" t="s">
        <v>11</v>
      </c>
      <c r="B66" s="110"/>
      <c r="C66" s="81" t="s">
        <v>12</v>
      </c>
      <c r="D66" s="110" t="s">
        <v>89</v>
      </c>
      <c r="E66" s="110"/>
      <c r="F66" s="110" t="s">
        <v>129</v>
      </c>
      <c r="G66" s="111" t="s">
        <v>140</v>
      </c>
      <c r="H66" s="112">
        <v>4</v>
      </c>
      <c r="I66" s="110"/>
    </row>
    <row r="67" spans="1:10" ht="30">
      <c r="A67" s="15" t="s">
        <v>12</v>
      </c>
      <c r="B67" s="15"/>
      <c r="C67" s="15" t="s">
        <v>12</v>
      </c>
      <c r="D67" s="15"/>
      <c r="E67" s="15"/>
      <c r="F67" s="15" t="s">
        <v>141</v>
      </c>
      <c r="G67" s="18" t="s">
        <v>142</v>
      </c>
      <c r="H67" s="20">
        <f>IF(AND(H66=1),0.1,IF(AND(H66=2),0.1,IF(AND(H66=3),0,IF(AND(H66=4),0.3,IF(AND(H66=5),0.8,IF(AND(H66=6),0.8,IF(AND(H66=7),0.2,IF(AND(H66=8),0.8,IF(AND(H66=9),0.5)))))))))</f>
        <v>0.3</v>
      </c>
      <c r="I67" s="15"/>
    </row>
    <row r="68" spans="1:10" ht="18.75">
      <c r="A68" s="113" t="s">
        <v>143</v>
      </c>
      <c r="B68" s="113"/>
      <c r="C68" s="113"/>
      <c r="D68" s="113"/>
      <c r="E68" s="113"/>
      <c r="F68" s="113"/>
      <c r="G68" s="113"/>
      <c r="H68" s="113"/>
      <c r="I68" s="113"/>
    </row>
    <row r="69" spans="1:10">
      <c r="A69" s="15" t="s">
        <v>11</v>
      </c>
      <c r="B69" s="15"/>
      <c r="C69" s="15" t="s">
        <v>12</v>
      </c>
      <c r="D69" s="15" t="s">
        <v>109</v>
      </c>
      <c r="E69" s="87" t="s">
        <v>144</v>
      </c>
      <c r="F69" s="15" t="s">
        <v>145</v>
      </c>
      <c r="G69" s="15" t="s">
        <v>146</v>
      </c>
      <c r="H69" s="15">
        <f>H70+H73+H72-H71*H74</f>
        <v>76758.162189930299</v>
      </c>
      <c r="I69" s="15"/>
    </row>
    <row r="70" spans="1:10" ht="60">
      <c r="A70" s="15" t="s">
        <v>11</v>
      </c>
      <c r="B70" s="15"/>
      <c r="C70" s="15" t="s">
        <v>12</v>
      </c>
      <c r="D70" s="15" t="s">
        <v>109</v>
      </c>
      <c r="E70" s="15"/>
      <c r="F70" s="15" t="s">
        <v>147</v>
      </c>
      <c r="G70" s="18" t="s">
        <v>148</v>
      </c>
      <c r="H70" s="15">
        <f>'Tool 04-SWDS-Yearly'!C86</f>
        <v>0.16218993029283385</v>
      </c>
      <c r="I70" s="15"/>
    </row>
    <row r="71" spans="1:10" ht="30">
      <c r="A71" t="s">
        <v>11</v>
      </c>
      <c r="C71" s="4" t="s">
        <v>11</v>
      </c>
      <c r="D71" t="s">
        <v>122</v>
      </c>
      <c r="F71" t="s">
        <v>149</v>
      </c>
      <c r="G71" s="10" t="s">
        <v>150</v>
      </c>
      <c r="H71">
        <v>2</v>
      </c>
    </row>
    <row r="72" spans="1:10" ht="30">
      <c r="A72" s="15" t="s">
        <v>11</v>
      </c>
      <c r="B72" s="15"/>
      <c r="C72" s="102" t="s">
        <v>11</v>
      </c>
      <c r="D72" s="15" t="s">
        <v>109</v>
      </c>
      <c r="E72" s="15"/>
      <c r="F72" s="15" t="s">
        <v>151</v>
      </c>
      <c r="G72" s="18" t="s">
        <v>152</v>
      </c>
      <c r="H72" s="15">
        <f>H35</f>
        <v>0</v>
      </c>
      <c r="I72" s="15"/>
      <c r="J72" s="105" t="s">
        <v>153</v>
      </c>
    </row>
    <row r="73" spans="1:10" ht="30">
      <c r="A73" s="15" t="s">
        <v>11</v>
      </c>
      <c r="B73" s="15"/>
      <c r="C73" s="102" t="s">
        <v>11</v>
      </c>
      <c r="D73" s="15" t="s">
        <v>109</v>
      </c>
      <c r="E73" s="15"/>
      <c r="F73" s="15" t="s">
        <v>154</v>
      </c>
      <c r="G73" s="18" t="s">
        <v>155</v>
      </c>
      <c r="H73" s="15">
        <f>H44</f>
        <v>76800</v>
      </c>
      <c r="I73" s="15"/>
      <c r="J73" s="105" t="s">
        <v>153</v>
      </c>
    </row>
    <row r="74" spans="1:10" ht="30">
      <c r="A74" s="15" t="s">
        <v>11</v>
      </c>
      <c r="B74" s="15"/>
      <c r="C74" s="15" t="s">
        <v>12</v>
      </c>
      <c r="D74" s="15" t="s">
        <v>109</v>
      </c>
      <c r="E74" s="15"/>
      <c r="F74" s="15" t="s">
        <v>156</v>
      </c>
      <c r="G74" s="18" t="s">
        <v>157</v>
      </c>
      <c r="H74" s="15">
        <f>21</f>
        <v>21</v>
      </c>
      <c r="I74" s="15"/>
    </row>
    <row r="75" spans="1:10" ht="18.75">
      <c r="A75" s="113" t="s">
        <v>158</v>
      </c>
      <c r="B75" s="113"/>
      <c r="C75" s="113"/>
      <c r="D75" s="113"/>
      <c r="E75" s="113"/>
      <c r="F75" s="113"/>
      <c r="G75" s="113"/>
      <c r="H75" s="113"/>
      <c r="I75" s="113"/>
    </row>
    <row r="76" spans="1:10">
      <c r="A76" s="15" t="s">
        <v>11</v>
      </c>
      <c r="B76" s="15"/>
      <c r="C76" s="15" t="s">
        <v>12</v>
      </c>
      <c r="D76" s="15" t="s">
        <v>109</v>
      </c>
      <c r="E76" s="87" t="s">
        <v>159</v>
      </c>
      <c r="F76" s="15" t="s">
        <v>160</v>
      </c>
      <c r="G76" s="15" t="s">
        <v>161</v>
      </c>
      <c r="H76" s="15">
        <f>'Tool 13'!G3</f>
        <v>95.130333333333326</v>
      </c>
      <c r="I76" s="15"/>
    </row>
    <row r="77" spans="1:10" ht="18.75">
      <c r="A77" s="113" t="s">
        <v>162</v>
      </c>
      <c r="B77" s="113"/>
      <c r="C77" s="113"/>
      <c r="D77" s="113"/>
      <c r="E77" s="113"/>
      <c r="F77" s="113"/>
      <c r="G77" s="113"/>
      <c r="H77" s="113"/>
      <c r="I77" s="113"/>
    </row>
    <row r="78" spans="1:10">
      <c r="A78" s="15" t="s">
        <v>11</v>
      </c>
      <c r="B78" s="15"/>
      <c r="C78" s="15" t="s">
        <v>12</v>
      </c>
      <c r="D78" s="15" t="s">
        <v>109</v>
      </c>
      <c r="E78" s="15"/>
      <c r="F78" s="15" t="s">
        <v>163</v>
      </c>
      <c r="G78" s="15" t="s">
        <v>164</v>
      </c>
      <c r="H78" s="15">
        <f>'Tool 13'!G73</f>
        <v>0.16218993029283385</v>
      </c>
      <c r="I78" s="15"/>
    </row>
    <row r="79" spans="1:10" ht="18.75">
      <c r="A79" s="113" t="s">
        <v>165</v>
      </c>
      <c r="B79" s="113"/>
      <c r="C79" s="113"/>
      <c r="D79" s="113"/>
      <c r="E79" s="113"/>
      <c r="F79" s="113"/>
      <c r="G79" s="113"/>
      <c r="H79" s="113"/>
      <c r="I79" s="113"/>
    </row>
    <row r="80" spans="1:10" ht="75">
      <c r="A80" s="97" t="s">
        <v>11</v>
      </c>
      <c r="B80" s="36"/>
      <c r="C80" s="81" t="s">
        <v>12</v>
      </c>
      <c r="D80" s="36" t="s">
        <v>89</v>
      </c>
      <c r="E80" s="36"/>
      <c r="F80" s="36" t="s">
        <v>6</v>
      </c>
      <c r="G80" s="38" t="s">
        <v>166</v>
      </c>
      <c r="H80" s="82" t="s">
        <v>167</v>
      </c>
      <c r="I80" s="36"/>
    </row>
    <row r="81" spans="1:9">
      <c r="A81" s="15" t="s">
        <v>11</v>
      </c>
      <c r="B81" s="15"/>
      <c r="C81" s="15" t="s">
        <v>12</v>
      </c>
      <c r="D81" s="15" t="s">
        <v>109</v>
      </c>
      <c r="E81" s="87" t="s">
        <v>168</v>
      </c>
      <c r="F81" s="15" t="s">
        <v>169</v>
      </c>
      <c r="G81" s="15" t="s">
        <v>170</v>
      </c>
      <c r="H81" s="15">
        <f>IF(AND(H80="Case 1"),H69-(H76+H78),IF(AND(H80="Case 2"),(H69-H76-H78)*(1-H82)))</f>
        <v>76662.86966666668</v>
      </c>
      <c r="I81" s="15"/>
    </row>
    <row r="82" spans="1:9">
      <c r="A82" s="15" t="s">
        <v>11</v>
      </c>
      <c r="B82" s="15"/>
      <c r="C82" s="15" t="s">
        <v>12</v>
      </c>
      <c r="D82" s="15" t="s">
        <v>109</v>
      </c>
      <c r="E82" s="15"/>
      <c r="F82" s="15" t="s">
        <v>171</v>
      </c>
      <c r="G82" s="15" t="s">
        <v>172</v>
      </c>
      <c r="H82" s="20">
        <f>H84/H83</f>
        <v>0.5</v>
      </c>
      <c r="I82" s="15"/>
    </row>
    <row r="83" spans="1:9">
      <c r="A83" t="s">
        <v>11</v>
      </c>
      <c r="C83" s="4" t="s">
        <v>11</v>
      </c>
      <c r="D83" t="s">
        <v>122</v>
      </c>
      <c r="F83" t="s">
        <v>173</v>
      </c>
      <c r="G83" t="s">
        <v>174</v>
      </c>
      <c r="H83">
        <v>2</v>
      </c>
    </row>
    <row r="84" spans="1:9" ht="45">
      <c r="A84" t="s">
        <v>11</v>
      </c>
      <c r="C84" s="4" t="s">
        <v>11</v>
      </c>
      <c r="D84" t="s">
        <v>122</v>
      </c>
      <c r="F84" t="s">
        <v>175</v>
      </c>
      <c r="G84" s="10" t="s">
        <v>176</v>
      </c>
      <c r="H84">
        <v>1</v>
      </c>
    </row>
    <row r="85" spans="1:9" ht="75">
      <c r="A85" t="s">
        <v>12</v>
      </c>
      <c r="C85" s="4" t="s">
        <v>11</v>
      </c>
      <c r="D85" s="10" t="s">
        <v>177</v>
      </c>
      <c r="E85" s="10"/>
      <c r="F85" t="s">
        <v>178</v>
      </c>
      <c r="G85" s="10" t="s">
        <v>179</v>
      </c>
    </row>
  </sheetData>
  <mergeCells count="10">
    <mergeCell ref="A2:I2"/>
    <mergeCell ref="A68:I68"/>
    <mergeCell ref="A75:I75"/>
    <mergeCell ref="A77:I77"/>
    <mergeCell ref="A79:I79"/>
    <mergeCell ref="A50:I50"/>
    <mergeCell ref="A56:I56"/>
    <mergeCell ref="A62:I62"/>
    <mergeCell ref="A48:I48"/>
    <mergeCell ref="A43:I43"/>
  </mergeCells>
  <dataValidations count="3">
    <dataValidation type="list" allowBlank="1" showInputMessage="1" showErrorMessage="1" sqref="H80" xr:uid="{B742F7FD-B258-4F9F-9B2D-545EB64F625D}">
      <formula1>"Case 1,Case 2"</formula1>
    </dataValidation>
    <dataValidation type="list" allowBlank="1" showInputMessage="1" showErrorMessage="1" sqref="H33" xr:uid="{5FAC4588-4AF2-45B4-ABCA-7A379AF406B7}">
      <formula1>"Option 17a,Option 17b"</formula1>
    </dataValidation>
    <dataValidation type="list" allowBlank="1" showInputMessage="1" showErrorMessage="1" sqref="H54 H60 H66" xr:uid="{9CCEA5AD-903C-47F5-AEEF-0EDE0A174734}">
      <formula1>"1,2,3,4,5,6,7,8,9"</formula1>
    </dataValidation>
  </dataValidations>
  <hyperlinks>
    <hyperlink ref="H17" r:id="rId1" xr:uid="{6C478EFC-1E2A-490D-A8DC-65559078B47A}"/>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0420795-6224-47F6-88F8-F10FADE2F2CE}">
          <x14:formula1>
            <xm:f>'IWA Properties'!$A$2:$A$277</xm:f>
          </x14:formula1>
          <xm:sqref>E76 E69 E81 E3:E31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9B4F-8EFF-440C-ABC2-C1155E0EE6AD}">
  <dimension ref="A1:I87"/>
  <sheetViews>
    <sheetView workbookViewId="0">
      <selection activeCell="E48" sqref="E48"/>
    </sheetView>
  </sheetViews>
  <sheetFormatPr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556</v>
      </c>
      <c r="E1" t="s">
        <v>3</v>
      </c>
      <c r="F1" t="s">
        <v>8</v>
      </c>
      <c r="G1" t="s">
        <v>230</v>
      </c>
      <c r="H1" t="s">
        <v>1</v>
      </c>
    </row>
    <row r="2" spans="1:8" s="70" customFormat="1">
      <c r="B2" s="70" t="s">
        <v>557</v>
      </c>
    </row>
    <row r="3" spans="1:8">
      <c r="B3" s="88" t="s">
        <v>558</v>
      </c>
      <c r="C3" t="s">
        <v>559</v>
      </c>
      <c r="D3" t="s">
        <v>11</v>
      </c>
      <c r="E3" t="s">
        <v>479</v>
      </c>
      <c r="G3" t="s">
        <v>12</v>
      </c>
    </row>
    <row r="4" spans="1:8">
      <c r="B4" s="88" t="s">
        <v>560</v>
      </c>
      <c r="C4" t="s">
        <v>561</v>
      </c>
      <c r="D4" t="s">
        <v>11</v>
      </c>
      <c r="E4" t="s">
        <v>479</v>
      </c>
      <c r="F4" t="s">
        <v>562</v>
      </c>
      <c r="G4" t="s">
        <v>12</v>
      </c>
    </row>
    <row r="5" spans="1:8" ht="30">
      <c r="B5" s="89" t="s">
        <v>563</v>
      </c>
      <c r="C5" t="s">
        <v>12</v>
      </c>
      <c r="D5" t="s">
        <v>11</v>
      </c>
      <c r="E5" t="s">
        <v>479</v>
      </c>
      <c r="G5" t="s">
        <v>12</v>
      </c>
    </row>
    <row r="6" spans="1:8">
      <c r="B6" s="89" t="s">
        <v>564</v>
      </c>
      <c r="C6" t="s">
        <v>12</v>
      </c>
      <c r="D6" t="s">
        <v>11</v>
      </c>
      <c r="E6" t="s">
        <v>479</v>
      </c>
      <c r="G6" t="s">
        <v>12</v>
      </c>
    </row>
    <row r="7" spans="1:8">
      <c r="B7" s="89" t="s">
        <v>565</v>
      </c>
      <c r="C7" t="s">
        <v>11</v>
      </c>
      <c r="D7" t="s">
        <v>11</v>
      </c>
      <c r="E7" t="s">
        <v>479</v>
      </c>
      <c r="G7" t="s">
        <v>12</v>
      </c>
    </row>
    <row r="8" spans="1:8">
      <c r="B8" s="88" t="s">
        <v>566</v>
      </c>
      <c r="C8" t="s">
        <v>567</v>
      </c>
      <c r="D8" t="s">
        <v>11</v>
      </c>
      <c r="E8" t="s">
        <v>479</v>
      </c>
      <c r="G8" t="s">
        <v>12</v>
      </c>
    </row>
    <row r="9" spans="1:8">
      <c r="B9" s="88" t="s">
        <v>568</v>
      </c>
      <c r="C9" t="s">
        <v>569</v>
      </c>
      <c r="D9" t="s">
        <v>11</v>
      </c>
      <c r="E9" t="s">
        <v>479</v>
      </c>
      <c r="G9" t="s">
        <v>12</v>
      </c>
    </row>
    <row r="10" spans="1:8">
      <c r="B10" s="88" t="s">
        <v>570</v>
      </c>
      <c r="C10" t="s">
        <v>571</v>
      </c>
      <c r="D10" t="s">
        <v>11</v>
      </c>
      <c r="E10" t="s">
        <v>479</v>
      </c>
      <c r="G10" t="s">
        <v>12</v>
      </c>
    </row>
    <row r="11" spans="1:8" ht="30">
      <c r="B11" s="90" t="s">
        <v>572</v>
      </c>
      <c r="C11" t="s">
        <v>573</v>
      </c>
      <c r="D11" t="str">
        <f>IF(C8="Option 2 (Estimated)","Yes","NA")</f>
        <v>NA</v>
      </c>
      <c r="E11" t="s">
        <v>479</v>
      </c>
      <c r="G11" t="s">
        <v>12</v>
      </c>
    </row>
    <row r="12" spans="1:8">
      <c r="B12" s="90" t="s">
        <v>574</v>
      </c>
      <c r="C12" t="s">
        <v>12</v>
      </c>
      <c r="D12" t="str">
        <f>IF(C8="Option 2 (Estimated)","Yes","NA")</f>
        <v>NA</v>
      </c>
      <c r="E12" t="s">
        <v>479</v>
      </c>
      <c r="G12" t="s">
        <v>12</v>
      </c>
    </row>
    <row r="13" spans="1:8">
      <c r="B13" s="90" t="s">
        <v>575</v>
      </c>
      <c r="C13" t="s">
        <v>11</v>
      </c>
      <c r="D13" t="str">
        <f>IF(C8="Option 2 (Estimated)","Yes","NA")</f>
        <v>NA</v>
      </c>
      <c r="E13" t="s">
        <v>479</v>
      </c>
      <c r="G13" t="s">
        <v>12</v>
      </c>
    </row>
    <row r="14" spans="1:8">
      <c r="B14" s="90" t="s">
        <v>576</v>
      </c>
      <c r="C14" t="s">
        <v>577</v>
      </c>
      <c r="D14" t="str">
        <f>IF(C8="Option 2 (Estimated)","Yes","NA")</f>
        <v>NA</v>
      </c>
      <c r="E14" t="s">
        <v>479</v>
      </c>
      <c r="G14" t="s">
        <v>12</v>
      </c>
    </row>
    <row r="15" spans="1:8">
      <c r="B15" s="90" t="s">
        <v>578</v>
      </c>
      <c r="C15" t="s">
        <v>11</v>
      </c>
      <c r="D15" t="str">
        <f>IF(C8="Option 2 (Estimated)","Yes","NA")</f>
        <v>NA</v>
      </c>
      <c r="E15" t="s">
        <v>479</v>
      </c>
      <c r="G15" t="s">
        <v>12</v>
      </c>
    </row>
    <row r="16" spans="1:8">
      <c r="B16" s="90" t="s">
        <v>579</v>
      </c>
      <c r="C16" t="s">
        <v>12</v>
      </c>
      <c r="D16" t="str">
        <f>IF(C8="Option 2 (Estimated)","Yes","NA")</f>
        <v>NA</v>
      </c>
      <c r="E16" t="s">
        <v>479</v>
      </c>
      <c r="G16" t="s">
        <v>12</v>
      </c>
    </row>
    <row r="17" spans="2:7">
      <c r="B17" s="5" t="s">
        <v>580</v>
      </c>
      <c r="C17" t="s">
        <v>581</v>
      </c>
      <c r="D17" t="str">
        <f>IF(AND(C4="Application B",C6="Yes"),"Yes","No")</f>
        <v>No</v>
      </c>
      <c r="E17" t="s">
        <v>479</v>
      </c>
      <c r="G17" t="s">
        <v>12</v>
      </c>
    </row>
    <row r="18" spans="2:7">
      <c r="B18" s="5" t="s">
        <v>582</v>
      </c>
      <c r="C18" t="s">
        <v>12</v>
      </c>
      <c r="D18" t="str">
        <f>IF(C4="Application B","Yes","NA")</f>
        <v>Yes</v>
      </c>
      <c r="E18" t="s">
        <v>479</v>
      </c>
      <c r="G18" t="s">
        <v>12</v>
      </c>
    </row>
    <row r="19" spans="2:7">
      <c r="B19" s="5" t="s">
        <v>583</v>
      </c>
      <c r="C19" t="s">
        <v>584</v>
      </c>
      <c r="D19" t="str">
        <f>IF(AND(C4="Application B",C18="Yes"),"NA","Yes")</f>
        <v>Yes</v>
      </c>
      <c r="E19" t="s">
        <v>479</v>
      </c>
      <c r="G19" t="s">
        <v>12</v>
      </c>
    </row>
    <row r="20" spans="2:7">
      <c r="B20" t="s">
        <v>585</v>
      </c>
      <c r="C20" t="s">
        <v>586</v>
      </c>
      <c r="D20" t="s">
        <v>11</v>
      </c>
      <c r="E20" t="s">
        <v>479</v>
      </c>
      <c r="F20" t="s">
        <v>587</v>
      </c>
      <c r="G20" t="s">
        <v>12</v>
      </c>
    </row>
    <row r="21" spans="2:7">
      <c r="B21" s="5" t="s">
        <v>588</v>
      </c>
      <c r="C21" t="s">
        <v>589</v>
      </c>
      <c r="D21" t="str">
        <f>IF(C20="Default","Yes","NA")</f>
        <v>Yes</v>
      </c>
      <c r="E21" t="s">
        <v>479</v>
      </c>
      <c r="G21" t="s">
        <v>12</v>
      </c>
    </row>
    <row r="22" spans="2:7">
      <c r="B22" s="5" t="s">
        <v>590</v>
      </c>
      <c r="D22" t="str">
        <f>IF(C21="Other","Yes","NA")</f>
        <v>NA</v>
      </c>
      <c r="E22" t="s">
        <v>479</v>
      </c>
      <c r="G22" t="s">
        <v>12</v>
      </c>
    </row>
    <row r="23" spans="2:7">
      <c r="B23" s="5" t="s">
        <v>591</v>
      </c>
      <c r="C23" t="s">
        <v>12</v>
      </c>
      <c r="D23" t="s">
        <v>11</v>
      </c>
      <c r="E23" t="s">
        <v>479</v>
      </c>
      <c r="G23" t="s">
        <v>12</v>
      </c>
    </row>
    <row r="24" spans="2:7" s="70" customFormat="1">
      <c r="B24" s="70" t="s">
        <v>592</v>
      </c>
    </row>
    <row r="25" spans="2:7">
      <c r="B25" s="71" t="s">
        <v>593</v>
      </c>
    </row>
    <row r="26" spans="2:7">
      <c r="B26" t="s">
        <v>594</v>
      </c>
      <c r="C26" s="15">
        <f>IF(C8="Option 2 (Estimated)","NA",IF(C4="Application A",0.75,IF(AND(C4="Application B",C9="Humid/wet conditions"),0.85,IF(AND(C4="Application B",C9="Dry conditions"),0.8,))))</f>
        <v>0.85</v>
      </c>
      <c r="D26" t="str">
        <f>IF(C8="Option 1 (Default)","Yes","NA")</f>
        <v>Yes</v>
      </c>
      <c r="E26" t="s">
        <v>472</v>
      </c>
      <c r="G26" t="s">
        <v>12</v>
      </c>
    </row>
    <row r="27" spans="2:7">
      <c r="B27" s="71" t="s">
        <v>595</v>
      </c>
    </row>
    <row r="28" spans="2:7">
      <c r="B28" t="s">
        <v>596</v>
      </c>
      <c r="C28" s="72" t="str">
        <f>IF(C8="Option 1 (Default)","NA",IF(C11="Weighed",0.02,IF(C11="Estimated",0.1)))</f>
        <v>NA</v>
      </c>
      <c r="D28" t="str">
        <f>IF(C8="Option 2 (Estimated)","Yes","NA")</f>
        <v>NA</v>
      </c>
      <c r="E28" t="s">
        <v>472</v>
      </c>
      <c r="G28" t="s">
        <v>12</v>
      </c>
    </row>
    <row r="29" spans="2:7">
      <c r="B29" t="s">
        <v>597</v>
      </c>
      <c r="C29" s="72" t="str">
        <f>IF(C8="Option 1 (Default)","NA",IF(C20="Measure",0.05,IF(C20="Default",0.1)))</f>
        <v>NA</v>
      </c>
      <c r="D29" t="str">
        <f>IF(C8="Option 2 (Estimated)","Yes","NA")</f>
        <v>NA</v>
      </c>
      <c r="E29" t="s">
        <v>472</v>
      </c>
      <c r="G29" t="s">
        <v>12</v>
      </c>
    </row>
    <row r="30" spans="2:7">
      <c r="B30" t="s">
        <v>598</v>
      </c>
      <c r="C30" s="72" t="str">
        <f>IF(C8="Option 1 (Default)","NA",IF(OR(C12="Yes",C13="Yes"),0.05,0.15))</f>
        <v>NA</v>
      </c>
      <c r="D30" t="str">
        <f>IF(C8="Option 2 (Estimated)","Yes","NA")</f>
        <v>NA</v>
      </c>
      <c r="E30" t="s">
        <v>472</v>
      </c>
      <c r="G30" t="s">
        <v>12</v>
      </c>
    </row>
    <row r="31" spans="2:7">
      <c r="B31" t="s">
        <v>599</v>
      </c>
      <c r="C31" s="72" t="str">
        <f>IF(C8="Option 1 (Default)","NA",IF(C12="Yes",0,0.05))</f>
        <v>NA</v>
      </c>
      <c r="D31" t="str">
        <f>IF(C8="Option 2 (Estimated)","Yes","NA")</f>
        <v>NA</v>
      </c>
      <c r="E31" t="s">
        <v>472</v>
      </c>
      <c r="G31" t="s">
        <v>12</v>
      </c>
    </row>
    <row r="32" spans="2:7">
      <c r="B32" t="s">
        <v>600</v>
      </c>
      <c r="C32" s="72" t="str">
        <f>IF(C8="Option 1 (Default)","NA",IF(C14="Managed",0,IF(C14="Unmanaged",0.5)))</f>
        <v>NA</v>
      </c>
      <c r="D32" t="str">
        <f>IF(C8="Option 2 (Estimated)","Yes","NA")</f>
        <v>NA</v>
      </c>
      <c r="E32" t="s">
        <v>472</v>
      </c>
      <c r="G32" t="s">
        <v>12</v>
      </c>
    </row>
    <row r="33" spans="1:7" ht="17.25">
      <c r="B33" t="s">
        <v>601</v>
      </c>
      <c r="C33" s="72" t="str">
        <f>IF(C8="Option 1 (Default)","NA",IF(AND(C4="Application B",C15="Yes",C84&gt;0.2),0.05,IF(AND(C4="Application A",C16="Yes"),0.05,0.2)))</f>
        <v>NA</v>
      </c>
      <c r="D33" t="str">
        <f>IF(C8="Option 2 (Estimated)","Yes","NA")</f>
        <v>NA</v>
      </c>
      <c r="E33" t="s">
        <v>472</v>
      </c>
      <c r="G33" t="s">
        <v>12</v>
      </c>
    </row>
    <row r="34" spans="1:7">
      <c r="A34" t="s">
        <v>602</v>
      </c>
      <c r="B34" t="s">
        <v>603</v>
      </c>
      <c r="C34" s="15" t="str">
        <f>IF(C8="Option 1 (Default)","NA",SQRT(C28^2+C29^2+C30^2+C31^2+C32^2+C33^2))</f>
        <v>NA</v>
      </c>
      <c r="D34" t="str">
        <f>IF(C8="Option 2 (Estimated)","Yes","NA")</f>
        <v>NA</v>
      </c>
      <c r="E34" t="s">
        <v>472</v>
      </c>
      <c r="G34" t="s">
        <v>12</v>
      </c>
    </row>
    <row r="35" spans="1:7">
      <c r="A35" t="s">
        <v>604</v>
      </c>
      <c r="B35" t="s">
        <v>605</v>
      </c>
      <c r="C35" s="15" t="str">
        <f>IF(C8="Option 1 (Default)","NA",1/(1+C34))</f>
        <v>NA</v>
      </c>
      <c r="D35" t="str">
        <f>IF(C8="Option 2 (Estimated)","Yes","NA")</f>
        <v>NA</v>
      </c>
      <c r="E35" t="s">
        <v>472</v>
      </c>
      <c r="G35" t="s">
        <v>12</v>
      </c>
    </row>
    <row r="36" spans="1:7" s="70" customFormat="1">
      <c r="B36" s="70" t="s">
        <v>606</v>
      </c>
    </row>
    <row r="37" spans="1:7">
      <c r="B37" s="71" t="s">
        <v>607</v>
      </c>
    </row>
    <row r="38" spans="1:7">
      <c r="A38" t="s">
        <v>608</v>
      </c>
      <c r="B38" t="s">
        <v>609</v>
      </c>
      <c r="C38">
        <v>1</v>
      </c>
      <c r="D38" t="str">
        <f>IF(C4="Application A","Yes","NA")</f>
        <v>NA</v>
      </c>
      <c r="E38" t="s">
        <v>122</v>
      </c>
      <c r="G38" t="s">
        <v>12</v>
      </c>
    </row>
    <row r="39" spans="1:7">
      <c r="B39" s="71" t="s">
        <v>561</v>
      </c>
    </row>
    <row r="40" spans="1:7">
      <c r="A40" t="s">
        <v>610</v>
      </c>
      <c r="B40" s="10" t="s">
        <v>611</v>
      </c>
      <c r="C40">
        <v>1</v>
      </c>
      <c r="D40" t="str">
        <f>IF(AND(C4="Application B",C23="No"),"Yes","NA")</f>
        <v>Yes</v>
      </c>
      <c r="E40" t="s">
        <v>122</v>
      </c>
      <c r="G40" t="s">
        <v>11</v>
      </c>
    </row>
    <row r="41" spans="1:7">
      <c r="B41" s="73" t="s">
        <v>612</v>
      </c>
    </row>
    <row r="42" spans="1:7">
      <c r="A42" t="s">
        <v>613</v>
      </c>
      <c r="B42" s="10" t="s">
        <v>614</v>
      </c>
      <c r="C42">
        <v>1</v>
      </c>
      <c r="D42" t="str">
        <f>IF(AND(C4="Application B",C23="No"),"Yes","NA")</f>
        <v>Yes</v>
      </c>
      <c r="E42" t="s">
        <v>122</v>
      </c>
      <c r="G42" t="s">
        <v>12</v>
      </c>
    </row>
    <row r="43" spans="1:7">
      <c r="A43" t="s">
        <v>615</v>
      </c>
      <c r="B43" t="s">
        <v>616</v>
      </c>
      <c r="C43">
        <v>1</v>
      </c>
      <c r="D43" t="str">
        <f>IF(C4="Application B","Yes","NA")</f>
        <v>Yes</v>
      </c>
      <c r="E43" t="s">
        <v>122</v>
      </c>
      <c r="G43" t="s">
        <v>12</v>
      </c>
    </row>
    <row r="44" spans="1:7">
      <c r="A44" t="s">
        <v>617</v>
      </c>
      <c r="B44" t="s">
        <v>618</v>
      </c>
      <c r="C44" s="15">
        <f>IF(C4="Application A","NA",C40/C42)</f>
        <v>1</v>
      </c>
      <c r="D44" t="str">
        <f>IF(AND(C4="Application B",C23="No"),"Yes","NA")</f>
        <v>Yes</v>
      </c>
      <c r="E44" t="s">
        <v>472</v>
      </c>
      <c r="G44" t="s">
        <v>12</v>
      </c>
    </row>
    <row r="45" spans="1:7">
      <c r="A45" t="s">
        <v>619</v>
      </c>
      <c r="B45" t="s">
        <v>620</v>
      </c>
      <c r="C45" s="15">
        <f>IF(C4="Application A","NA",C43*C44)</f>
        <v>1</v>
      </c>
      <c r="D45" t="str">
        <f>IF(AND(C4="Application B",C23="No"),"Yes","NA")</f>
        <v>Yes</v>
      </c>
      <c r="E45" t="s">
        <v>472</v>
      </c>
      <c r="G45" t="s">
        <v>12</v>
      </c>
    </row>
    <row r="46" spans="1:7" s="70" customFormat="1">
      <c r="B46" s="70" t="s">
        <v>621</v>
      </c>
    </row>
    <row r="47" spans="1:7">
      <c r="B47" s="71" t="s">
        <v>586</v>
      </c>
    </row>
    <row r="48" spans="1:7">
      <c r="A48" t="s">
        <v>622</v>
      </c>
      <c r="B48" t="s">
        <v>623</v>
      </c>
      <c r="C48" s="15" t="str">
        <f>IF(AND(C4="Application B",C6="Yes",C17="Default"),0.05,IF((C4="Application A"),0.05,"NA"))</f>
        <v>NA</v>
      </c>
      <c r="D48" t="str">
        <f>IF(AND(C4="Application B",C6="Yes",C17="Default"),"Yes",IF((C4="Application A"),"Yes","NA"))</f>
        <v>NA</v>
      </c>
      <c r="E48" t="s">
        <v>472</v>
      </c>
      <c r="G48" t="s">
        <v>12</v>
      </c>
    </row>
    <row r="49" spans="1:9">
      <c r="B49" s="71" t="s">
        <v>624</v>
      </c>
    </row>
    <row r="50" spans="1:9">
      <c r="A50" t="s">
        <v>625</v>
      </c>
      <c r="B50" s="41" t="s">
        <v>626</v>
      </c>
      <c r="C50">
        <v>1</v>
      </c>
      <c r="D50" t="str">
        <f>IF(AND(C4="Application B",C6="yes",C17="Measure"),"Yes","NA")</f>
        <v>NA</v>
      </c>
      <c r="E50" t="s">
        <v>122</v>
      </c>
      <c r="G50" t="s">
        <v>12</v>
      </c>
    </row>
    <row r="51" spans="1:9">
      <c r="A51" t="s">
        <v>627</v>
      </c>
      <c r="B51" t="s">
        <v>628</v>
      </c>
      <c r="C51">
        <v>1</v>
      </c>
      <c r="D51" t="str">
        <f>IF(AND(C4="Application B",C6="yes",C17="Measure"),"Yes","NA")</f>
        <v>NA</v>
      </c>
      <c r="E51" t="s">
        <v>122</v>
      </c>
      <c r="G51" t="s">
        <v>12</v>
      </c>
    </row>
    <row r="52" spans="1:9">
      <c r="A52" t="s">
        <v>629</v>
      </c>
      <c r="B52" t="s">
        <v>630</v>
      </c>
      <c r="D52" t="str">
        <f>IF(AND(C4="Application B",C6="yes",C17="Measure"),"Yes","NA")</f>
        <v>NA</v>
      </c>
      <c r="E52" t="s">
        <v>122</v>
      </c>
      <c r="G52" t="s">
        <v>12</v>
      </c>
    </row>
    <row r="53" spans="1:9">
      <c r="A53" t="s">
        <v>631</v>
      </c>
      <c r="B53" t="s">
        <v>632</v>
      </c>
      <c r="C53">
        <v>1</v>
      </c>
      <c r="D53" t="str">
        <f>IF(AND(C4="Application B",C6="yes",C17="Measure"),"Yes","NA")</f>
        <v>NA</v>
      </c>
      <c r="E53" t="s">
        <v>122</v>
      </c>
      <c r="G53" t="s">
        <v>12</v>
      </c>
    </row>
    <row r="54" spans="1:9">
      <c r="A54" t="s">
        <v>633</v>
      </c>
      <c r="B54" t="s">
        <v>623</v>
      </c>
      <c r="C54" s="15" t="str">
        <f>IF(AND(C4="Application B",C6="Yes",C17="Measure"),0.7*(12/16)*C50/#REF!*(C51*C53),"NA")</f>
        <v>NA</v>
      </c>
      <c r="D54" t="str">
        <f>IF(AND(C4="Application B",C6="yes",C17="Measure"),"Yes","NA")</f>
        <v>NA</v>
      </c>
      <c r="E54" t="s">
        <v>472</v>
      </c>
      <c r="G54" t="s">
        <v>12</v>
      </c>
    </row>
    <row r="55" spans="1:9">
      <c r="B55" s="71" t="s">
        <v>634</v>
      </c>
    </row>
    <row r="56" spans="1:9">
      <c r="A56" t="s">
        <v>635</v>
      </c>
      <c r="B56" s="5" t="s">
        <v>636</v>
      </c>
      <c r="C56">
        <v>1</v>
      </c>
      <c r="D56" t="str">
        <f>IF(AND(C4="Application B",C7="yes"),"Yes","NA")</f>
        <v>Yes</v>
      </c>
      <c r="E56" t="s">
        <v>122</v>
      </c>
      <c r="G56" t="s">
        <v>12</v>
      </c>
    </row>
    <row r="57" spans="1:9">
      <c r="A57" t="s">
        <v>627</v>
      </c>
      <c r="B57" t="s">
        <v>628</v>
      </c>
      <c r="C57">
        <v>1</v>
      </c>
      <c r="D57" t="str">
        <f>IF(AND(C4="Application B",C7="yes"),"Yes","NA")</f>
        <v>Yes</v>
      </c>
      <c r="E57" t="s">
        <v>122</v>
      </c>
      <c r="G57" t="s">
        <v>12</v>
      </c>
      <c r="I57" s="41"/>
    </row>
    <row r="58" spans="1:9">
      <c r="A58" t="s">
        <v>631</v>
      </c>
      <c r="B58" t="s">
        <v>632</v>
      </c>
      <c r="C58">
        <v>1</v>
      </c>
      <c r="D58" t="str">
        <f>IF(AND(C4="Application B",C7="yes"),"Yes","NA")</f>
        <v>Yes</v>
      </c>
      <c r="E58" t="s">
        <v>122</v>
      </c>
      <c r="G58" t="s">
        <v>12</v>
      </c>
    </row>
    <row r="59" spans="1:9">
      <c r="A59" t="s">
        <v>633</v>
      </c>
      <c r="B59" s="41" t="s">
        <v>623</v>
      </c>
      <c r="C59" s="15">
        <f>IF(AND(C4="Application B",C7="Yes"),0.7*(12/16)*C56/(C57*C58),"NA")</f>
        <v>0.52499999999999991</v>
      </c>
      <c r="D59" t="str">
        <f>IF(AND(C4="Application B",C7="yes"),"Yes","NA")</f>
        <v>Yes</v>
      </c>
      <c r="E59" t="s">
        <v>472</v>
      </c>
      <c r="G59" t="s">
        <v>12</v>
      </c>
    </row>
    <row r="60" spans="1:9" s="70" customFormat="1">
      <c r="B60" s="70" t="s">
        <v>637</v>
      </c>
    </row>
    <row r="61" spans="1:9">
      <c r="B61" s="71" t="s">
        <v>586</v>
      </c>
    </row>
    <row r="62" spans="1:9">
      <c r="A62" t="s">
        <v>638</v>
      </c>
      <c r="B62" t="s">
        <v>639</v>
      </c>
      <c r="C62" s="15">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472</v>
      </c>
      <c r="G62" t="s">
        <v>12</v>
      </c>
    </row>
    <row r="63" spans="1:9">
      <c r="B63" s="71" t="s">
        <v>640</v>
      </c>
    </row>
    <row r="64" spans="1:9">
      <c r="A64" t="s">
        <v>641</v>
      </c>
      <c r="B64" t="s">
        <v>642</v>
      </c>
      <c r="C64">
        <v>1</v>
      </c>
      <c r="D64" t="str">
        <f>IF(AND(C4="Application B",C18="Yes"),"Yes","NA")</f>
        <v>NA</v>
      </c>
      <c r="E64" t="s">
        <v>122</v>
      </c>
      <c r="G64" t="s">
        <v>12</v>
      </c>
    </row>
    <row r="65" spans="1:7">
      <c r="A65" t="s">
        <v>643</v>
      </c>
      <c r="B65" t="s">
        <v>644</v>
      </c>
      <c r="C65">
        <v>1</v>
      </c>
      <c r="D65" t="str">
        <f>IF(AND(C4="Application B",C18="Yes"),"Yes","NA")</f>
        <v>NA</v>
      </c>
      <c r="E65" t="s">
        <v>122</v>
      </c>
      <c r="G65" t="s">
        <v>12</v>
      </c>
    </row>
    <row r="66" spans="1:7">
      <c r="A66" t="s">
        <v>645</v>
      </c>
      <c r="B66" t="s">
        <v>639</v>
      </c>
      <c r="C66" s="15" t="str">
        <f>IF(AND(C4="Application B",C18="yes"),MAX((1-2/C65),C64/C65), "NA")</f>
        <v>NA</v>
      </c>
      <c r="D66" t="str">
        <f>IF(AND(C4="Application B",C18="Yes"),"Yes","NA")</f>
        <v>NA</v>
      </c>
      <c r="E66" t="s">
        <v>472</v>
      </c>
      <c r="G66" t="s">
        <v>12</v>
      </c>
    </row>
    <row r="67" spans="1:7" s="70" customFormat="1">
      <c r="B67" s="70" t="s">
        <v>646</v>
      </c>
    </row>
    <row r="68" spans="1:7">
      <c r="B68" s="71" t="s">
        <v>586</v>
      </c>
    </row>
    <row r="69" spans="1:7">
      <c r="A69" t="s">
        <v>647</v>
      </c>
      <c r="B69" t="s">
        <v>632</v>
      </c>
      <c r="C69" s="72">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472</v>
      </c>
      <c r="G69" t="s">
        <v>12</v>
      </c>
    </row>
    <row r="70" spans="1:7">
      <c r="B70" s="71" t="s">
        <v>648</v>
      </c>
    </row>
    <row r="71" spans="1:7">
      <c r="A71" t="s">
        <v>649</v>
      </c>
      <c r="B71" t="s">
        <v>632</v>
      </c>
      <c r="C71">
        <v>1</v>
      </c>
      <c r="D71" t="str">
        <f>IF(AND(C4="Application B",C20="Measure"),"Yes","NA")</f>
        <v>NA</v>
      </c>
      <c r="E71" t="s">
        <v>122</v>
      </c>
      <c r="G71" t="s">
        <v>12</v>
      </c>
    </row>
    <row r="72" spans="1:7" s="70" customFormat="1" ht="18.75">
      <c r="B72" s="74" t="s">
        <v>650</v>
      </c>
    </row>
    <row r="73" spans="1:7" ht="30">
      <c r="A73" t="s">
        <v>651</v>
      </c>
      <c r="B73" s="10" t="s">
        <v>652</v>
      </c>
      <c r="C73">
        <v>1</v>
      </c>
      <c r="D73" t="s">
        <v>11</v>
      </c>
      <c r="E73" t="s">
        <v>122</v>
      </c>
      <c r="G73" t="s">
        <v>12</v>
      </c>
    </row>
    <row r="74" spans="1:7">
      <c r="A74" t="s">
        <v>653</v>
      </c>
      <c r="B74" t="s">
        <v>654</v>
      </c>
      <c r="C74">
        <v>1</v>
      </c>
      <c r="D74" t="s">
        <v>11</v>
      </c>
      <c r="E74" t="s">
        <v>122</v>
      </c>
      <c r="G74" t="s">
        <v>12</v>
      </c>
    </row>
    <row r="75" spans="1:7">
      <c r="A75" t="s">
        <v>633</v>
      </c>
      <c r="B75" t="s">
        <v>623</v>
      </c>
      <c r="C75" s="15">
        <f>IF(C4="Application A",C48,IF(AND(C4="Application B",C6="Yes",C17="Default"),C48,IF(AND(C4="Application B",C6="Yes",C17="Measure"),C54, IF(AND(C4="Application B",C7="Yes",C17="Measure"),C59))))</f>
        <v>0.52499999999999991</v>
      </c>
      <c r="D75" t="s">
        <v>11</v>
      </c>
      <c r="E75" t="s">
        <v>472</v>
      </c>
      <c r="G75" t="s">
        <v>12</v>
      </c>
    </row>
    <row r="76" spans="1:7">
      <c r="A76" t="s">
        <v>655</v>
      </c>
      <c r="B76" t="s">
        <v>620</v>
      </c>
      <c r="C76" s="15">
        <f>IF(C4="Application A",C38,IF(AND(C4="Application B",C23="No"),C45,IF(AND(C4="Application B",C23="Yes"),C43)))</f>
        <v>1</v>
      </c>
      <c r="D76" t="s">
        <v>11</v>
      </c>
      <c r="E76" t="s">
        <v>472</v>
      </c>
      <c r="G76" t="s">
        <v>12</v>
      </c>
    </row>
    <row r="77" spans="1:7">
      <c r="A77" t="s">
        <v>604</v>
      </c>
      <c r="B77" t="s">
        <v>605</v>
      </c>
      <c r="C77" s="15">
        <f>IF(C8="Option 1 (Default)",C26,C35)</f>
        <v>0.85</v>
      </c>
      <c r="D77" t="s">
        <v>11</v>
      </c>
      <c r="E77" t="s">
        <v>472</v>
      </c>
      <c r="G77" t="s">
        <v>12</v>
      </c>
    </row>
    <row r="78" spans="1:7" ht="15.75" thickBot="1">
      <c r="A78" t="s">
        <v>656</v>
      </c>
      <c r="B78" t="s">
        <v>657</v>
      </c>
      <c r="D78" t="s">
        <v>11</v>
      </c>
      <c r="E78" t="s">
        <v>122</v>
      </c>
      <c r="G78" t="s">
        <v>12</v>
      </c>
    </row>
    <row r="79" spans="1:7" ht="15.75" thickBot="1">
      <c r="A79" t="s">
        <v>116</v>
      </c>
      <c r="B79" t="s">
        <v>658</v>
      </c>
      <c r="C79" s="75">
        <v>28</v>
      </c>
      <c r="D79" t="s">
        <v>11</v>
      </c>
      <c r="E79" t="s">
        <v>659</v>
      </c>
      <c r="G79" t="s">
        <v>12</v>
      </c>
    </row>
    <row r="80" spans="1:7" ht="15.75" thickBot="1">
      <c r="A80" t="s">
        <v>660</v>
      </c>
      <c r="B80" t="s">
        <v>661</v>
      </c>
      <c r="C80" s="75">
        <v>0.1</v>
      </c>
      <c r="D80" t="s">
        <v>11</v>
      </c>
      <c r="E80" t="s">
        <v>659</v>
      </c>
      <c r="G80" t="s">
        <v>12</v>
      </c>
    </row>
    <row r="81" spans="1:7" ht="15.75" thickBot="1">
      <c r="A81" t="s">
        <v>627</v>
      </c>
      <c r="B81" t="s">
        <v>628</v>
      </c>
      <c r="C81" s="75">
        <v>0.5</v>
      </c>
      <c r="D81" t="s">
        <v>11</v>
      </c>
      <c r="E81" t="s">
        <v>659</v>
      </c>
      <c r="G81" t="s">
        <v>12</v>
      </c>
    </row>
    <row r="82" spans="1:7">
      <c r="A82" t="s">
        <v>662</v>
      </c>
      <c r="B82" t="s">
        <v>639</v>
      </c>
      <c r="C82" s="15">
        <f>IF(AND(C4="Application B",C18="Yes"),C66,C62)</f>
        <v>0.8</v>
      </c>
      <c r="D82" t="s">
        <v>11</v>
      </c>
      <c r="E82" t="s">
        <v>472</v>
      </c>
      <c r="G82" t="s">
        <v>12</v>
      </c>
    </row>
    <row r="83" spans="1:7">
      <c r="A83" t="s">
        <v>649</v>
      </c>
      <c r="B83" t="s">
        <v>632</v>
      </c>
      <c r="C83" s="72">
        <f>IF(C20="Default",C69,C71)</f>
        <v>0.4</v>
      </c>
      <c r="D83" t="s">
        <v>11</v>
      </c>
      <c r="E83" t="s">
        <v>472</v>
      </c>
      <c r="G83" t="s">
        <v>12</v>
      </c>
    </row>
    <row r="84" spans="1:7">
      <c r="A84" t="s">
        <v>401</v>
      </c>
      <c r="B84" t="s">
        <v>663</v>
      </c>
      <c r="C84" s="15">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11</v>
      </c>
      <c r="E84" t="s">
        <v>472</v>
      </c>
      <c r="F84" t="s">
        <v>664</v>
      </c>
      <c r="G84" t="s">
        <v>12</v>
      </c>
    </row>
    <row r="85" spans="1:7">
      <c r="A85" t="s">
        <v>391</v>
      </c>
      <c r="B85" t="s">
        <v>665</v>
      </c>
      <c r="C85" s="15" t="str">
        <f>IF(C21="Other",C22,C21)</f>
        <v>Pulp, paper and cardboard (other than sludge)</v>
      </c>
      <c r="D85" t="s">
        <v>11</v>
      </c>
      <c r="E85" t="s">
        <v>472</v>
      </c>
      <c r="G85" t="s">
        <v>12</v>
      </c>
    </row>
    <row r="86" spans="1:7">
      <c r="A86" t="s">
        <v>666</v>
      </c>
      <c r="B86" t="s">
        <v>667</v>
      </c>
      <c r="C86" s="15">
        <f>C77*(1-C78)*C79*(1-C80)*(16/12)*C81*C75*C82*(C76*C83*EXP(-C84*(C74-C73))*(1-EXP(-C84)))</f>
        <v>0.16218993029283385</v>
      </c>
      <c r="D86" t="s">
        <v>11</v>
      </c>
      <c r="E86" t="s">
        <v>472</v>
      </c>
      <c r="G86" t="s">
        <v>12</v>
      </c>
    </row>
    <row r="87" spans="1:7">
      <c r="B87" s="76" t="s">
        <v>668</v>
      </c>
      <c r="F87" t="s">
        <v>669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48E640ED-BCB7-4837-B14C-2A498B422102}">
          <x14:formula1>
            <xm:f>'Dropdown Items'!$B$2:$B$3</xm:f>
          </x14:formula1>
          <xm:sqref>C4</xm:sqref>
        </x14:dataValidation>
        <x14:dataValidation type="list" allowBlank="1" showInputMessage="1" showErrorMessage="1" xr:uid="{8FAEC19C-DCC0-44B5-925E-B827D65A37DC}">
          <x14:formula1>
            <xm:f>'Dropdown Items'!$D$2:$D$3</xm:f>
          </x14:formula1>
          <xm:sqref>C12:C13 C23 C18 C5:C7 C15:C16</xm:sqref>
        </x14:dataValidation>
        <x14:dataValidation type="list" allowBlank="1" showInputMessage="1" showErrorMessage="1" xr:uid="{6AF397C1-AC49-4361-BFA6-7F3C7BE68CBB}">
          <x14:formula1>
            <xm:f>'Dropdown Items'!$E$2:$E$3</xm:f>
          </x14:formula1>
          <xm:sqref>C8</xm:sqref>
        </x14:dataValidation>
        <x14:dataValidation type="list" allowBlank="1" showInputMessage="1" showErrorMessage="1" xr:uid="{582DA6C3-EF06-45CE-AAF3-0A6F807540E9}">
          <x14:formula1>
            <xm:f>'Dropdown Items'!$G$2:$G$3</xm:f>
          </x14:formula1>
          <xm:sqref>C9</xm:sqref>
        </x14:dataValidation>
        <x14:dataValidation type="list" allowBlank="1" showInputMessage="1" showErrorMessage="1" xr:uid="{F1B5E329-62A4-4B9C-BCFB-45FE817E3978}">
          <x14:formula1>
            <xm:f>'Dropdown Items'!$J$2:$J$3</xm:f>
          </x14:formula1>
          <xm:sqref>C11</xm:sqref>
        </x14:dataValidation>
        <x14:dataValidation type="list" allowBlank="1" showInputMessage="1" showErrorMessage="1" xr:uid="{474D5898-33CC-49CD-A597-34E1952157B7}">
          <x14:formula1>
            <xm:f>'Dropdown Items'!$K$2:$K$3</xm:f>
          </x14:formula1>
          <xm:sqref>C23 C17:C18</xm:sqref>
        </x14:dataValidation>
        <x14:dataValidation type="list" allowBlank="1" showInputMessage="1" showErrorMessage="1" xr:uid="{14D15774-8AA8-41E3-A72E-661A4C89FB1C}">
          <x14:formula1>
            <xm:f>'Dropdown Items'!$L$2:$L$3</xm:f>
          </x14:formula1>
          <xm:sqref>C14</xm:sqref>
        </x14:dataValidation>
        <x14:dataValidation type="list" allowBlank="1" showInputMessage="1" showErrorMessage="1" xr:uid="{87AB5D28-B831-4824-9F80-0F349106B17B}">
          <x14:formula1>
            <xm:f>'Dropdown Items'!$M$2:$M$5</xm:f>
          </x14:formula1>
          <xm:sqref>C19</xm:sqref>
        </x14:dataValidation>
        <x14:dataValidation type="list" allowBlank="1" showInputMessage="1" showErrorMessage="1" xr:uid="{96BD6F50-DA5F-4B67-9813-A731670FB45E}">
          <x14:formula1>
            <xm:f>'Dropdown Items'!$F$2:$F$3</xm:f>
          </x14:formula1>
          <xm:sqref>C20</xm:sqref>
        </x14:dataValidation>
        <x14:dataValidation type="list" allowBlank="1" showInputMessage="1" showErrorMessage="1" xr:uid="{E9F0EFE3-0051-45DC-8A14-7427D1276AC7}">
          <x14:formula1>
            <xm:f>'Dropdown Items'!$I$2:$I$11</xm:f>
          </x14:formula1>
          <xm:sqref>C21</xm:sqref>
        </x14:dataValidation>
        <x14:dataValidation type="list" allowBlank="1" showInputMessage="1" showErrorMessage="1" xr:uid="{E4436CC5-2F05-42DD-9322-632BDCD0F73F}">
          <x14:formula1>
            <xm:f>'Dropdown Items'!$H$2:$H$3</xm:f>
          </x14:formula1>
          <xm:sqref>C10</xm:sqref>
        </x14:dataValidation>
        <x14:dataValidation type="list" allowBlank="1" showInputMessage="1" showErrorMessage="1" xr:uid="{30CD3FF7-79BF-415A-AA8A-6521D8FE0732}">
          <x14:formula1>
            <xm:f>'Dropdown Items'!$A$2:$A$4</xm:f>
          </x14:formula1>
          <xm:sqref>C3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7118-D0D9-4DB6-8544-C8340639FFE9}">
  <dimension ref="A1:D8"/>
  <sheetViews>
    <sheetView workbookViewId="0">
      <selection activeCell="E48" sqref="E48"/>
    </sheetView>
  </sheetViews>
  <sheetFormatPr defaultRowHeight="15"/>
  <cols>
    <col min="1" max="1" width="14.5703125" style="77" customWidth="1"/>
    <col min="2" max="2" width="26.5703125" customWidth="1"/>
    <col min="3" max="3" width="23.7109375" customWidth="1"/>
    <col min="4" max="4" width="25.140625" customWidth="1"/>
  </cols>
  <sheetData>
    <row r="1" spans="1:4" s="77" customFormat="1">
      <c r="B1" s="77" t="s">
        <v>559</v>
      </c>
      <c r="C1" s="77" t="s">
        <v>670</v>
      </c>
      <c r="D1" s="77" t="s">
        <v>671</v>
      </c>
    </row>
    <row r="2" spans="1:4">
      <c r="A2" s="77" t="s">
        <v>672</v>
      </c>
      <c r="B2">
        <f>IF('Tool 04-SWDS-Yearly'!C3="Baseline Emissions (BE)",'Tool 04-SWDS-Yearly'!C86)</f>
        <v>0.16218993029283385</v>
      </c>
      <c r="C2" t="b">
        <f>IF('Tool 04-SWDS-Yearly'!C3="Project Emissions (PE)",'Tool 04-SWDS-Yearly'!C86)</f>
        <v>0</v>
      </c>
      <c r="D2" t="b">
        <f>IF('Tool 04-SWDS-Yearly'!C3="Leakage Emissions (LE)",'Tool 04-SWDS-Yearly'!C86)</f>
        <v>0</v>
      </c>
    </row>
    <row r="3" spans="1:4">
      <c r="A3" s="78" t="s">
        <v>672</v>
      </c>
      <c r="B3" s="79"/>
      <c r="C3" s="79"/>
      <c r="D3" s="79"/>
    </row>
    <row r="4" spans="1:4">
      <c r="A4" s="78" t="s">
        <v>672</v>
      </c>
      <c r="B4" s="79"/>
      <c r="C4" s="79"/>
      <c r="D4" s="79"/>
    </row>
    <row r="5" spans="1:4">
      <c r="A5" s="78" t="s">
        <v>672</v>
      </c>
      <c r="B5" s="79"/>
      <c r="C5" s="79"/>
      <c r="D5" s="79"/>
    </row>
    <row r="6" spans="1:4">
      <c r="A6" s="78" t="s">
        <v>672</v>
      </c>
      <c r="B6" s="79"/>
      <c r="C6" s="79"/>
      <c r="D6" s="79"/>
    </row>
    <row r="7" spans="1:4">
      <c r="A7" s="78" t="s">
        <v>672</v>
      </c>
      <c r="B7" s="79"/>
      <c r="C7" s="79"/>
      <c r="D7" s="79"/>
    </row>
    <row r="8" spans="1:4" s="77" customFormat="1">
      <c r="A8" s="77" t="s">
        <v>673</v>
      </c>
      <c r="B8" s="77">
        <f>SUM(B2:B7)</f>
        <v>0.16218993029283385</v>
      </c>
      <c r="C8" s="77">
        <f t="shared" ref="C8" si="0">SUM(C2:C7)</f>
        <v>0</v>
      </c>
      <c r="D8" s="77">
        <f>SUM(D2:D7)</f>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08BE-389D-47D6-BDCF-CFF75D94202C}">
  <dimension ref="A1:M11"/>
  <sheetViews>
    <sheetView workbookViewId="0">
      <selection activeCell="E48" sqref="E48"/>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77" t="s">
        <v>674</v>
      </c>
      <c r="B1" s="77" t="s">
        <v>675</v>
      </c>
      <c r="C1" s="77" t="s">
        <v>676</v>
      </c>
      <c r="D1" s="77" t="s">
        <v>677</v>
      </c>
      <c r="E1" s="77" t="s">
        <v>678</v>
      </c>
      <c r="F1" s="77" t="s">
        <v>679</v>
      </c>
      <c r="G1" s="77" t="s">
        <v>680</v>
      </c>
      <c r="H1" s="77" t="s">
        <v>681</v>
      </c>
      <c r="I1" s="77" t="s">
        <v>682</v>
      </c>
    </row>
    <row r="2" spans="1:13">
      <c r="A2" t="s">
        <v>559</v>
      </c>
      <c r="B2" t="s">
        <v>607</v>
      </c>
      <c r="C2" t="s">
        <v>683</v>
      </c>
      <c r="D2" t="s">
        <v>11</v>
      </c>
      <c r="E2" t="s">
        <v>567</v>
      </c>
      <c r="F2" t="s">
        <v>586</v>
      </c>
      <c r="G2" t="s">
        <v>569</v>
      </c>
      <c r="H2" t="s">
        <v>684</v>
      </c>
      <c r="I2" t="s">
        <v>685</v>
      </c>
      <c r="J2" t="s">
        <v>686</v>
      </c>
      <c r="K2" t="s">
        <v>581</v>
      </c>
      <c r="L2" t="s">
        <v>577</v>
      </c>
      <c r="M2" t="s">
        <v>687</v>
      </c>
    </row>
    <row r="3" spans="1:13" ht="30">
      <c r="A3" t="s">
        <v>670</v>
      </c>
      <c r="B3" t="s">
        <v>561</v>
      </c>
      <c r="C3" t="s">
        <v>688</v>
      </c>
      <c r="D3" t="s">
        <v>12</v>
      </c>
      <c r="E3" t="s">
        <v>689</v>
      </c>
      <c r="F3" t="s">
        <v>581</v>
      </c>
      <c r="G3" t="s">
        <v>690</v>
      </c>
      <c r="H3" t="s">
        <v>571</v>
      </c>
      <c r="I3" s="10" t="s">
        <v>589</v>
      </c>
      <c r="J3" t="s">
        <v>573</v>
      </c>
      <c r="K3" t="s">
        <v>586</v>
      </c>
      <c r="L3" t="s">
        <v>691</v>
      </c>
      <c r="M3" t="s">
        <v>692</v>
      </c>
    </row>
    <row r="4" spans="1:13">
      <c r="A4" t="s">
        <v>671</v>
      </c>
      <c r="I4" t="s">
        <v>693</v>
      </c>
      <c r="M4" t="s">
        <v>584</v>
      </c>
    </row>
    <row r="5" spans="1:13">
      <c r="I5" t="s">
        <v>694</v>
      </c>
      <c r="M5" t="s">
        <v>695</v>
      </c>
    </row>
    <row r="6" spans="1:13">
      <c r="I6" t="s">
        <v>696</v>
      </c>
    </row>
    <row r="7" spans="1:13">
      <c r="I7" t="s">
        <v>697</v>
      </c>
    </row>
    <row r="8" spans="1:13">
      <c r="I8" t="s">
        <v>698</v>
      </c>
    </row>
    <row r="9" spans="1:13">
      <c r="I9" t="s">
        <v>699</v>
      </c>
    </row>
    <row r="10" spans="1:13">
      <c r="I10" t="s">
        <v>700</v>
      </c>
    </row>
    <row r="11" spans="1:13">
      <c r="I11" t="s">
        <v>701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89C77-01F5-4062-A285-2BA6B5B4043C}">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83" t="s">
        <v>702</v>
      </c>
      <c r="B1" s="84" t="s">
        <v>703</v>
      </c>
    </row>
    <row r="2" spans="1:2">
      <c r="A2" t="s">
        <v>704</v>
      </c>
      <c r="B2" t="s">
        <v>705</v>
      </c>
    </row>
    <row r="3" spans="1:2">
      <c r="A3" t="s">
        <v>40</v>
      </c>
      <c r="B3" t="s">
        <v>706</v>
      </c>
    </row>
    <row r="4" spans="1:2">
      <c r="A4" t="s">
        <v>707</v>
      </c>
      <c r="B4" t="s">
        <v>708</v>
      </c>
    </row>
    <row r="5" spans="1:2">
      <c r="A5" t="s">
        <v>49</v>
      </c>
      <c r="B5" t="s">
        <v>709</v>
      </c>
    </row>
    <row r="6" spans="1:2">
      <c r="A6" t="s">
        <v>58</v>
      </c>
      <c r="B6" t="s">
        <v>710</v>
      </c>
    </row>
    <row r="7" spans="1:2">
      <c r="A7" t="s">
        <v>711</v>
      </c>
      <c r="B7" t="s">
        <v>712</v>
      </c>
    </row>
    <row r="8" spans="1:2">
      <c r="A8" t="s">
        <v>713</v>
      </c>
      <c r="B8" t="s">
        <v>714</v>
      </c>
    </row>
    <row r="9" spans="1:2">
      <c r="A9" t="s">
        <v>715</v>
      </c>
      <c r="B9" t="s">
        <v>716</v>
      </c>
    </row>
    <row r="10" spans="1:2">
      <c r="A10" t="s">
        <v>717</v>
      </c>
      <c r="B10" t="s">
        <v>718</v>
      </c>
    </row>
    <row r="11" spans="1:2">
      <c r="A11" t="s">
        <v>719</v>
      </c>
      <c r="B11" t="s">
        <v>720</v>
      </c>
    </row>
    <row r="12" spans="1:2">
      <c r="A12" t="s">
        <v>721</v>
      </c>
      <c r="B12" t="s">
        <v>722</v>
      </c>
    </row>
    <row r="13" spans="1:2">
      <c r="A13" t="s">
        <v>723</v>
      </c>
      <c r="B13" t="s">
        <v>724</v>
      </c>
    </row>
    <row r="14" spans="1:2">
      <c r="A14" t="s">
        <v>725</v>
      </c>
      <c r="B14" t="s">
        <v>726</v>
      </c>
    </row>
    <row r="15" spans="1:2">
      <c r="A15" t="s">
        <v>727</v>
      </c>
      <c r="B15" t="s">
        <v>728</v>
      </c>
    </row>
    <row r="16" spans="1:2">
      <c r="A16" t="s">
        <v>729</v>
      </c>
      <c r="B16" t="s">
        <v>730</v>
      </c>
    </row>
    <row r="17" spans="1:2">
      <c r="A17" t="s">
        <v>731</v>
      </c>
      <c r="B17" t="s">
        <v>732</v>
      </c>
    </row>
    <row r="18" spans="1:2">
      <c r="A18" t="s">
        <v>733</v>
      </c>
      <c r="B18" t="s">
        <v>734</v>
      </c>
    </row>
    <row r="19" spans="1:2">
      <c r="A19" t="s">
        <v>17</v>
      </c>
      <c r="B19" t="s">
        <v>735</v>
      </c>
    </row>
    <row r="20" spans="1:2">
      <c r="A20" t="s">
        <v>21</v>
      </c>
      <c r="B20" t="s">
        <v>736</v>
      </c>
    </row>
    <row r="21" spans="1:2">
      <c r="A21" t="s">
        <v>25</v>
      </c>
      <c r="B21" t="s">
        <v>737</v>
      </c>
    </row>
    <row r="22" spans="1:2">
      <c r="A22" t="s">
        <v>738</v>
      </c>
      <c r="B22" t="s">
        <v>739</v>
      </c>
    </row>
    <row r="23" spans="1:2">
      <c r="A23" t="s">
        <v>740</v>
      </c>
      <c r="B23" t="s">
        <v>741</v>
      </c>
    </row>
    <row r="24" spans="1:2">
      <c r="A24" t="s">
        <v>742</v>
      </c>
      <c r="B24" t="s">
        <v>743</v>
      </c>
    </row>
    <row r="25" spans="1:2">
      <c r="A25" t="s">
        <v>744</v>
      </c>
      <c r="B25" t="s">
        <v>745</v>
      </c>
    </row>
    <row r="26" spans="1:2">
      <c r="A26" t="s">
        <v>746</v>
      </c>
      <c r="B26" t="s">
        <v>747</v>
      </c>
    </row>
    <row r="27" spans="1:2">
      <c r="A27" t="s">
        <v>748</v>
      </c>
      <c r="B27" t="s">
        <v>749</v>
      </c>
    </row>
    <row r="28" spans="1:2">
      <c r="A28" t="s">
        <v>750</v>
      </c>
      <c r="B28" t="s">
        <v>751</v>
      </c>
    </row>
    <row r="29" spans="1:2">
      <c r="A29" t="s">
        <v>752</v>
      </c>
      <c r="B29" t="s">
        <v>753</v>
      </c>
    </row>
    <row r="30" spans="1:2">
      <c r="A30" t="s">
        <v>754</v>
      </c>
      <c r="B30" t="s">
        <v>755</v>
      </c>
    </row>
    <row r="31" spans="1:2">
      <c r="A31" t="s">
        <v>756</v>
      </c>
      <c r="B31" t="s">
        <v>757</v>
      </c>
    </row>
    <row r="32" spans="1:2">
      <c r="A32" t="s">
        <v>758</v>
      </c>
      <c r="B32" t="s">
        <v>759</v>
      </c>
    </row>
    <row r="33" spans="1:2">
      <c r="A33" t="s">
        <v>760</v>
      </c>
      <c r="B33" t="s">
        <v>761</v>
      </c>
    </row>
    <row r="34" spans="1:2">
      <c r="A34" s="85" t="s">
        <v>69</v>
      </c>
      <c r="B34" t="s">
        <v>762</v>
      </c>
    </row>
    <row r="35" spans="1:2">
      <c r="A35" s="85" t="s">
        <v>72</v>
      </c>
      <c r="B35" t="s">
        <v>763</v>
      </c>
    </row>
    <row r="36" spans="1:2">
      <c r="A36" s="85" t="s">
        <v>75</v>
      </c>
      <c r="B36" t="s">
        <v>764</v>
      </c>
    </row>
    <row r="37" spans="1:2">
      <c r="A37" s="85" t="s">
        <v>31</v>
      </c>
      <c r="B37" t="s">
        <v>765</v>
      </c>
    </row>
    <row r="38" spans="1:2">
      <c r="A38" s="85" t="s">
        <v>28</v>
      </c>
      <c r="B38" t="s">
        <v>766</v>
      </c>
    </row>
    <row r="39" spans="1:2">
      <c r="A39" s="85" t="s">
        <v>35</v>
      </c>
      <c r="B39" t="s">
        <v>767</v>
      </c>
    </row>
    <row r="40" spans="1:2">
      <c r="A40" t="s">
        <v>768</v>
      </c>
      <c r="B40" t="s">
        <v>769</v>
      </c>
    </row>
    <row r="41" spans="1:2">
      <c r="A41" t="s">
        <v>770</v>
      </c>
      <c r="B41" t="s">
        <v>771</v>
      </c>
    </row>
    <row r="42" spans="1:2">
      <c r="A42" t="s">
        <v>772</v>
      </c>
      <c r="B42" t="s">
        <v>773</v>
      </c>
    </row>
    <row r="43" spans="1:2">
      <c r="A43" t="s">
        <v>774</v>
      </c>
      <c r="B43" t="s">
        <v>775</v>
      </c>
    </row>
    <row r="44" spans="1:2">
      <c r="A44" t="s">
        <v>776</v>
      </c>
      <c r="B44" t="s">
        <v>777</v>
      </c>
    </row>
    <row r="45" spans="1:2">
      <c r="A45" t="s">
        <v>778</v>
      </c>
      <c r="B45" t="s">
        <v>779</v>
      </c>
    </row>
    <row r="46" spans="1:2">
      <c r="A46" t="s">
        <v>780</v>
      </c>
      <c r="B46" t="s">
        <v>781</v>
      </c>
    </row>
    <row r="47" spans="1:2">
      <c r="A47" t="s">
        <v>782</v>
      </c>
      <c r="B47" t="s">
        <v>783</v>
      </c>
    </row>
    <row r="48" spans="1:2">
      <c r="A48" t="s">
        <v>784</v>
      </c>
      <c r="B48" t="s">
        <v>785</v>
      </c>
    </row>
    <row r="49" spans="1:2">
      <c r="A49" t="s">
        <v>786</v>
      </c>
      <c r="B49" t="s">
        <v>787</v>
      </c>
    </row>
    <row r="50" spans="1:2">
      <c r="A50" t="s">
        <v>788</v>
      </c>
      <c r="B50" t="s">
        <v>789</v>
      </c>
    </row>
    <row r="51" spans="1:2">
      <c r="A51" t="s">
        <v>790</v>
      </c>
      <c r="B51" t="s">
        <v>791</v>
      </c>
    </row>
    <row r="52" spans="1:2">
      <c r="A52" t="s">
        <v>792</v>
      </c>
      <c r="B52" t="s">
        <v>793</v>
      </c>
    </row>
    <row r="53" spans="1:2">
      <c r="A53" t="s">
        <v>794</v>
      </c>
      <c r="B53" t="s">
        <v>795</v>
      </c>
    </row>
    <row r="54" spans="1:2">
      <c r="A54" t="s">
        <v>796</v>
      </c>
      <c r="B54" t="s">
        <v>797</v>
      </c>
    </row>
    <row r="55" spans="1:2">
      <c r="A55" t="s">
        <v>798</v>
      </c>
      <c r="B55" t="s">
        <v>799</v>
      </c>
    </row>
    <row r="56" spans="1:2">
      <c r="A56" t="s">
        <v>800</v>
      </c>
      <c r="B56" t="s">
        <v>801</v>
      </c>
    </row>
    <row r="57" spans="1:2">
      <c r="A57" t="s">
        <v>802</v>
      </c>
      <c r="B57" t="s">
        <v>803</v>
      </c>
    </row>
    <row r="58" spans="1:2">
      <c r="A58" t="s">
        <v>804</v>
      </c>
      <c r="B58" t="s">
        <v>805</v>
      </c>
    </row>
    <row r="59" spans="1:2">
      <c r="A59" t="s">
        <v>806</v>
      </c>
      <c r="B59" t="s">
        <v>807</v>
      </c>
    </row>
    <row r="60" spans="1:2">
      <c r="A60" t="s">
        <v>808</v>
      </c>
      <c r="B60" t="s">
        <v>809</v>
      </c>
    </row>
    <row r="61" spans="1:2">
      <c r="A61" t="s">
        <v>810</v>
      </c>
      <c r="B61" t="s">
        <v>811</v>
      </c>
    </row>
    <row r="62" spans="1:2">
      <c r="A62" t="s">
        <v>812</v>
      </c>
      <c r="B62" t="s">
        <v>813</v>
      </c>
    </row>
    <row r="63" spans="1:2">
      <c r="A63" t="s">
        <v>814</v>
      </c>
      <c r="B63" t="s">
        <v>815</v>
      </c>
    </row>
    <row r="64" spans="1:2">
      <c r="A64" t="s">
        <v>816</v>
      </c>
      <c r="B64" t="s">
        <v>817</v>
      </c>
    </row>
    <row r="65" spans="1:2">
      <c r="A65" t="s">
        <v>818</v>
      </c>
      <c r="B65" t="s">
        <v>819</v>
      </c>
    </row>
    <row r="66" spans="1:2">
      <c r="A66" t="s">
        <v>820</v>
      </c>
      <c r="B66" t="s">
        <v>821</v>
      </c>
    </row>
    <row r="67" spans="1:2">
      <c r="A67" t="s">
        <v>822</v>
      </c>
      <c r="B67" t="s">
        <v>823</v>
      </c>
    </row>
    <row r="68" spans="1:2">
      <c r="A68" t="s">
        <v>824</v>
      </c>
      <c r="B68" t="s">
        <v>825</v>
      </c>
    </row>
    <row r="69" spans="1:2">
      <c r="A69" t="s">
        <v>826</v>
      </c>
      <c r="B69" t="s">
        <v>827</v>
      </c>
    </row>
    <row r="70" spans="1:2">
      <c r="A70" t="s">
        <v>828</v>
      </c>
      <c r="B70" t="s">
        <v>829</v>
      </c>
    </row>
    <row r="71" spans="1:2">
      <c r="A71" t="s">
        <v>830</v>
      </c>
      <c r="B71" t="s">
        <v>831</v>
      </c>
    </row>
    <row r="72" spans="1:2">
      <c r="A72" t="s">
        <v>832</v>
      </c>
      <c r="B72" t="s">
        <v>833</v>
      </c>
    </row>
    <row r="73" spans="1:2">
      <c r="A73" t="s">
        <v>834</v>
      </c>
      <c r="B73" t="s">
        <v>835</v>
      </c>
    </row>
    <row r="74" spans="1:2">
      <c r="A74" t="s">
        <v>836</v>
      </c>
      <c r="B74" t="s">
        <v>837</v>
      </c>
    </row>
    <row r="75" spans="1:2">
      <c r="A75" t="s">
        <v>838</v>
      </c>
      <c r="B75" t="s">
        <v>839</v>
      </c>
    </row>
    <row r="76" spans="1:2">
      <c r="A76" t="s">
        <v>840</v>
      </c>
      <c r="B76" t="s">
        <v>841</v>
      </c>
    </row>
    <row r="77" spans="1:2">
      <c r="A77" t="s">
        <v>842</v>
      </c>
      <c r="B77" t="s">
        <v>843</v>
      </c>
    </row>
    <row r="78" spans="1:2">
      <c r="A78" t="s">
        <v>844</v>
      </c>
      <c r="B78" t="s">
        <v>845</v>
      </c>
    </row>
    <row r="79" spans="1:2">
      <c r="A79" t="s">
        <v>846</v>
      </c>
      <c r="B79" t="s">
        <v>847</v>
      </c>
    </row>
    <row r="80" spans="1:2">
      <c r="A80" t="s">
        <v>848</v>
      </c>
      <c r="B80" t="s">
        <v>849</v>
      </c>
    </row>
    <row r="81" spans="1:2">
      <c r="A81" t="s">
        <v>850</v>
      </c>
      <c r="B81" t="s">
        <v>851</v>
      </c>
    </row>
    <row r="82" spans="1:2">
      <c r="A82" t="s">
        <v>852</v>
      </c>
      <c r="B82" t="s">
        <v>853</v>
      </c>
    </row>
    <row r="83" spans="1:2">
      <c r="A83" t="s">
        <v>854</v>
      </c>
      <c r="B83" t="s">
        <v>855</v>
      </c>
    </row>
    <row r="84" spans="1:2">
      <c r="A84" t="s">
        <v>856</v>
      </c>
      <c r="B84" t="s">
        <v>857</v>
      </c>
    </row>
    <row r="85" spans="1:2">
      <c r="A85" t="s">
        <v>858</v>
      </c>
      <c r="B85" t="s">
        <v>859</v>
      </c>
    </row>
    <row r="86" spans="1:2">
      <c r="A86" t="s">
        <v>860</v>
      </c>
      <c r="B86" t="s">
        <v>861</v>
      </c>
    </row>
    <row r="87" spans="1:2">
      <c r="A87" t="s">
        <v>83</v>
      </c>
      <c r="B87" t="s">
        <v>862</v>
      </c>
    </row>
    <row r="88" spans="1:2">
      <c r="A88" t="s">
        <v>863</v>
      </c>
      <c r="B88" t="s">
        <v>864</v>
      </c>
    </row>
    <row r="89" spans="1:2">
      <c r="A89" t="s">
        <v>865</v>
      </c>
      <c r="B89" t="s">
        <v>866</v>
      </c>
    </row>
    <row r="90" spans="1:2">
      <c r="A90" t="s">
        <v>867</v>
      </c>
      <c r="B90" t="s">
        <v>868</v>
      </c>
    </row>
    <row r="91" spans="1:2">
      <c r="A91" t="s">
        <v>869</v>
      </c>
      <c r="B91" t="s">
        <v>870</v>
      </c>
    </row>
    <row r="92" spans="1:2">
      <c r="A92" t="s">
        <v>871</v>
      </c>
      <c r="B92" t="s">
        <v>872</v>
      </c>
    </row>
    <row r="93" spans="1:2">
      <c r="A93" t="s">
        <v>873</v>
      </c>
      <c r="B93" t="s">
        <v>874</v>
      </c>
    </row>
    <row r="94" spans="1:2">
      <c r="A94" t="s">
        <v>875</v>
      </c>
      <c r="B94" t="s">
        <v>876</v>
      </c>
    </row>
    <row r="95" spans="1:2">
      <c r="A95" t="s">
        <v>877</v>
      </c>
      <c r="B95" t="s">
        <v>878</v>
      </c>
    </row>
    <row r="96" spans="1:2">
      <c r="A96" t="s">
        <v>879</v>
      </c>
      <c r="B96" t="s">
        <v>880</v>
      </c>
    </row>
    <row r="97" spans="1:2">
      <c r="A97" t="s">
        <v>881</v>
      </c>
      <c r="B97" t="s">
        <v>882</v>
      </c>
    </row>
    <row r="98" spans="1:2">
      <c r="A98" t="s">
        <v>883</v>
      </c>
      <c r="B98" t="s">
        <v>884</v>
      </c>
    </row>
    <row r="99" spans="1:2">
      <c r="A99" t="s">
        <v>885</v>
      </c>
      <c r="B99" t="s">
        <v>886</v>
      </c>
    </row>
    <row r="100" spans="1:2">
      <c r="A100" t="s">
        <v>887</v>
      </c>
      <c r="B100" t="s">
        <v>888</v>
      </c>
    </row>
    <row r="101" spans="1:2">
      <c r="A101" t="s">
        <v>889</v>
      </c>
      <c r="B101" t="s">
        <v>890</v>
      </c>
    </row>
    <row r="102" spans="1:2">
      <c r="A102" t="s">
        <v>891</v>
      </c>
      <c r="B102" t="s">
        <v>892</v>
      </c>
    </row>
    <row r="103" spans="1:2">
      <c r="A103" t="s">
        <v>893</v>
      </c>
      <c r="B103" t="s">
        <v>894</v>
      </c>
    </row>
    <row r="104" spans="1:2">
      <c r="A104" t="s">
        <v>895</v>
      </c>
      <c r="B104" t="s">
        <v>896</v>
      </c>
    </row>
    <row r="105" spans="1:2">
      <c r="A105" t="s">
        <v>897</v>
      </c>
      <c r="B105" t="s">
        <v>898</v>
      </c>
    </row>
    <row r="106" spans="1:2">
      <c r="A106" t="s">
        <v>899</v>
      </c>
      <c r="B106" t="s">
        <v>900</v>
      </c>
    </row>
    <row r="107" spans="1:2">
      <c r="A107" t="s">
        <v>901</v>
      </c>
      <c r="B107" t="s">
        <v>902</v>
      </c>
    </row>
    <row r="108" spans="1:2">
      <c r="A108" t="s">
        <v>903</v>
      </c>
      <c r="B108" t="s">
        <v>904</v>
      </c>
    </row>
    <row r="109" spans="1:2">
      <c r="A109" t="s">
        <v>905</v>
      </c>
      <c r="B109" t="s">
        <v>906</v>
      </c>
    </row>
    <row r="110" spans="1:2">
      <c r="A110" t="s">
        <v>907</v>
      </c>
      <c r="B110" t="s">
        <v>908</v>
      </c>
    </row>
    <row r="111" spans="1:2">
      <c r="A111" t="s">
        <v>909</v>
      </c>
      <c r="B111" t="s">
        <v>910</v>
      </c>
    </row>
    <row r="112" spans="1:2">
      <c r="A112" t="s">
        <v>911</v>
      </c>
      <c r="B112" t="s">
        <v>912</v>
      </c>
    </row>
    <row r="113" spans="1:2">
      <c r="A113" t="s">
        <v>913</v>
      </c>
      <c r="B113" t="s">
        <v>914</v>
      </c>
    </row>
    <row r="114" spans="1:2">
      <c r="A114" t="s">
        <v>915</v>
      </c>
      <c r="B114" t="s">
        <v>916</v>
      </c>
    </row>
    <row r="115" spans="1:2">
      <c r="A115" t="s">
        <v>917</v>
      </c>
      <c r="B115" t="s">
        <v>918</v>
      </c>
    </row>
    <row r="116" spans="1:2">
      <c r="A116" t="s">
        <v>919</v>
      </c>
      <c r="B116" t="s">
        <v>920</v>
      </c>
    </row>
    <row r="117" spans="1:2">
      <c r="A117" t="s">
        <v>921</v>
      </c>
      <c r="B117" t="s">
        <v>922</v>
      </c>
    </row>
    <row r="118" spans="1:2">
      <c r="A118" t="s">
        <v>923</v>
      </c>
      <c r="B118" t="s">
        <v>924</v>
      </c>
    </row>
    <row r="119" spans="1:2">
      <c r="A119" t="s">
        <v>925</v>
      </c>
      <c r="B119" t="s">
        <v>926</v>
      </c>
    </row>
    <row r="120" spans="1:2">
      <c r="A120" t="s">
        <v>927</v>
      </c>
      <c r="B120" t="s">
        <v>928</v>
      </c>
    </row>
    <row r="121" spans="1:2">
      <c r="A121" t="s">
        <v>929</v>
      </c>
      <c r="B121" t="s">
        <v>930</v>
      </c>
    </row>
    <row r="122" spans="1:2">
      <c r="A122" t="s">
        <v>931</v>
      </c>
      <c r="B122" t="s">
        <v>932</v>
      </c>
    </row>
    <row r="123" spans="1:2">
      <c r="A123" t="s">
        <v>933</v>
      </c>
      <c r="B123" t="s">
        <v>934</v>
      </c>
    </row>
    <row r="124" spans="1:2">
      <c r="A124" t="s">
        <v>935</v>
      </c>
      <c r="B124" t="s">
        <v>936</v>
      </c>
    </row>
    <row r="125" spans="1:2">
      <c r="A125" t="s">
        <v>937</v>
      </c>
      <c r="B125" t="s">
        <v>938</v>
      </c>
    </row>
    <row r="126" spans="1:2">
      <c r="A126" t="s">
        <v>939</v>
      </c>
      <c r="B126" t="s">
        <v>940</v>
      </c>
    </row>
    <row r="127" spans="1:2">
      <c r="A127" t="s">
        <v>941</v>
      </c>
      <c r="B127" t="s">
        <v>942</v>
      </c>
    </row>
    <row r="128" spans="1:2">
      <c r="A128" t="s">
        <v>943</v>
      </c>
      <c r="B128" t="s">
        <v>944</v>
      </c>
    </row>
    <row r="129" spans="1:2">
      <c r="A129" t="s">
        <v>945</v>
      </c>
      <c r="B129" t="s">
        <v>946</v>
      </c>
    </row>
    <row r="130" spans="1:2">
      <c r="A130" t="s">
        <v>947</v>
      </c>
      <c r="B130" t="s">
        <v>948</v>
      </c>
    </row>
    <row r="131" spans="1:2">
      <c r="A131" t="s">
        <v>949</v>
      </c>
      <c r="B131" t="s">
        <v>950</v>
      </c>
    </row>
    <row r="132" spans="1:2">
      <c r="A132" t="s">
        <v>951</v>
      </c>
      <c r="B132" t="s">
        <v>952</v>
      </c>
    </row>
    <row r="133" spans="1:2">
      <c r="A133" t="s">
        <v>953</v>
      </c>
      <c r="B133" t="s">
        <v>954</v>
      </c>
    </row>
    <row r="134" spans="1:2">
      <c r="A134" t="s">
        <v>955</v>
      </c>
      <c r="B134" t="s">
        <v>956</v>
      </c>
    </row>
    <row r="135" spans="1:2">
      <c r="A135" t="s">
        <v>957</v>
      </c>
      <c r="B135" t="s">
        <v>958</v>
      </c>
    </row>
    <row r="136" spans="1:2">
      <c r="A136" t="s">
        <v>959</v>
      </c>
      <c r="B136" t="s">
        <v>960</v>
      </c>
    </row>
    <row r="137" spans="1:2">
      <c r="A137" t="s">
        <v>168</v>
      </c>
      <c r="B137" t="s">
        <v>961</v>
      </c>
    </row>
    <row r="138" spans="1:2">
      <c r="A138" t="s">
        <v>962</v>
      </c>
      <c r="B138" t="s">
        <v>963</v>
      </c>
    </row>
    <row r="139" spans="1:2">
      <c r="A139" t="s">
        <v>964</v>
      </c>
      <c r="B139" t="s">
        <v>965</v>
      </c>
    </row>
    <row r="140" spans="1:2">
      <c r="A140" t="s">
        <v>966</v>
      </c>
      <c r="B140" t="s">
        <v>967</v>
      </c>
    </row>
    <row r="141" spans="1:2">
      <c r="A141" t="s">
        <v>968</v>
      </c>
      <c r="B141" t="s">
        <v>969</v>
      </c>
    </row>
    <row r="142" spans="1:2">
      <c r="A142" t="s">
        <v>970</v>
      </c>
      <c r="B142" t="s">
        <v>971</v>
      </c>
    </row>
    <row r="143" spans="1:2">
      <c r="A143" t="s">
        <v>972</v>
      </c>
      <c r="B143" t="s">
        <v>973</v>
      </c>
    </row>
    <row r="144" spans="1:2">
      <c r="A144" t="s">
        <v>974</v>
      </c>
      <c r="B144" t="s">
        <v>975</v>
      </c>
    </row>
    <row r="145" spans="1:2">
      <c r="A145" t="s">
        <v>976</v>
      </c>
      <c r="B145" t="s">
        <v>977</v>
      </c>
    </row>
    <row r="146" spans="1:2">
      <c r="A146" t="s">
        <v>144</v>
      </c>
      <c r="B146" t="s">
        <v>978</v>
      </c>
    </row>
    <row r="147" spans="1:2">
      <c r="A147" t="s">
        <v>159</v>
      </c>
      <c r="B147" t="s">
        <v>979</v>
      </c>
    </row>
    <row r="148" spans="1:2">
      <c r="A148" t="s">
        <v>980</v>
      </c>
      <c r="B148" t="s">
        <v>981</v>
      </c>
    </row>
    <row r="149" spans="1:2">
      <c r="A149" t="s">
        <v>982</v>
      </c>
      <c r="B149" t="s">
        <v>983</v>
      </c>
    </row>
    <row r="150" spans="1:2">
      <c r="A150" t="s">
        <v>984</v>
      </c>
      <c r="B150" t="s">
        <v>985</v>
      </c>
    </row>
    <row r="151" spans="1:2">
      <c r="A151" t="s">
        <v>986</v>
      </c>
      <c r="B151" t="s">
        <v>987</v>
      </c>
    </row>
    <row r="152" spans="1:2">
      <c r="A152" t="s">
        <v>988</v>
      </c>
      <c r="B152" t="s">
        <v>989</v>
      </c>
    </row>
    <row r="153" spans="1:2">
      <c r="A153" t="s">
        <v>990</v>
      </c>
      <c r="B153" t="s">
        <v>991</v>
      </c>
    </row>
    <row r="154" spans="1:2">
      <c r="A154" t="s">
        <v>992</v>
      </c>
      <c r="B154" t="s">
        <v>993</v>
      </c>
    </row>
    <row r="155" spans="1:2">
      <c r="A155" t="s">
        <v>994</v>
      </c>
      <c r="B155" t="s">
        <v>995</v>
      </c>
    </row>
    <row r="156" spans="1:2">
      <c r="A156" t="s">
        <v>996</v>
      </c>
      <c r="B156" t="s">
        <v>997</v>
      </c>
    </row>
    <row r="157" spans="1:2">
      <c r="A157" t="s">
        <v>998</v>
      </c>
      <c r="B157" t="s">
        <v>999</v>
      </c>
    </row>
    <row r="158" spans="1:2">
      <c r="A158" t="s">
        <v>1000</v>
      </c>
      <c r="B158" t="s">
        <v>1001</v>
      </c>
    </row>
    <row r="159" spans="1:2">
      <c r="A159" t="s">
        <v>1002</v>
      </c>
      <c r="B159" t="s">
        <v>1003</v>
      </c>
    </row>
    <row r="160" spans="1:2">
      <c r="A160" t="s">
        <v>1004</v>
      </c>
      <c r="B160" t="s">
        <v>1005</v>
      </c>
    </row>
    <row r="161" spans="1:2">
      <c r="A161" t="s">
        <v>1006</v>
      </c>
      <c r="B161" t="s">
        <v>1007</v>
      </c>
    </row>
    <row r="162" spans="1:2">
      <c r="A162" t="s">
        <v>1008</v>
      </c>
      <c r="B162" t="s">
        <v>1009</v>
      </c>
    </row>
    <row r="163" spans="1:2">
      <c r="A163" t="s">
        <v>1010</v>
      </c>
      <c r="B163" t="s">
        <v>1011</v>
      </c>
    </row>
    <row r="164" spans="1:2">
      <c r="A164" t="s">
        <v>1012</v>
      </c>
      <c r="B164" t="s">
        <v>1013</v>
      </c>
    </row>
    <row r="165" spans="1:2">
      <c r="A165" t="s">
        <v>1014</v>
      </c>
      <c r="B165" t="s">
        <v>1015</v>
      </c>
    </row>
    <row r="166" spans="1:2">
      <c r="A166" t="s">
        <v>1016</v>
      </c>
      <c r="B166" t="s">
        <v>1017</v>
      </c>
    </row>
    <row r="167" spans="1:2">
      <c r="A167" t="s">
        <v>1018</v>
      </c>
      <c r="B167" t="s">
        <v>1019</v>
      </c>
    </row>
    <row r="168" spans="1:2">
      <c r="A168" t="s">
        <v>1020</v>
      </c>
      <c r="B168" t="s">
        <v>1021</v>
      </c>
    </row>
    <row r="169" spans="1:2">
      <c r="A169" t="s">
        <v>1022</v>
      </c>
      <c r="B169" t="s">
        <v>1023</v>
      </c>
    </row>
    <row r="170" spans="1:2">
      <c r="A170" t="s">
        <v>1024</v>
      </c>
      <c r="B170" t="s">
        <v>1025</v>
      </c>
    </row>
    <row r="171" spans="1:2">
      <c r="A171" t="s">
        <v>1026</v>
      </c>
      <c r="B171" t="s">
        <v>1027</v>
      </c>
    </row>
    <row r="172" spans="1:2">
      <c r="A172" t="s">
        <v>1028</v>
      </c>
      <c r="B172" t="s">
        <v>1029</v>
      </c>
    </row>
    <row r="173" spans="1:2">
      <c r="A173" t="s">
        <v>1030</v>
      </c>
      <c r="B173" t="s">
        <v>1031</v>
      </c>
    </row>
    <row r="174" spans="1:2">
      <c r="A174" t="s">
        <v>1032</v>
      </c>
      <c r="B174" t="s">
        <v>1033</v>
      </c>
    </row>
    <row r="175" spans="1:2">
      <c r="A175" t="s">
        <v>1034</v>
      </c>
      <c r="B175" t="s">
        <v>1035</v>
      </c>
    </row>
    <row r="176" spans="1:2">
      <c r="A176" t="s">
        <v>1036</v>
      </c>
      <c r="B176" t="s">
        <v>1037</v>
      </c>
    </row>
    <row r="177" spans="1:2">
      <c r="A177" t="s">
        <v>1038</v>
      </c>
      <c r="B177" t="s">
        <v>1039</v>
      </c>
    </row>
    <row r="178" spans="1:2">
      <c r="A178" t="s">
        <v>1040</v>
      </c>
      <c r="B178" t="s">
        <v>1041</v>
      </c>
    </row>
    <row r="179" spans="1:2">
      <c r="A179" t="s">
        <v>1042</v>
      </c>
      <c r="B179" t="s">
        <v>1043</v>
      </c>
    </row>
    <row r="180" spans="1:2">
      <c r="A180" t="s">
        <v>1044</v>
      </c>
      <c r="B180" t="s">
        <v>1045</v>
      </c>
    </row>
    <row r="181" spans="1:2">
      <c r="A181" t="s">
        <v>1046</v>
      </c>
      <c r="B181" t="s">
        <v>1047</v>
      </c>
    </row>
    <row r="182" spans="1:2">
      <c r="A182" t="s">
        <v>1048</v>
      </c>
      <c r="B182" t="s">
        <v>1049</v>
      </c>
    </row>
    <row r="183" spans="1:2">
      <c r="A183" t="s">
        <v>1050</v>
      </c>
      <c r="B183" t="s">
        <v>1051</v>
      </c>
    </row>
    <row r="184" spans="1:2">
      <c r="A184" t="s">
        <v>1052</v>
      </c>
      <c r="B184" t="s">
        <v>1053</v>
      </c>
    </row>
    <row r="185" spans="1:2">
      <c r="A185" t="s">
        <v>1054</v>
      </c>
      <c r="B185" t="s">
        <v>1055</v>
      </c>
    </row>
    <row r="186" spans="1:2">
      <c r="A186" t="s">
        <v>1056</v>
      </c>
      <c r="B186" t="s">
        <v>1057</v>
      </c>
    </row>
    <row r="187" spans="1:2">
      <c r="A187" t="s">
        <v>1058</v>
      </c>
      <c r="B187" t="s">
        <v>1059</v>
      </c>
    </row>
    <row r="188" spans="1:2">
      <c r="A188" t="s">
        <v>1060</v>
      </c>
      <c r="B188" t="s">
        <v>1061</v>
      </c>
    </row>
    <row r="189" spans="1:2">
      <c r="A189" t="s">
        <v>1062</v>
      </c>
      <c r="B189" t="s">
        <v>1063</v>
      </c>
    </row>
    <row r="190" spans="1:2">
      <c r="A190" t="s">
        <v>1064</v>
      </c>
      <c r="B190" t="s">
        <v>1065</v>
      </c>
    </row>
    <row r="191" spans="1:2">
      <c r="A191" t="s">
        <v>1066</v>
      </c>
      <c r="B191" t="s">
        <v>1067</v>
      </c>
    </row>
    <row r="192" spans="1:2">
      <c r="A192" t="s">
        <v>1068</v>
      </c>
      <c r="B192" t="s">
        <v>1069</v>
      </c>
    </row>
    <row r="193" spans="1:2">
      <c r="A193" t="s">
        <v>1070</v>
      </c>
      <c r="B193" t="s">
        <v>1071</v>
      </c>
    </row>
    <row r="194" spans="1:2">
      <c r="A194" t="s">
        <v>1072</v>
      </c>
      <c r="B194" t="s">
        <v>1073</v>
      </c>
    </row>
    <row r="195" spans="1:2">
      <c r="A195" t="s">
        <v>1074</v>
      </c>
      <c r="B195" t="s">
        <v>1075</v>
      </c>
    </row>
    <row r="196" spans="1:2">
      <c r="A196" t="s">
        <v>1076</v>
      </c>
      <c r="B196" t="s">
        <v>1077</v>
      </c>
    </row>
    <row r="197" spans="1:2">
      <c r="A197" t="s">
        <v>1078</v>
      </c>
      <c r="B197" t="s">
        <v>1079</v>
      </c>
    </row>
    <row r="198" spans="1:2">
      <c r="A198" t="s">
        <v>1080</v>
      </c>
      <c r="B198" t="s">
        <v>1081</v>
      </c>
    </row>
    <row r="199" spans="1:2">
      <c r="A199" t="s">
        <v>1082</v>
      </c>
      <c r="B199" t="s">
        <v>1083</v>
      </c>
    </row>
    <row r="200" spans="1:2">
      <c r="A200" t="s">
        <v>1084</v>
      </c>
      <c r="B200" t="s">
        <v>1085</v>
      </c>
    </row>
    <row r="201" spans="1:2">
      <c r="A201" t="s">
        <v>1086</v>
      </c>
      <c r="B201" t="s">
        <v>1087</v>
      </c>
    </row>
    <row r="202" spans="1:2">
      <c r="A202" t="s">
        <v>1088</v>
      </c>
      <c r="B202" t="s">
        <v>1089</v>
      </c>
    </row>
    <row r="203" spans="1:2">
      <c r="A203" t="s">
        <v>1090</v>
      </c>
      <c r="B203" t="s">
        <v>1091</v>
      </c>
    </row>
    <row r="204" spans="1:2">
      <c r="A204" t="s">
        <v>1092</v>
      </c>
      <c r="B204" t="s">
        <v>1093</v>
      </c>
    </row>
    <row r="205" spans="1:2">
      <c r="A205" t="s">
        <v>1094</v>
      </c>
      <c r="B205" t="s">
        <v>1095</v>
      </c>
    </row>
    <row r="206" spans="1:2">
      <c r="A206" t="s">
        <v>1096</v>
      </c>
      <c r="B206" t="s">
        <v>1097</v>
      </c>
    </row>
    <row r="207" spans="1:2">
      <c r="A207" t="s">
        <v>1098</v>
      </c>
      <c r="B207" t="s">
        <v>1099</v>
      </c>
    </row>
    <row r="208" spans="1:2">
      <c r="A208" t="s">
        <v>1100</v>
      </c>
      <c r="B208" t="s">
        <v>1101</v>
      </c>
    </row>
    <row r="209" spans="1:2">
      <c r="A209" t="s">
        <v>1102</v>
      </c>
      <c r="B209" t="s">
        <v>1103</v>
      </c>
    </row>
    <row r="210" spans="1:2">
      <c r="A210" t="s">
        <v>1104</v>
      </c>
      <c r="B210" t="s">
        <v>1105</v>
      </c>
    </row>
    <row r="211" spans="1:2">
      <c r="A211" t="s">
        <v>1106</v>
      </c>
      <c r="B211" t="s">
        <v>1107</v>
      </c>
    </row>
    <row r="212" spans="1:2">
      <c r="A212" t="s">
        <v>1108</v>
      </c>
      <c r="B212" t="s">
        <v>1109</v>
      </c>
    </row>
    <row r="213" spans="1:2">
      <c r="A213" t="s">
        <v>1110</v>
      </c>
      <c r="B213" t="s">
        <v>1111</v>
      </c>
    </row>
    <row r="214" spans="1:2">
      <c r="A214" t="s">
        <v>1112</v>
      </c>
      <c r="B214" t="s">
        <v>1113</v>
      </c>
    </row>
    <row r="215" spans="1:2">
      <c r="A215" t="s">
        <v>1114</v>
      </c>
      <c r="B215" t="s">
        <v>1115</v>
      </c>
    </row>
    <row r="216" spans="1:2">
      <c r="A216" t="s">
        <v>1116</v>
      </c>
      <c r="B216" t="s">
        <v>1117</v>
      </c>
    </row>
    <row r="217" spans="1:2">
      <c r="A217" t="s">
        <v>1118</v>
      </c>
      <c r="B217" t="s">
        <v>1119</v>
      </c>
    </row>
    <row r="218" spans="1:2">
      <c r="A218" t="s">
        <v>1120</v>
      </c>
      <c r="B218" t="s">
        <v>1121</v>
      </c>
    </row>
    <row r="219" spans="1:2">
      <c r="A219" t="s">
        <v>1122</v>
      </c>
      <c r="B219" t="s">
        <v>1123</v>
      </c>
    </row>
    <row r="220" spans="1:2">
      <c r="A220" t="s">
        <v>1124</v>
      </c>
      <c r="B220" t="s">
        <v>1125</v>
      </c>
    </row>
    <row r="221" spans="1:2">
      <c r="A221" t="s">
        <v>1126</v>
      </c>
      <c r="B221" t="s">
        <v>1127</v>
      </c>
    </row>
    <row r="222" spans="1:2">
      <c r="A222" t="s">
        <v>1128</v>
      </c>
      <c r="B222" t="s">
        <v>1129</v>
      </c>
    </row>
    <row r="223" spans="1:2">
      <c r="A223" t="s">
        <v>1130</v>
      </c>
      <c r="B223" t="s">
        <v>1131</v>
      </c>
    </row>
    <row r="224" spans="1:2">
      <c r="A224" t="s">
        <v>1132</v>
      </c>
      <c r="B224" t="s">
        <v>1133</v>
      </c>
    </row>
    <row r="225" spans="1:2">
      <c r="A225" t="s">
        <v>1134</v>
      </c>
      <c r="B225" t="s">
        <v>1135</v>
      </c>
    </row>
    <row r="226" spans="1:2">
      <c r="A226" t="s">
        <v>1136</v>
      </c>
      <c r="B226" t="s">
        <v>1137</v>
      </c>
    </row>
    <row r="227" spans="1:2">
      <c r="A227" t="s">
        <v>1138</v>
      </c>
      <c r="B227" t="s">
        <v>1139</v>
      </c>
    </row>
    <row r="228" spans="1:2">
      <c r="A228" t="s">
        <v>1140</v>
      </c>
      <c r="B228" t="s">
        <v>1141</v>
      </c>
    </row>
    <row r="229" spans="1:2">
      <c r="A229" t="s">
        <v>1142</v>
      </c>
      <c r="B229" t="s">
        <v>1143</v>
      </c>
    </row>
    <row r="230" spans="1:2">
      <c r="A230" t="s">
        <v>1144</v>
      </c>
      <c r="B230" t="s">
        <v>1145</v>
      </c>
    </row>
    <row r="231" spans="1:2">
      <c r="A231" t="s">
        <v>1146</v>
      </c>
      <c r="B231" t="s">
        <v>1147</v>
      </c>
    </row>
    <row r="232" spans="1:2">
      <c r="A232" t="s">
        <v>1148</v>
      </c>
      <c r="B232" t="s">
        <v>1149</v>
      </c>
    </row>
    <row r="233" spans="1:2">
      <c r="A233" t="s">
        <v>1150</v>
      </c>
      <c r="B233" t="s">
        <v>1151</v>
      </c>
    </row>
    <row r="234" spans="1:2">
      <c r="A234" t="s">
        <v>1152</v>
      </c>
      <c r="B234" s="85" t="s">
        <v>1153</v>
      </c>
    </row>
    <row r="235" spans="1:2">
      <c r="A235" t="s">
        <v>1154</v>
      </c>
      <c r="B235" s="85" t="s">
        <v>1155</v>
      </c>
    </row>
    <row r="236" spans="1:2">
      <c r="A236" t="s">
        <v>1156</v>
      </c>
      <c r="B236" s="85" t="s">
        <v>1157</v>
      </c>
    </row>
    <row r="237" spans="1:2">
      <c r="A237" t="s">
        <v>1158</v>
      </c>
      <c r="B237" s="85" t="s">
        <v>1159</v>
      </c>
    </row>
    <row r="238" spans="1:2">
      <c r="A238" t="s">
        <v>1160</v>
      </c>
      <c r="B238" s="85" t="s">
        <v>1161</v>
      </c>
    </row>
    <row r="239" spans="1:2">
      <c r="A239" t="s">
        <v>1162</v>
      </c>
      <c r="B239" s="85" t="s">
        <v>1163</v>
      </c>
    </row>
    <row r="240" spans="1:2">
      <c r="A240" t="s">
        <v>1164</v>
      </c>
      <c r="B240" s="85" t="s">
        <v>1165</v>
      </c>
    </row>
    <row r="241" spans="1:2">
      <c r="A241" t="s">
        <v>1166</v>
      </c>
      <c r="B241" s="85" t="s">
        <v>1167</v>
      </c>
    </row>
    <row r="242" spans="1:2">
      <c r="A242" t="s">
        <v>1168</v>
      </c>
      <c r="B242" s="85" t="s">
        <v>1169</v>
      </c>
    </row>
    <row r="243" spans="1:2">
      <c r="A243" t="s">
        <v>1170</v>
      </c>
      <c r="B243" s="85" t="s">
        <v>1171</v>
      </c>
    </row>
    <row r="244" spans="1:2">
      <c r="A244" t="s">
        <v>1172</v>
      </c>
      <c r="B244" s="85" t="s">
        <v>1173</v>
      </c>
    </row>
    <row r="245" spans="1:2">
      <c r="A245" t="s">
        <v>1174</v>
      </c>
      <c r="B245" s="85" t="s">
        <v>1175</v>
      </c>
    </row>
    <row r="246" spans="1:2">
      <c r="A246" t="s">
        <v>1176</v>
      </c>
      <c r="B246" s="85" t="s">
        <v>1177</v>
      </c>
    </row>
    <row r="247" spans="1:2">
      <c r="A247" t="s">
        <v>1178</v>
      </c>
      <c r="B247" s="85" t="s">
        <v>1179</v>
      </c>
    </row>
    <row r="248" spans="1:2">
      <c r="A248" t="s">
        <v>1180</v>
      </c>
      <c r="B248" s="85" t="s">
        <v>1181</v>
      </c>
    </row>
    <row r="249" spans="1:2">
      <c r="A249" t="s">
        <v>1182</v>
      </c>
      <c r="B249" s="85" t="s">
        <v>1183</v>
      </c>
    </row>
    <row r="250" spans="1:2">
      <c r="A250" t="s">
        <v>1184</v>
      </c>
      <c r="B250" s="85" t="s">
        <v>1185</v>
      </c>
    </row>
    <row r="251" spans="1:2">
      <c r="A251" t="s">
        <v>1186</v>
      </c>
      <c r="B251" s="85" t="s">
        <v>1187</v>
      </c>
    </row>
    <row r="252" spans="1:2">
      <c r="A252" t="s">
        <v>1188</v>
      </c>
      <c r="B252" s="85" t="s">
        <v>1189</v>
      </c>
    </row>
    <row r="253" spans="1:2">
      <c r="A253" t="s">
        <v>1190</v>
      </c>
      <c r="B253" s="85" t="s">
        <v>1191</v>
      </c>
    </row>
    <row r="254" spans="1:2">
      <c r="A254" t="s">
        <v>1192</v>
      </c>
      <c r="B254" s="85" t="s">
        <v>1193</v>
      </c>
    </row>
    <row r="255" spans="1:2">
      <c r="A255" t="s">
        <v>1194</v>
      </c>
      <c r="B255" s="85" t="s">
        <v>1195</v>
      </c>
    </row>
    <row r="256" spans="1:2">
      <c r="A256" t="s">
        <v>1196</v>
      </c>
      <c r="B256" s="85" t="s">
        <v>1197</v>
      </c>
    </row>
    <row r="257" spans="1:2">
      <c r="A257" t="s">
        <v>1198</v>
      </c>
      <c r="B257" s="85" t="s">
        <v>1199</v>
      </c>
    </row>
    <row r="258" spans="1:2">
      <c r="A258" t="s">
        <v>1200</v>
      </c>
      <c r="B258" s="85" t="s">
        <v>1201</v>
      </c>
    </row>
    <row r="259" spans="1:2">
      <c r="A259" t="s">
        <v>1202</v>
      </c>
      <c r="B259" s="85" t="s">
        <v>1203</v>
      </c>
    </row>
    <row r="260" spans="1:2">
      <c r="A260" t="s">
        <v>1204</v>
      </c>
      <c r="B260" s="85" t="s">
        <v>1205</v>
      </c>
    </row>
    <row r="261" spans="1:2">
      <c r="A261" t="s">
        <v>1206</v>
      </c>
      <c r="B261" s="85" t="s">
        <v>1207</v>
      </c>
    </row>
    <row r="262" spans="1:2">
      <c r="A262" t="s">
        <v>1208</v>
      </c>
      <c r="B262" s="85" t="s">
        <v>1209</v>
      </c>
    </row>
    <row r="263" spans="1:2">
      <c r="A263" t="s">
        <v>1210</v>
      </c>
      <c r="B263" s="85" t="s">
        <v>1211</v>
      </c>
    </row>
    <row r="264" spans="1:2">
      <c r="A264" t="s">
        <v>1212</v>
      </c>
      <c r="B264" s="85" t="s">
        <v>1213</v>
      </c>
    </row>
    <row r="265" spans="1:2">
      <c r="A265" t="s">
        <v>1214</v>
      </c>
      <c r="B265" s="85" t="s">
        <v>1215</v>
      </c>
    </row>
    <row r="266" spans="1:2">
      <c r="A266" t="s">
        <v>1216</v>
      </c>
      <c r="B266" s="85" t="s">
        <v>1217</v>
      </c>
    </row>
    <row r="267" spans="1:2">
      <c r="A267" t="s">
        <v>1218</v>
      </c>
      <c r="B267" s="85" t="s">
        <v>1219</v>
      </c>
    </row>
    <row r="268" spans="1:2">
      <c r="A268" t="s">
        <v>1220</v>
      </c>
      <c r="B268" s="85" t="s">
        <v>1221</v>
      </c>
    </row>
    <row r="269" spans="1:2">
      <c r="A269" t="s">
        <v>1222</v>
      </c>
      <c r="B269" s="85" t="s">
        <v>1223</v>
      </c>
    </row>
    <row r="270" spans="1:2">
      <c r="A270" t="s">
        <v>1224</v>
      </c>
      <c r="B270" s="85" t="s">
        <v>1225</v>
      </c>
    </row>
    <row r="271" spans="1:2">
      <c r="A271" t="s">
        <v>1226</v>
      </c>
      <c r="B271" s="85" t="s">
        <v>1227</v>
      </c>
    </row>
    <row r="272" spans="1:2">
      <c r="A272" t="s">
        <v>1228</v>
      </c>
      <c r="B272" s="85" t="s">
        <v>1229</v>
      </c>
    </row>
    <row r="273" spans="1:2">
      <c r="A273" t="s">
        <v>1230</v>
      </c>
      <c r="B273" s="85" t="s">
        <v>1231</v>
      </c>
    </row>
    <row r="274" spans="1:2">
      <c r="A274" t="s">
        <v>1232</v>
      </c>
      <c r="B274" s="85" t="s">
        <v>1233</v>
      </c>
    </row>
    <row r="275" spans="1:2">
      <c r="A275" t="s">
        <v>1234</v>
      </c>
      <c r="B275" s="85" t="s">
        <v>1235</v>
      </c>
    </row>
    <row r="276" spans="1:2">
      <c r="A276" t="s">
        <v>1236</v>
      </c>
      <c r="B276" s="85" t="s">
        <v>1237</v>
      </c>
    </row>
    <row r="277" spans="1:2">
      <c r="A277" t="s">
        <v>1238</v>
      </c>
      <c r="B277" s="85" t="s">
        <v>1239</v>
      </c>
    </row>
    <row r="278" spans="1:2">
      <c r="B278" s="85" t="s">
        <v>1240</v>
      </c>
    </row>
    <row r="279" spans="1:2">
      <c r="B279" s="85" t="s">
        <v>1241</v>
      </c>
    </row>
    <row r="280" spans="1:2">
      <c r="B280" s="85" t="s">
        <v>1242</v>
      </c>
    </row>
    <row r="281" spans="1:2">
      <c r="B281" s="85" t="s">
        <v>1243</v>
      </c>
    </row>
    <row r="282" spans="1:2">
      <c r="B282" s="85" t="s">
        <v>1244</v>
      </c>
    </row>
    <row r="283" spans="1:2">
      <c r="B283" s="85" t="s">
        <v>1245</v>
      </c>
    </row>
    <row r="284" spans="1:2">
      <c r="B284" s="85" t="s">
        <v>1246</v>
      </c>
    </row>
    <row r="285" spans="1:2">
      <c r="B285" s="85" t="s">
        <v>1247</v>
      </c>
    </row>
    <row r="286" spans="1:2">
      <c r="B286" s="85" t="s">
        <v>1248</v>
      </c>
    </row>
    <row r="287" spans="1:2">
      <c r="B287" s="85" t="s">
        <v>1249</v>
      </c>
    </row>
    <row r="288" spans="1:2">
      <c r="B288" s="85" t="s">
        <v>1250</v>
      </c>
    </row>
    <row r="289" spans="2:2">
      <c r="B289" s="85" t="s">
        <v>1251</v>
      </c>
    </row>
    <row r="290" spans="2:2">
      <c r="B290" s="85" t="s">
        <v>1252</v>
      </c>
    </row>
    <row r="291" spans="2:2">
      <c r="B291" s="85" t="s">
        <v>1253</v>
      </c>
    </row>
    <row r="292" spans="2:2">
      <c r="B292" s="85" t="s">
        <v>1254</v>
      </c>
    </row>
    <row r="293" spans="2:2">
      <c r="B293" s="85" t="s">
        <v>1255</v>
      </c>
    </row>
    <row r="294" spans="2:2">
      <c r="B294" s="85" t="s">
        <v>1256</v>
      </c>
    </row>
    <row r="295" spans="2:2">
      <c r="B295" s="85" t="s">
        <v>1257</v>
      </c>
    </row>
    <row r="296" spans="2:2">
      <c r="B296" s="85" t="s">
        <v>1258</v>
      </c>
    </row>
    <row r="297" spans="2:2">
      <c r="B297" s="85" t="s">
        <v>1259</v>
      </c>
    </row>
    <row r="298" spans="2:2">
      <c r="B298" s="85" t="s">
        <v>1260</v>
      </c>
    </row>
    <row r="299" spans="2:2">
      <c r="B299" s="85" t="s">
        <v>1261</v>
      </c>
    </row>
    <row r="300" spans="2:2">
      <c r="B300" s="85" t="s">
        <v>1262</v>
      </c>
    </row>
    <row r="301" spans="2:2">
      <c r="B301" s="85" t="s">
        <v>1263</v>
      </c>
    </row>
    <row r="302" spans="2:2">
      <c r="B302" s="85" t="s">
        <v>1264</v>
      </c>
    </row>
    <row r="303" spans="2:2">
      <c r="B303" t="s">
        <v>1265</v>
      </c>
    </row>
    <row r="304" spans="2:2">
      <c r="B304" t="s">
        <v>1266</v>
      </c>
    </row>
    <row r="305" spans="2:2">
      <c r="B305" t="s">
        <v>1267</v>
      </c>
    </row>
    <row r="306" spans="2:2">
      <c r="B306" t="s">
        <v>1268</v>
      </c>
    </row>
    <row r="307" spans="2:2">
      <c r="B307" t="s">
        <v>1269</v>
      </c>
    </row>
    <row r="308" spans="2:2">
      <c r="B308" t="s">
        <v>1270</v>
      </c>
    </row>
    <row r="309" spans="2:2">
      <c r="B309" t="s">
        <v>1271</v>
      </c>
    </row>
    <row r="310" spans="2:2">
      <c r="B310" t="s">
        <v>1272</v>
      </c>
    </row>
    <row r="311" spans="2:2">
      <c r="B311" t="s">
        <v>1273</v>
      </c>
    </row>
    <row r="312" spans="2:2">
      <c r="B312" t="s">
        <v>1274</v>
      </c>
    </row>
    <row r="313" spans="2:2">
      <c r="B313" t="s">
        <v>1275</v>
      </c>
    </row>
    <row r="314" spans="2:2">
      <c r="B314" t="s">
        <v>1276</v>
      </c>
    </row>
    <row r="315" spans="2:2">
      <c r="B315" t="s">
        <v>1277</v>
      </c>
    </row>
    <row r="316" spans="2:2">
      <c r="B316" t="s">
        <v>1278</v>
      </c>
    </row>
    <row r="317" spans="2:2">
      <c r="B317" t="s">
        <v>1279</v>
      </c>
    </row>
    <row r="318" spans="2:2">
      <c r="B318" t="s">
        <v>1280</v>
      </c>
    </row>
    <row r="319" spans="2:2">
      <c r="B319" t="s">
        <v>1281</v>
      </c>
    </row>
    <row r="320" spans="2:2">
      <c r="B320" t="s">
        <v>1282</v>
      </c>
    </row>
    <row r="321" spans="2:2">
      <c r="B321" t="s">
        <v>1283</v>
      </c>
    </row>
    <row r="322" spans="2:2">
      <c r="B322" t="s">
        <v>1284</v>
      </c>
    </row>
    <row r="323" spans="2:2">
      <c r="B323" t="s">
        <v>1285</v>
      </c>
    </row>
    <row r="324" spans="2:2">
      <c r="B324" t="s">
        <v>1286</v>
      </c>
    </row>
    <row r="325" spans="2:2">
      <c r="B325" t="s">
        <v>1287</v>
      </c>
    </row>
    <row r="326" spans="2:2">
      <c r="B326" t="s">
        <v>1288</v>
      </c>
    </row>
    <row r="327" spans="2:2">
      <c r="B327" t="s">
        <v>1289</v>
      </c>
    </row>
    <row r="328" spans="2:2">
      <c r="B328" t="s">
        <v>1290</v>
      </c>
    </row>
    <row r="329" spans="2:2">
      <c r="B329" t="s">
        <v>1291</v>
      </c>
    </row>
    <row r="330" spans="2:2">
      <c r="B330" t="s">
        <v>1292</v>
      </c>
    </row>
    <row r="331" spans="2:2">
      <c r="B331" t="s">
        <v>1293</v>
      </c>
    </row>
    <row r="332" spans="2:2">
      <c r="B332" t="s">
        <v>1294</v>
      </c>
    </row>
    <row r="333" spans="2:2">
      <c r="B333" t="s">
        <v>1295</v>
      </c>
    </row>
    <row r="334" spans="2:2">
      <c r="B334" t="s">
        <v>1296</v>
      </c>
    </row>
    <row r="335" spans="2:2">
      <c r="B335" t="s">
        <v>1297</v>
      </c>
    </row>
    <row r="336" spans="2:2">
      <c r="B336" t="s">
        <v>1298</v>
      </c>
    </row>
    <row r="337" spans="2:2">
      <c r="B337" t="s">
        <v>1299</v>
      </c>
    </row>
    <row r="338" spans="2:2">
      <c r="B338" t="s">
        <v>1300</v>
      </c>
    </row>
    <row r="339" spans="2:2">
      <c r="B339" t="s">
        <v>1301</v>
      </c>
    </row>
    <row r="340" spans="2:2">
      <c r="B340" t="s">
        <v>1302</v>
      </c>
    </row>
    <row r="341" spans="2:2">
      <c r="B341" t="s">
        <v>1303</v>
      </c>
    </row>
    <row r="342" spans="2:2">
      <c r="B342" t="s">
        <v>1304</v>
      </c>
    </row>
    <row r="343" spans="2:2">
      <c r="B343" t="s">
        <v>1305</v>
      </c>
    </row>
    <row r="344" spans="2:2">
      <c r="B344" t="s">
        <v>1306</v>
      </c>
    </row>
    <row r="345" spans="2:2">
      <c r="B345" t="s">
        <v>1307</v>
      </c>
    </row>
    <row r="346" spans="2:2">
      <c r="B346" t="s">
        <v>1308</v>
      </c>
    </row>
    <row r="347" spans="2:2">
      <c r="B347" t="s">
        <v>1309</v>
      </c>
    </row>
    <row r="348" spans="2:2">
      <c r="B348" t="s">
        <v>1310</v>
      </c>
    </row>
    <row r="349" spans="2:2">
      <c r="B349" t="s">
        <v>1311</v>
      </c>
    </row>
    <row r="350" spans="2:2">
      <c r="B350" t="s">
        <v>1312</v>
      </c>
    </row>
    <row r="351" spans="2:2">
      <c r="B351" s="85" t="s">
        <v>1313</v>
      </c>
    </row>
    <row r="352" spans="2:2">
      <c r="B352" s="85" t="s">
        <v>1314</v>
      </c>
    </row>
    <row r="353" spans="2:2">
      <c r="B353" s="85" t="s">
        <v>1315</v>
      </c>
    </row>
    <row r="354" spans="2:2">
      <c r="B354" s="85" t="s">
        <v>1316</v>
      </c>
    </row>
    <row r="355" spans="2:2">
      <c r="B355" s="85" t="s">
        <v>1317</v>
      </c>
    </row>
    <row r="356" spans="2:2">
      <c r="B356" s="85" t="s">
        <v>1318</v>
      </c>
    </row>
    <row r="357" spans="2:2">
      <c r="B357" s="85" t="s">
        <v>1319</v>
      </c>
    </row>
    <row r="358" spans="2:2">
      <c r="B358" s="85" t="s">
        <v>1320</v>
      </c>
    </row>
    <row r="359" spans="2:2">
      <c r="B359" s="85" t="s">
        <v>1321</v>
      </c>
    </row>
    <row r="360" spans="2:2">
      <c r="B360" s="85" t="s">
        <v>1322</v>
      </c>
    </row>
    <row r="361" spans="2:2">
      <c r="B361" s="85" t="s">
        <v>1323</v>
      </c>
    </row>
    <row r="362" spans="2:2">
      <c r="B362" t="s">
        <v>1324</v>
      </c>
    </row>
    <row r="363" spans="2:2">
      <c r="B363" t="s">
        <v>1325</v>
      </c>
    </row>
    <row r="364" spans="2:2">
      <c r="B364" t="s">
        <v>1326</v>
      </c>
    </row>
    <row r="365" spans="2:2">
      <c r="B365" t="s">
        <v>1327</v>
      </c>
    </row>
    <row r="366" spans="2:2">
      <c r="B366" t="s">
        <v>1328</v>
      </c>
    </row>
    <row r="367" spans="2:2">
      <c r="B367" t="s">
        <v>1329</v>
      </c>
    </row>
    <row r="368" spans="2:2">
      <c r="B368" t="s">
        <v>1330</v>
      </c>
    </row>
    <row r="369" spans="2:2">
      <c r="B369" t="s">
        <v>1331</v>
      </c>
    </row>
    <row r="370" spans="2:2">
      <c r="B370" t="s">
        <v>1332</v>
      </c>
    </row>
    <row r="371" spans="2:2">
      <c r="B371" t="s">
        <v>1333</v>
      </c>
    </row>
    <row r="372" spans="2:2">
      <c r="B372" t="s">
        <v>1334</v>
      </c>
    </row>
    <row r="373" spans="2:2">
      <c r="B373" t="s">
        <v>1335</v>
      </c>
    </row>
    <row r="374" spans="2:2">
      <c r="B374" t="s">
        <v>1336</v>
      </c>
    </row>
    <row r="375" spans="2:2">
      <c r="B375" t="s">
        <v>1337</v>
      </c>
    </row>
    <row r="376" spans="2:2">
      <c r="B376" t="s">
        <v>1338</v>
      </c>
    </row>
    <row r="377" spans="2:2">
      <c r="B377" t="s">
        <v>1339</v>
      </c>
    </row>
    <row r="378" spans="2:2">
      <c r="B378" t="s">
        <v>1340</v>
      </c>
    </row>
    <row r="379" spans="2:2">
      <c r="B379" t="s">
        <v>1341</v>
      </c>
    </row>
    <row r="380" spans="2:2">
      <c r="B380" t="s">
        <v>1342</v>
      </c>
    </row>
    <row r="381" spans="2:2">
      <c r="B381" t="s">
        <v>1343</v>
      </c>
    </row>
    <row r="382" spans="2:2">
      <c r="B382" t="s">
        <v>1344</v>
      </c>
    </row>
    <row r="383" spans="2:2">
      <c r="B383" t="s">
        <v>1345</v>
      </c>
    </row>
    <row r="384" spans="2:2">
      <c r="B384" t="s">
        <v>1346</v>
      </c>
    </row>
    <row r="385" spans="2:2">
      <c r="B385" t="s">
        <v>1347</v>
      </c>
    </row>
    <row r="386" spans="2:2">
      <c r="B386" t="s">
        <v>1348</v>
      </c>
    </row>
    <row r="387" spans="2:2">
      <c r="B387" t="s">
        <v>1349</v>
      </c>
    </row>
    <row r="388" spans="2:2">
      <c r="B388" t="s">
        <v>1350</v>
      </c>
    </row>
    <row r="389" spans="2:2">
      <c r="B389" t="s">
        <v>1351</v>
      </c>
    </row>
    <row r="390" spans="2:2">
      <c r="B390" t="s">
        <v>1352</v>
      </c>
    </row>
    <row r="391" spans="2:2">
      <c r="B391" t="s">
        <v>1353</v>
      </c>
    </row>
    <row r="392" spans="2:2">
      <c r="B392" t="s">
        <v>1354</v>
      </c>
    </row>
    <row r="393" spans="2:2">
      <c r="B393" t="s">
        <v>1355</v>
      </c>
    </row>
    <row r="394" spans="2:2">
      <c r="B394" t="s">
        <v>1356</v>
      </c>
    </row>
    <row r="395" spans="2:2">
      <c r="B395" t="s">
        <v>1357</v>
      </c>
    </row>
    <row r="396" spans="2:2">
      <c r="B396" t="s">
        <v>1358</v>
      </c>
    </row>
    <row r="397" spans="2:2">
      <c r="B397" t="s">
        <v>1359</v>
      </c>
    </row>
    <row r="398" spans="2:2">
      <c r="B398" t="s">
        <v>1360</v>
      </c>
    </row>
    <row r="399" spans="2:2">
      <c r="B399" t="s">
        <v>1361</v>
      </c>
    </row>
    <row r="400" spans="2:2">
      <c r="B400" t="s">
        <v>1362</v>
      </c>
    </row>
    <row r="401" spans="2:2">
      <c r="B401" t="s">
        <v>1363</v>
      </c>
    </row>
    <row r="402" spans="2:2">
      <c r="B402" t="s">
        <v>1364</v>
      </c>
    </row>
    <row r="403" spans="2:2">
      <c r="B403" t="s">
        <v>1365</v>
      </c>
    </row>
    <row r="404" spans="2:2">
      <c r="B404" t="s">
        <v>1366</v>
      </c>
    </row>
    <row r="405" spans="2:2">
      <c r="B405" t="s">
        <v>1367</v>
      </c>
    </row>
    <row r="406" spans="2:2">
      <c r="B406" t="s">
        <v>1368</v>
      </c>
    </row>
    <row r="407" spans="2:2">
      <c r="B407" t="s">
        <v>1369</v>
      </c>
    </row>
    <row r="408" spans="2:2">
      <c r="B408" t="s">
        <v>1370</v>
      </c>
    </row>
    <row r="409" spans="2:2">
      <c r="B409" t="s">
        <v>1371</v>
      </c>
    </row>
    <row r="410" spans="2:2">
      <c r="B410" t="s">
        <v>1372</v>
      </c>
    </row>
    <row r="411" spans="2:2">
      <c r="B411" t="s">
        <v>1373</v>
      </c>
    </row>
    <row r="412" spans="2:2">
      <c r="B412" t="s">
        <v>1374</v>
      </c>
    </row>
    <row r="413" spans="2:2">
      <c r="B413" t="s">
        <v>1375</v>
      </c>
    </row>
    <row r="414" spans="2:2">
      <c r="B414" t="s">
        <v>1376</v>
      </c>
    </row>
    <row r="415" spans="2:2">
      <c r="B415" t="s">
        <v>1377</v>
      </c>
    </row>
    <row r="416" spans="2:2">
      <c r="B416" t="s">
        <v>1378</v>
      </c>
    </row>
    <row r="417" spans="2:2">
      <c r="B417" t="s">
        <v>1379</v>
      </c>
    </row>
    <row r="418" spans="2:2">
      <c r="B418" t="s">
        <v>1380</v>
      </c>
    </row>
    <row r="419" spans="2:2">
      <c r="B419" t="s">
        <v>1381</v>
      </c>
    </row>
    <row r="420" spans="2:2">
      <c r="B420" t="s">
        <v>1382</v>
      </c>
    </row>
    <row r="421" spans="2:2">
      <c r="B421" t="s">
        <v>1383</v>
      </c>
    </row>
    <row r="422" spans="2:2">
      <c r="B422" t="s">
        <v>1384</v>
      </c>
    </row>
    <row r="423" spans="2:2">
      <c r="B423" t="s">
        <v>1385</v>
      </c>
    </row>
    <row r="424" spans="2:2">
      <c r="B424" t="s">
        <v>1386</v>
      </c>
    </row>
    <row r="425" spans="2:2">
      <c r="B425" t="s">
        <v>1387</v>
      </c>
    </row>
    <row r="426" spans="2:2">
      <c r="B426" t="s">
        <v>1388</v>
      </c>
    </row>
    <row r="427" spans="2:2">
      <c r="B427" t="s">
        <v>1389</v>
      </c>
    </row>
    <row r="428" spans="2:2">
      <c r="B428" t="s">
        <v>1390</v>
      </c>
    </row>
    <row r="429" spans="2:2">
      <c r="B429" t="s">
        <v>1391</v>
      </c>
    </row>
    <row r="430" spans="2:2">
      <c r="B430" t="s">
        <v>1392</v>
      </c>
    </row>
    <row r="431" spans="2:2">
      <c r="B431" t="s">
        <v>1393</v>
      </c>
    </row>
    <row r="432" spans="2:2">
      <c r="B432" t="s">
        <v>1394</v>
      </c>
    </row>
    <row r="433" spans="2:2">
      <c r="B433" t="s">
        <v>1395</v>
      </c>
    </row>
    <row r="434" spans="2:2">
      <c r="B434" t="s">
        <v>1396</v>
      </c>
    </row>
    <row r="435" spans="2:2">
      <c r="B435" t="s">
        <v>1397</v>
      </c>
    </row>
    <row r="436" spans="2:2">
      <c r="B436" t="s">
        <v>1398</v>
      </c>
    </row>
    <row r="437" spans="2:2">
      <c r="B437" t="s">
        <v>1399</v>
      </c>
    </row>
    <row r="438" spans="2:2">
      <c r="B438" t="s">
        <v>1400</v>
      </c>
    </row>
    <row r="439" spans="2:2">
      <c r="B439" t="s">
        <v>1401</v>
      </c>
    </row>
    <row r="440" spans="2:2">
      <c r="B440" t="s">
        <v>1402</v>
      </c>
    </row>
    <row r="441" spans="2:2">
      <c r="B441" t="s">
        <v>1403</v>
      </c>
    </row>
    <row r="442" spans="2:2">
      <c r="B442" t="s">
        <v>1404</v>
      </c>
    </row>
    <row r="443" spans="2:2">
      <c r="B443" t="s">
        <v>1405</v>
      </c>
    </row>
    <row r="444" spans="2:2">
      <c r="B444" t="s">
        <v>1406</v>
      </c>
    </row>
    <row r="445" spans="2:2">
      <c r="B445" t="s">
        <v>1407</v>
      </c>
    </row>
    <row r="446" spans="2:2">
      <c r="B446" t="s">
        <v>1408</v>
      </c>
    </row>
    <row r="447" spans="2:2">
      <c r="B447" t="s">
        <v>1409</v>
      </c>
    </row>
    <row r="448" spans="2:2">
      <c r="B448" t="s">
        <v>1410</v>
      </c>
    </row>
    <row r="449" spans="2:2">
      <c r="B449" t="s">
        <v>1411</v>
      </c>
    </row>
    <row r="450" spans="2:2">
      <c r="B450" t="s">
        <v>1412</v>
      </c>
    </row>
    <row r="451" spans="2:2">
      <c r="B451" t="s">
        <v>1413</v>
      </c>
    </row>
    <row r="452" spans="2:2">
      <c r="B452" t="s">
        <v>1414</v>
      </c>
    </row>
    <row r="453" spans="2:2">
      <c r="B453" t="s">
        <v>1415</v>
      </c>
    </row>
    <row r="454" spans="2:2">
      <c r="B454" t="s">
        <v>1416</v>
      </c>
    </row>
    <row r="455" spans="2:2">
      <c r="B455" t="s">
        <v>1417</v>
      </c>
    </row>
    <row r="456" spans="2:2">
      <c r="B456" t="s">
        <v>1418</v>
      </c>
    </row>
    <row r="457" spans="2:2">
      <c r="B457" t="s">
        <v>1419</v>
      </c>
    </row>
    <row r="458" spans="2:2">
      <c r="B458" t="s">
        <v>1420</v>
      </c>
    </row>
    <row r="459" spans="2:2">
      <c r="B459" t="s">
        <v>1421</v>
      </c>
    </row>
    <row r="460" spans="2:2">
      <c r="B460" t="s">
        <v>1422</v>
      </c>
    </row>
    <row r="461" spans="2:2">
      <c r="B461" t="s">
        <v>1423</v>
      </c>
    </row>
    <row r="462" spans="2:2">
      <c r="B462" t="s">
        <v>1424</v>
      </c>
    </row>
    <row r="463" spans="2:2">
      <c r="B463" t="s">
        <v>1425</v>
      </c>
    </row>
    <row r="464" spans="2:2">
      <c r="B464" t="s">
        <v>1426</v>
      </c>
    </row>
    <row r="465" spans="2:2">
      <c r="B465" t="s">
        <v>1427</v>
      </c>
    </row>
    <row r="466" spans="2:2">
      <c r="B466" t="s">
        <v>1428</v>
      </c>
    </row>
    <row r="467" spans="2:2">
      <c r="B467" t="s">
        <v>1429</v>
      </c>
    </row>
    <row r="468" spans="2:2">
      <c r="B468" t="s">
        <v>1430</v>
      </c>
    </row>
    <row r="469" spans="2:2">
      <c r="B469" t="s">
        <v>1431</v>
      </c>
    </row>
    <row r="470" spans="2:2">
      <c r="B470" t="s">
        <v>1432</v>
      </c>
    </row>
    <row r="471" spans="2:2">
      <c r="B471" t="s">
        <v>1433</v>
      </c>
    </row>
    <row r="472" spans="2:2">
      <c r="B472" t="s">
        <v>1434</v>
      </c>
    </row>
    <row r="473" spans="2:2">
      <c r="B473" t="s">
        <v>1435</v>
      </c>
    </row>
    <row r="474" spans="2:2">
      <c r="B474" t="s">
        <v>1436</v>
      </c>
    </row>
    <row r="475" spans="2:2">
      <c r="B475" t="s">
        <v>1437</v>
      </c>
    </row>
    <row r="476" spans="2:2">
      <c r="B476" t="s">
        <v>1438</v>
      </c>
    </row>
    <row r="477" spans="2:2">
      <c r="B477" t="s">
        <v>1439</v>
      </c>
    </row>
    <row r="478" spans="2:2">
      <c r="B478" t="s">
        <v>1440</v>
      </c>
    </row>
    <row r="479" spans="2:2">
      <c r="B479" t="s">
        <v>1441</v>
      </c>
    </row>
    <row r="480" spans="2:2">
      <c r="B480" t="s">
        <v>1442</v>
      </c>
    </row>
    <row r="481" spans="2:2">
      <c r="B481" t="s">
        <v>1443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6916-4F91-43F7-8562-B13FDA4065F7}">
  <dimension ref="A1:G42"/>
  <sheetViews>
    <sheetView workbookViewId="0">
      <selection activeCell="F13" sqref="F13"/>
    </sheetView>
  </sheetViews>
  <sheetFormatPr defaultRowHeight="15"/>
  <cols>
    <col min="1" max="1" width="18.140625" bestFit="1" customWidth="1"/>
    <col min="2" max="2" width="16.140625" bestFit="1" customWidth="1"/>
    <col min="3" max="3" width="13.42578125" bestFit="1" customWidth="1"/>
    <col min="4" max="4" width="45.85546875" customWidth="1"/>
    <col min="5" max="5" width="29.28515625" bestFit="1" customWidth="1"/>
    <col min="6" max="6" width="61.42578125" customWidth="1"/>
    <col min="7" max="7" width="55.7109375" customWidth="1"/>
  </cols>
  <sheetData>
    <row r="1" spans="1:7" ht="18.75">
      <c r="A1" s="92" t="s">
        <v>0</v>
      </c>
      <c r="B1" s="92" t="s">
        <v>3</v>
      </c>
      <c r="C1" s="92" t="s">
        <v>5</v>
      </c>
      <c r="D1" s="1" t="s">
        <v>6</v>
      </c>
      <c r="E1" s="1" t="s">
        <v>2</v>
      </c>
      <c r="F1" s="92" t="s">
        <v>7</v>
      </c>
      <c r="G1" s="92" t="s">
        <v>8</v>
      </c>
    </row>
    <row r="2" spans="1:7" ht="18.75">
      <c r="A2" s="93"/>
      <c r="B2" s="93"/>
      <c r="C2" s="94"/>
      <c r="D2" s="93" t="s">
        <v>180</v>
      </c>
      <c r="E2" s="94"/>
      <c r="F2" s="94"/>
      <c r="G2" s="95"/>
    </row>
    <row r="3" spans="1:7" ht="18.75">
      <c r="A3" s="93"/>
      <c r="B3" s="93"/>
      <c r="C3" s="94"/>
      <c r="D3" s="93" t="s">
        <v>181</v>
      </c>
      <c r="E3" s="94"/>
      <c r="F3" s="94"/>
      <c r="G3" s="95"/>
    </row>
    <row r="4" spans="1:7">
      <c r="A4" t="s">
        <v>11</v>
      </c>
      <c r="B4" t="s">
        <v>13</v>
      </c>
      <c r="C4" t="s">
        <v>182</v>
      </c>
      <c r="D4" t="s">
        <v>183</v>
      </c>
      <c r="E4" t="s">
        <v>11</v>
      </c>
      <c r="F4" t="s">
        <v>184</v>
      </c>
    </row>
    <row r="5" spans="1:7" ht="30">
      <c r="A5" s="15" t="s">
        <v>12</v>
      </c>
      <c r="B5" s="15" t="s">
        <v>93</v>
      </c>
      <c r="C5" s="15" t="s">
        <v>185</v>
      </c>
      <c r="D5" s="18" t="s">
        <v>186</v>
      </c>
      <c r="E5" s="15" t="s">
        <v>12</v>
      </c>
      <c r="F5" s="33">
        <f>F6*F7*F9*F13*F8</f>
        <v>0</v>
      </c>
      <c r="G5" s="15"/>
    </row>
    <row r="6" spans="1:7" ht="30">
      <c r="A6" t="s">
        <v>11</v>
      </c>
      <c r="B6" t="s">
        <v>122</v>
      </c>
      <c r="C6" t="s">
        <v>187</v>
      </c>
      <c r="D6" s="10" t="s">
        <v>188</v>
      </c>
      <c r="E6" t="s">
        <v>11</v>
      </c>
    </row>
    <row r="7" spans="1:7" ht="45">
      <c r="A7" t="s">
        <v>11</v>
      </c>
      <c r="B7" t="s">
        <v>122</v>
      </c>
      <c r="C7" t="s">
        <v>189</v>
      </c>
      <c r="D7" s="10" t="s">
        <v>190</v>
      </c>
      <c r="E7" t="s">
        <v>11</v>
      </c>
    </row>
    <row r="8" spans="1:7" ht="30">
      <c r="A8" t="s">
        <v>11</v>
      </c>
      <c r="B8" t="s">
        <v>122</v>
      </c>
      <c r="C8" t="s">
        <v>191</v>
      </c>
      <c r="D8" s="10" t="s">
        <v>192</v>
      </c>
      <c r="E8" t="s">
        <v>11</v>
      </c>
    </row>
    <row r="9" spans="1:7" ht="30">
      <c r="A9" s="15" t="s">
        <v>12</v>
      </c>
      <c r="B9" s="15" t="s">
        <v>93</v>
      </c>
      <c r="C9" s="15" t="s">
        <v>193</v>
      </c>
      <c r="D9" s="18" t="s">
        <v>194</v>
      </c>
      <c r="E9" s="15" t="s">
        <v>12</v>
      </c>
      <c r="F9" s="33">
        <f>F10*(F11/365)</f>
        <v>0</v>
      </c>
      <c r="G9" s="15"/>
    </row>
    <row r="10" spans="1:7" ht="30">
      <c r="A10" t="s">
        <v>11</v>
      </c>
      <c r="B10" t="s">
        <v>122</v>
      </c>
      <c r="C10" t="s">
        <v>195</v>
      </c>
      <c r="D10" s="10" t="s">
        <v>196</v>
      </c>
      <c r="E10" t="s">
        <v>11</v>
      </c>
    </row>
    <row r="11" spans="1:7" ht="34.5" customHeight="1">
      <c r="A11" t="s">
        <v>11</v>
      </c>
      <c r="B11" t="s">
        <v>122</v>
      </c>
      <c r="C11" t="s">
        <v>197</v>
      </c>
      <c r="D11" s="10" t="s">
        <v>198</v>
      </c>
      <c r="E11" t="s">
        <v>11</v>
      </c>
    </row>
    <row r="12" spans="1:7" s="41" customFormat="1" ht="75">
      <c r="A12" s="96" t="s">
        <v>11</v>
      </c>
      <c r="B12" s="96" t="s">
        <v>89</v>
      </c>
      <c r="C12" s="96" t="s">
        <v>6</v>
      </c>
      <c r="D12" s="58" t="s">
        <v>199</v>
      </c>
      <c r="E12" s="96" t="s">
        <v>12</v>
      </c>
      <c r="F12" s="58" t="s">
        <v>200</v>
      </c>
      <c r="G12" s="58"/>
    </row>
    <row r="13" spans="1:7" ht="45">
      <c r="A13" s="15" t="s">
        <v>12</v>
      </c>
      <c r="B13" s="15" t="s">
        <v>93</v>
      </c>
      <c r="C13" s="15" t="s">
        <v>201</v>
      </c>
      <c r="D13" s="18" t="s">
        <v>202</v>
      </c>
      <c r="E13" s="15" t="s">
        <v>12</v>
      </c>
      <c r="F13" s="33">
        <f>IF(AND(F12="Default Value"),ABS(F14*(1-(F15/100))+(F16*F14))*ABS(((1-F17)/F18))*F19,IF(AND(F12="Adjusted Default Value"),(F20/F21)*F22*F19))</f>
        <v>0</v>
      </c>
      <c r="G13" s="15"/>
    </row>
    <row r="14" spans="1:7" ht="30">
      <c r="A14" t="s">
        <v>11</v>
      </c>
      <c r="B14" t="s">
        <v>122</v>
      </c>
      <c r="C14" t="s">
        <v>203</v>
      </c>
      <c r="D14" s="10" t="s">
        <v>204</v>
      </c>
      <c r="E14" t="s">
        <v>11</v>
      </c>
      <c r="F14" s="41">
        <v>1</v>
      </c>
    </row>
    <row r="15" spans="1:7" ht="18" customHeight="1">
      <c r="A15" t="s">
        <v>11</v>
      </c>
      <c r="B15" t="s">
        <v>122</v>
      </c>
      <c r="C15" t="s">
        <v>205</v>
      </c>
      <c r="D15" t="s">
        <v>206</v>
      </c>
      <c r="E15" t="s">
        <v>11</v>
      </c>
      <c r="F15" s="41">
        <v>1</v>
      </c>
    </row>
    <row r="16" spans="1:7">
      <c r="A16" t="s">
        <v>11</v>
      </c>
      <c r="B16" t="s">
        <v>122</v>
      </c>
      <c r="C16" t="s">
        <v>207</v>
      </c>
      <c r="D16" t="s">
        <v>208</v>
      </c>
      <c r="E16" t="s">
        <v>11</v>
      </c>
      <c r="F16" s="41">
        <v>1</v>
      </c>
    </row>
    <row r="17" spans="1:7" ht="30">
      <c r="A17" t="s">
        <v>11</v>
      </c>
      <c r="B17" t="s">
        <v>122</v>
      </c>
      <c r="C17" t="s">
        <v>209</v>
      </c>
      <c r="D17" s="10" t="s">
        <v>210</v>
      </c>
      <c r="E17" t="s">
        <v>11</v>
      </c>
      <c r="F17" s="41">
        <v>1</v>
      </c>
    </row>
    <row r="18" spans="1:7" ht="30">
      <c r="A18" t="s">
        <v>11</v>
      </c>
      <c r="B18" t="s">
        <v>122</v>
      </c>
      <c r="C18" t="s">
        <v>211</v>
      </c>
      <c r="D18" s="10" t="s">
        <v>212</v>
      </c>
      <c r="E18" t="s">
        <v>11</v>
      </c>
      <c r="F18" s="41">
        <v>1</v>
      </c>
    </row>
    <row r="19" spans="1:7" ht="30">
      <c r="A19" t="s">
        <v>11</v>
      </c>
      <c r="B19" t="s">
        <v>122</v>
      </c>
      <c r="C19" t="s">
        <v>213</v>
      </c>
      <c r="D19" s="10" t="s">
        <v>214</v>
      </c>
      <c r="E19" t="s">
        <v>11</v>
      </c>
      <c r="F19" s="41">
        <v>1</v>
      </c>
    </row>
    <row r="20" spans="1:7" ht="34.5" customHeight="1">
      <c r="A20" t="s">
        <v>11</v>
      </c>
      <c r="B20" t="s">
        <v>122</v>
      </c>
      <c r="C20" t="s">
        <v>215</v>
      </c>
      <c r="D20" s="10" t="s">
        <v>216</v>
      </c>
      <c r="E20" t="s">
        <v>11</v>
      </c>
      <c r="F20" s="41">
        <v>1</v>
      </c>
    </row>
    <row r="21" spans="1:7" ht="45">
      <c r="A21" t="s">
        <v>11</v>
      </c>
      <c r="B21" t="s">
        <v>122</v>
      </c>
      <c r="C21" t="s">
        <v>217</v>
      </c>
      <c r="D21" s="10" t="s">
        <v>218</v>
      </c>
      <c r="E21" t="s">
        <v>11</v>
      </c>
      <c r="F21" s="41">
        <v>1</v>
      </c>
    </row>
    <row r="22" spans="1:7" ht="45">
      <c r="A22" t="s">
        <v>11</v>
      </c>
      <c r="B22" t="s">
        <v>122</v>
      </c>
      <c r="C22" t="s">
        <v>219</v>
      </c>
      <c r="D22" s="10" t="s">
        <v>220</v>
      </c>
      <c r="E22" t="s">
        <v>11</v>
      </c>
      <c r="F22" s="41">
        <v>1</v>
      </c>
    </row>
    <row r="23" spans="1:7" ht="18.75">
      <c r="A23" s="93"/>
      <c r="B23" s="93"/>
      <c r="C23" s="94"/>
      <c r="D23" s="93" t="s">
        <v>180</v>
      </c>
      <c r="E23" s="94"/>
      <c r="F23" s="94"/>
      <c r="G23" s="95"/>
    </row>
    <row r="24" spans="1:7">
      <c r="A24" t="s">
        <v>11</v>
      </c>
      <c r="B24" t="s">
        <v>13</v>
      </c>
      <c r="C24" t="s">
        <v>182</v>
      </c>
      <c r="D24" t="s">
        <v>183</v>
      </c>
      <c r="E24" t="s">
        <v>11</v>
      </c>
      <c r="F24" t="s">
        <v>221</v>
      </c>
    </row>
    <row r="25" spans="1:7" ht="30">
      <c r="A25" s="15" t="s">
        <v>12</v>
      </c>
      <c r="B25" s="15" t="s">
        <v>93</v>
      </c>
      <c r="C25" s="15" t="s">
        <v>222</v>
      </c>
      <c r="D25" s="18" t="s">
        <v>186</v>
      </c>
      <c r="E25" s="15" t="s">
        <v>12</v>
      </c>
      <c r="F25" s="33">
        <f>F26*F27*F29*F33*F28</f>
        <v>0</v>
      </c>
      <c r="G25" s="15"/>
    </row>
    <row r="26" spans="1:7" ht="30">
      <c r="A26" t="s">
        <v>11</v>
      </c>
      <c r="B26" t="s">
        <v>122</v>
      </c>
      <c r="C26" t="s">
        <v>187</v>
      </c>
      <c r="D26" s="10" t="s">
        <v>188</v>
      </c>
      <c r="E26" t="s">
        <v>11</v>
      </c>
    </row>
    <row r="27" spans="1:7" ht="45">
      <c r="A27" t="s">
        <v>11</v>
      </c>
      <c r="B27" t="s">
        <v>122</v>
      </c>
      <c r="C27" t="s">
        <v>189</v>
      </c>
      <c r="D27" s="10" t="s">
        <v>190</v>
      </c>
      <c r="E27" t="s">
        <v>11</v>
      </c>
    </row>
    <row r="28" spans="1:7" ht="30">
      <c r="A28" t="s">
        <v>11</v>
      </c>
      <c r="B28" t="s">
        <v>122</v>
      </c>
      <c r="C28" t="s">
        <v>191</v>
      </c>
      <c r="D28" s="10" t="s">
        <v>192</v>
      </c>
      <c r="E28" t="s">
        <v>11</v>
      </c>
    </row>
    <row r="29" spans="1:7" ht="30">
      <c r="A29" s="15" t="s">
        <v>12</v>
      </c>
      <c r="B29" s="15" t="s">
        <v>93</v>
      </c>
      <c r="C29" s="15" t="s">
        <v>193</v>
      </c>
      <c r="D29" s="18" t="s">
        <v>194</v>
      </c>
      <c r="E29" s="15" t="s">
        <v>12</v>
      </c>
      <c r="F29" s="33">
        <f>F30*(F31/365)</f>
        <v>0</v>
      </c>
      <c r="G29" s="15"/>
    </row>
    <row r="30" spans="1:7" ht="30">
      <c r="A30" t="s">
        <v>11</v>
      </c>
      <c r="B30" t="s">
        <v>122</v>
      </c>
      <c r="C30" t="s">
        <v>195</v>
      </c>
      <c r="D30" s="10" t="s">
        <v>196</v>
      </c>
      <c r="E30" t="s">
        <v>11</v>
      </c>
    </row>
    <row r="31" spans="1:7" ht="34.5" customHeight="1">
      <c r="A31" t="s">
        <v>11</v>
      </c>
      <c r="B31" t="s">
        <v>122</v>
      </c>
      <c r="C31" t="s">
        <v>197</v>
      </c>
      <c r="D31" s="10" t="s">
        <v>198</v>
      </c>
      <c r="E31" t="s">
        <v>11</v>
      </c>
    </row>
    <row r="32" spans="1:7" s="41" customFormat="1" ht="75">
      <c r="A32" s="96" t="s">
        <v>11</v>
      </c>
      <c r="B32" s="96" t="s">
        <v>89</v>
      </c>
      <c r="C32" s="96" t="s">
        <v>6</v>
      </c>
      <c r="D32" s="58" t="s">
        <v>199</v>
      </c>
      <c r="E32" s="96" t="s">
        <v>12</v>
      </c>
      <c r="F32" s="58" t="s">
        <v>200</v>
      </c>
      <c r="G32" s="58"/>
    </row>
    <row r="33" spans="1:7" ht="45">
      <c r="A33" s="15" t="s">
        <v>12</v>
      </c>
      <c r="B33" s="15" t="s">
        <v>93</v>
      </c>
      <c r="C33" s="15" t="s">
        <v>201</v>
      </c>
      <c r="D33" s="18" t="s">
        <v>202</v>
      </c>
      <c r="E33" s="15" t="s">
        <v>12</v>
      </c>
      <c r="F33" s="33">
        <f>IF(AND(F32="Default Value"),ABS(F34*(1-(F35/100))+(F36*F34))*ABS(((1-F37)/F38))*F39,IF(AND(F32="Adjusted Default Value"),(F40/F41)*F42*F39))</f>
        <v>0</v>
      </c>
      <c r="G33" s="15"/>
    </row>
    <row r="34" spans="1:7" ht="30">
      <c r="A34" t="s">
        <v>11</v>
      </c>
      <c r="B34" t="s">
        <v>122</v>
      </c>
      <c r="C34" t="s">
        <v>203</v>
      </c>
      <c r="D34" s="10" t="s">
        <v>204</v>
      </c>
      <c r="E34" t="s">
        <v>11</v>
      </c>
      <c r="F34" s="41">
        <v>1</v>
      </c>
    </row>
    <row r="35" spans="1:7" ht="18" customHeight="1">
      <c r="A35" t="s">
        <v>11</v>
      </c>
      <c r="B35" t="s">
        <v>122</v>
      </c>
      <c r="C35" t="s">
        <v>205</v>
      </c>
      <c r="D35" t="s">
        <v>206</v>
      </c>
      <c r="E35" t="s">
        <v>11</v>
      </c>
      <c r="F35" s="41">
        <v>1</v>
      </c>
    </row>
    <row r="36" spans="1:7">
      <c r="A36" t="s">
        <v>11</v>
      </c>
      <c r="B36" t="s">
        <v>122</v>
      </c>
      <c r="C36" t="s">
        <v>207</v>
      </c>
      <c r="D36" t="s">
        <v>208</v>
      </c>
      <c r="E36" t="s">
        <v>11</v>
      </c>
      <c r="F36" s="41">
        <v>1</v>
      </c>
    </row>
    <row r="37" spans="1:7" ht="30">
      <c r="A37" t="s">
        <v>11</v>
      </c>
      <c r="B37" t="s">
        <v>122</v>
      </c>
      <c r="C37" t="s">
        <v>209</v>
      </c>
      <c r="D37" s="10" t="s">
        <v>210</v>
      </c>
      <c r="E37" t="s">
        <v>11</v>
      </c>
      <c r="F37" s="41">
        <v>1</v>
      </c>
    </row>
    <row r="38" spans="1:7" ht="30">
      <c r="A38" t="s">
        <v>11</v>
      </c>
      <c r="B38" t="s">
        <v>122</v>
      </c>
      <c r="C38" t="s">
        <v>211</v>
      </c>
      <c r="D38" s="10" t="s">
        <v>212</v>
      </c>
      <c r="E38" t="s">
        <v>11</v>
      </c>
      <c r="F38" s="41">
        <v>1</v>
      </c>
    </row>
    <row r="39" spans="1:7" ht="30">
      <c r="A39" t="s">
        <v>11</v>
      </c>
      <c r="B39" t="s">
        <v>122</v>
      </c>
      <c r="C39" t="s">
        <v>213</v>
      </c>
      <c r="D39" s="10" t="s">
        <v>214</v>
      </c>
      <c r="E39" t="s">
        <v>11</v>
      </c>
      <c r="F39" s="41">
        <v>1</v>
      </c>
    </row>
    <row r="40" spans="1:7" ht="34.5" customHeight="1">
      <c r="A40" t="s">
        <v>11</v>
      </c>
      <c r="B40" t="s">
        <v>122</v>
      </c>
      <c r="C40" t="s">
        <v>215</v>
      </c>
      <c r="D40" s="10" t="s">
        <v>216</v>
      </c>
      <c r="E40" t="s">
        <v>11</v>
      </c>
      <c r="F40" s="41">
        <v>1</v>
      </c>
    </row>
    <row r="41" spans="1:7" ht="45">
      <c r="A41" t="s">
        <v>11</v>
      </c>
      <c r="B41" t="s">
        <v>122</v>
      </c>
      <c r="C41" t="s">
        <v>217</v>
      </c>
      <c r="D41" s="10" t="s">
        <v>218</v>
      </c>
      <c r="E41" t="s">
        <v>11</v>
      </c>
      <c r="F41" s="41">
        <v>1</v>
      </c>
    </row>
    <row r="42" spans="1:7" ht="45">
      <c r="A42" t="s">
        <v>11</v>
      </c>
      <c r="B42" t="s">
        <v>122</v>
      </c>
      <c r="C42" t="s">
        <v>219</v>
      </c>
      <c r="D42" s="10" t="s">
        <v>220</v>
      </c>
      <c r="E42" t="s">
        <v>11</v>
      </c>
      <c r="F42" s="41">
        <v>1</v>
      </c>
    </row>
  </sheetData>
  <dataValidations count="1">
    <dataValidation type="list" allowBlank="1" showInputMessage="1" showErrorMessage="1" sqref="F12 F32" xr:uid="{665A00D2-0612-479E-90EA-BF874A77BD00}">
      <formula1>"Default Value,Adjusted Default Value"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6A8-1D66-44C6-8330-97A5531B7240}">
  <dimension ref="A1:G16"/>
  <sheetViews>
    <sheetView workbookViewId="0">
      <selection activeCell="D38" sqref="D38"/>
    </sheetView>
  </sheetViews>
  <sheetFormatPr defaultRowHeight="15"/>
  <cols>
    <col min="1" max="1" width="18.140625" bestFit="1" customWidth="1"/>
    <col min="2" max="2" width="16.140625" bestFit="1" customWidth="1"/>
    <col min="3" max="3" width="14.85546875" bestFit="1" customWidth="1"/>
    <col min="4" max="4" width="46.85546875" customWidth="1"/>
    <col min="5" max="5" width="29.28515625" bestFit="1" customWidth="1"/>
    <col min="6" max="6" width="64.7109375" customWidth="1"/>
    <col min="7" max="7" width="55" customWidth="1"/>
  </cols>
  <sheetData>
    <row r="1" spans="1:7" ht="18.75">
      <c r="A1" s="92" t="s">
        <v>0</v>
      </c>
      <c r="B1" s="92" t="s">
        <v>3</v>
      </c>
      <c r="C1" s="92" t="s">
        <v>5</v>
      </c>
      <c r="D1" s="1" t="s">
        <v>6</v>
      </c>
      <c r="E1" s="1" t="s">
        <v>2</v>
      </c>
      <c r="F1" s="92" t="s">
        <v>7</v>
      </c>
      <c r="G1" s="92" t="s">
        <v>8</v>
      </c>
    </row>
    <row r="2" spans="1:7" ht="18.75">
      <c r="A2" s="93"/>
      <c r="B2" s="93"/>
      <c r="C2" s="94"/>
      <c r="D2" s="93" t="s">
        <v>180</v>
      </c>
      <c r="E2" s="94"/>
      <c r="F2" s="94"/>
      <c r="G2" s="95"/>
    </row>
    <row r="3" spans="1:7" ht="18.75">
      <c r="A3" s="93"/>
      <c r="B3" s="93"/>
      <c r="C3" s="94"/>
      <c r="D3" s="93" t="s">
        <v>223</v>
      </c>
      <c r="E3" s="94"/>
      <c r="F3" s="94"/>
      <c r="G3" s="95"/>
    </row>
    <row r="4" spans="1:7">
      <c r="A4" t="s">
        <v>11</v>
      </c>
      <c r="B4" t="s">
        <v>13</v>
      </c>
      <c r="C4" t="s">
        <v>182</v>
      </c>
      <c r="D4" t="s">
        <v>183</v>
      </c>
      <c r="E4" t="s">
        <v>11</v>
      </c>
      <c r="F4" t="s">
        <v>184</v>
      </c>
    </row>
    <row r="5" spans="1:7" ht="30">
      <c r="A5" s="15" t="s">
        <v>12</v>
      </c>
      <c r="B5" s="15" t="s">
        <v>93</v>
      </c>
      <c r="C5" s="15" t="s">
        <v>185</v>
      </c>
      <c r="D5" s="18" t="s">
        <v>224</v>
      </c>
      <c r="E5" s="15" t="s">
        <v>12</v>
      </c>
      <c r="F5" s="33">
        <f>F7*F6*F8*F9</f>
        <v>10000</v>
      </c>
      <c r="G5" s="15"/>
    </row>
    <row r="6" spans="1:7" ht="45">
      <c r="A6" t="s">
        <v>11</v>
      </c>
      <c r="B6" t="s">
        <v>122</v>
      </c>
      <c r="C6" t="s">
        <v>189</v>
      </c>
      <c r="D6" s="10" t="s">
        <v>190</v>
      </c>
      <c r="E6" t="s">
        <v>11</v>
      </c>
      <c r="F6" s="41">
        <v>25</v>
      </c>
    </row>
    <row r="7" spans="1:7">
      <c r="A7" t="s">
        <v>11</v>
      </c>
      <c r="B7" t="s">
        <v>122</v>
      </c>
      <c r="C7" t="s">
        <v>187</v>
      </c>
      <c r="D7" s="10" t="s">
        <v>225</v>
      </c>
      <c r="E7" t="s">
        <v>11</v>
      </c>
      <c r="F7" s="41">
        <v>1</v>
      </c>
    </row>
    <row r="8" spans="1:7" ht="45">
      <c r="A8" t="s">
        <v>11</v>
      </c>
      <c r="B8" t="s">
        <v>122</v>
      </c>
      <c r="C8" t="s">
        <v>226</v>
      </c>
      <c r="D8" s="10" t="s">
        <v>227</v>
      </c>
      <c r="E8" t="s">
        <v>11</v>
      </c>
      <c r="F8" s="41">
        <v>20</v>
      </c>
    </row>
    <row r="9" spans="1:7" ht="60">
      <c r="A9" t="s">
        <v>11</v>
      </c>
      <c r="B9" t="s">
        <v>122</v>
      </c>
      <c r="C9" t="s">
        <v>228</v>
      </c>
      <c r="D9" s="10" t="s">
        <v>229</v>
      </c>
      <c r="E9" t="s">
        <v>11</v>
      </c>
      <c r="F9" s="41">
        <v>20</v>
      </c>
    </row>
    <row r="10" spans="1:7" ht="18.75">
      <c r="A10" s="93"/>
      <c r="B10" s="93"/>
      <c r="C10" s="94"/>
      <c r="D10" s="93" t="s">
        <v>180</v>
      </c>
      <c r="E10" s="94"/>
      <c r="F10" s="94"/>
      <c r="G10" s="95"/>
    </row>
    <row r="11" spans="1:7">
      <c r="A11" t="s">
        <v>11</v>
      </c>
      <c r="B11" t="s">
        <v>13</v>
      </c>
      <c r="D11" t="s">
        <v>183</v>
      </c>
      <c r="E11" t="s">
        <v>11</v>
      </c>
      <c r="F11" t="s">
        <v>221</v>
      </c>
    </row>
    <row r="12" spans="1:7" ht="30">
      <c r="A12" s="15" t="s">
        <v>12</v>
      </c>
      <c r="B12" s="15" t="s">
        <v>93</v>
      </c>
      <c r="C12" s="15" t="s">
        <v>185</v>
      </c>
      <c r="D12" s="18" t="s">
        <v>224</v>
      </c>
      <c r="E12" s="15" t="s">
        <v>12</v>
      </c>
      <c r="F12" s="33">
        <f>F14*F13*F15*F16</f>
        <v>10000</v>
      </c>
      <c r="G12" s="15"/>
    </row>
    <row r="13" spans="1:7" ht="45">
      <c r="A13" t="s">
        <v>11</v>
      </c>
      <c r="B13" t="s">
        <v>122</v>
      </c>
      <c r="C13" t="s">
        <v>189</v>
      </c>
      <c r="D13" s="10" t="s">
        <v>190</v>
      </c>
      <c r="E13" t="s">
        <v>11</v>
      </c>
      <c r="F13" s="41">
        <v>25</v>
      </c>
    </row>
    <row r="14" spans="1:7">
      <c r="A14" t="s">
        <v>11</v>
      </c>
      <c r="B14" t="s">
        <v>122</v>
      </c>
      <c r="C14" t="s">
        <v>187</v>
      </c>
      <c r="D14" s="10" t="s">
        <v>225</v>
      </c>
      <c r="E14" t="s">
        <v>11</v>
      </c>
      <c r="F14" s="41">
        <v>1</v>
      </c>
    </row>
    <row r="15" spans="1:7" ht="45">
      <c r="A15" t="s">
        <v>11</v>
      </c>
      <c r="B15" t="s">
        <v>122</v>
      </c>
      <c r="C15" t="s">
        <v>226</v>
      </c>
      <c r="D15" s="10" t="s">
        <v>227</v>
      </c>
      <c r="E15" t="s">
        <v>11</v>
      </c>
      <c r="F15" s="41">
        <v>20</v>
      </c>
    </row>
    <row r="16" spans="1:7" ht="60">
      <c r="A16" t="s">
        <v>11</v>
      </c>
      <c r="B16" t="s">
        <v>122</v>
      </c>
      <c r="C16" t="s">
        <v>228</v>
      </c>
      <c r="D16" s="10" t="s">
        <v>229</v>
      </c>
      <c r="E16" t="s">
        <v>11</v>
      </c>
      <c r="F16" s="4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328F-6B1A-4622-ABFB-3FB0E655315E}">
  <dimension ref="A1:I73"/>
  <sheetViews>
    <sheetView tabSelected="1" topLeftCell="A40" workbookViewId="0">
      <selection activeCell="H79" sqref="H79"/>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11" t="s">
        <v>0</v>
      </c>
      <c r="B1" s="11" t="s">
        <v>1</v>
      </c>
      <c r="C1" s="7" t="s">
        <v>230</v>
      </c>
      <c r="D1" s="7" t="s">
        <v>3</v>
      </c>
      <c r="E1" s="11" t="s">
        <v>5</v>
      </c>
      <c r="F1" s="1" t="s">
        <v>6</v>
      </c>
      <c r="G1" s="1" t="s">
        <v>7</v>
      </c>
      <c r="H1" s="7" t="s">
        <v>8</v>
      </c>
      <c r="I1" s="2"/>
    </row>
    <row r="2" spans="1:9" ht="21">
      <c r="A2" s="114" t="s">
        <v>231</v>
      </c>
      <c r="B2" s="114"/>
      <c r="C2" s="114"/>
      <c r="D2" s="114"/>
      <c r="E2" s="114"/>
      <c r="F2" s="114"/>
      <c r="G2" s="114"/>
      <c r="H2" s="114"/>
      <c r="I2" s="2"/>
    </row>
    <row r="3" spans="1:9" ht="18.75">
      <c r="A3" s="12" t="s">
        <v>12</v>
      </c>
      <c r="B3" s="13"/>
      <c r="C3" s="14" t="s">
        <v>12</v>
      </c>
      <c r="D3" s="14" t="s">
        <v>109</v>
      </c>
      <c r="E3" s="12" t="s">
        <v>232</v>
      </c>
      <c r="F3" s="15" t="s">
        <v>233</v>
      </c>
      <c r="G3" s="16">
        <f>G16+(IF(AND(G18="Option 1"),G20,IF(AND(G18="Option 2"),G22)))+G27+G41+G57</f>
        <v>95.130333333333326</v>
      </c>
      <c r="H3" s="17"/>
      <c r="I3" s="2"/>
    </row>
    <row r="4" spans="1:9" ht="21">
      <c r="A4" s="114" t="s">
        <v>234</v>
      </c>
      <c r="B4" s="114"/>
      <c r="C4" s="114"/>
      <c r="D4" s="114"/>
      <c r="E4" s="114"/>
      <c r="F4" s="114"/>
      <c r="G4" s="114"/>
      <c r="H4" s="114"/>
      <c r="I4" s="4"/>
    </row>
    <row r="5" spans="1:9" ht="60">
      <c r="A5" t="s">
        <v>11</v>
      </c>
      <c r="C5" t="s">
        <v>11</v>
      </c>
      <c r="D5" t="s">
        <v>89</v>
      </c>
      <c r="E5" t="s">
        <v>6</v>
      </c>
      <c r="F5" s="10" t="s">
        <v>235</v>
      </c>
      <c r="G5" t="s">
        <v>236</v>
      </c>
    </row>
    <row r="6" spans="1:9" ht="21">
      <c r="A6" s="114" t="s">
        <v>237</v>
      </c>
      <c r="B6" s="114"/>
      <c r="C6" s="114"/>
      <c r="D6" s="114"/>
      <c r="E6" s="114"/>
      <c r="F6" s="114"/>
      <c r="G6" s="114"/>
      <c r="H6" s="114"/>
      <c r="I6" s="4"/>
    </row>
    <row r="7" spans="1:9">
      <c r="A7" t="s">
        <v>11</v>
      </c>
      <c r="C7" t="s">
        <v>11</v>
      </c>
      <c r="D7" t="s">
        <v>122</v>
      </c>
      <c r="E7" t="s">
        <v>238</v>
      </c>
      <c r="F7" t="s">
        <v>239</v>
      </c>
      <c r="G7">
        <v>1</v>
      </c>
    </row>
    <row r="8" spans="1:9" ht="21">
      <c r="A8" s="114" t="s">
        <v>240</v>
      </c>
      <c r="B8" s="114"/>
      <c r="C8" s="114"/>
      <c r="D8" s="114"/>
      <c r="E8" s="114"/>
      <c r="F8" s="114"/>
      <c r="G8" s="114"/>
      <c r="H8" s="114"/>
      <c r="I8" s="4"/>
    </row>
    <row r="9" spans="1:9">
      <c r="A9" s="12" t="s">
        <v>12</v>
      </c>
      <c r="B9" s="15"/>
      <c r="C9" s="15" t="s">
        <v>12</v>
      </c>
      <c r="D9" s="14" t="s">
        <v>109</v>
      </c>
      <c r="E9" s="15" t="s">
        <v>238</v>
      </c>
      <c r="F9" s="15" t="s">
        <v>239</v>
      </c>
      <c r="G9" s="15">
        <f>SUM(G11,G13)</f>
        <v>2</v>
      </c>
      <c r="H9" s="15"/>
    </row>
    <row r="10" spans="1:9" ht="29.25" customHeight="1">
      <c r="A10" s="115" t="s">
        <v>241</v>
      </c>
      <c r="B10" s="115"/>
      <c r="C10" s="115"/>
      <c r="D10" s="115"/>
      <c r="E10" s="115"/>
      <c r="F10" s="115"/>
      <c r="G10" s="115"/>
      <c r="H10" s="115"/>
      <c r="I10" s="4"/>
    </row>
    <row r="11" spans="1:9" ht="29.25" customHeight="1">
      <c r="A11" t="s">
        <v>11</v>
      </c>
      <c r="C11" t="s">
        <v>11</v>
      </c>
      <c r="D11" t="s">
        <v>122</v>
      </c>
      <c r="E11" t="s">
        <v>242</v>
      </c>
      <c r="F11" s="10" t="s">
        <v>243</v>
      </c>
      <c r="G11">
        <v>1</v>
      </c>
    </row>
    <row r="12" spans="1:9" ht="29.25" customHeight="1">
      <c r="A12" s="115" t="s">
        <v>241</v>
      </c>
      <c r="B12" s="115"/>
      <c r="C12" s="115"/>
      <c r="D12" s="115"/>
      <c r="E12" s="115"/>
      <c r="F12" s="115"/>
      <c r="G12" s="115"/>
      <c r="H12" s="115"/>
      <c r="I12" s="4"/>
    </row>
    <row r="13" spans="1:9" ht="29.25" customHeight="1">
      <c r="A13" t="s">
        <v>11</v>
      </c>
      <c r="C13" t="s">
        <v>11</v>
      </c>
      <c r="D13" t="s">
        <v>122</v>
      </c>
      <c r="E13" t="s">
        <v>242</v>
      </c>
      <c r="F13" s="10" t="s">
        <v>243</v>
      </c>
      <c r="G13">
        <v>1</v>
      </c>
    </row>
    <row r="14" spans="1:9" ht="21">
      <c r="A14" s="114" t="s">
        <v>244</v>
      </c>
      <c r="B14" s="114"/>
      <c r="C14" s="114"/>
      <c r="D14" s="114"/>
      <c r="E14" s="114"/>
      <c r="F14" s="114"/>
      <c r="G14" s="114"/>
      <c r="H14" s="114"/>
    </row>
    <row r="15" spans="1:9" ht="90">
      <c r="A15" t="s">
        <v>11</v>
      </c>
      <c r="C15" t="s">
        <v>11</v>
      </c>
      <c r="D15" t="s">
        <v>89</v>
      </c>
      <c r="E15" t="s">
        <v>6</v>
      </c>
      <c r="F15" s="10" t="s">
        <v>245</v>
      </c>
      <c r="G15" t="s">
        <v>11</v>
      </c>
    </row>
    <row r="16" spans="1:9" ht="30">
      <c r="A16" s="12" t="s">
        <v>12</v>
      </c>
      <c r="B16" s="15"/>
      <c r="C16" s="15" t="s">
        <v>12</v>
      </c>
      <c r="D16" s="14" t="s">
        <v>109</v>
      </c>
      <c r="E16" s="15" t="s">
        <v>246</v>
      </c>
      <c r="F16" s="18" t="s">
        <v>247</v>
      </c>
      <c r="G16" s="15">
        <f>'Tool 05.1'!G6</f>
        <v>0.73499999999999999</v>
      </c>
      <c r="H16" s="15"/>
    </row>
    <row r="17" spans="1:8" ht="21">
      <c r="A17" s="114" t="s">
        <v>248</v>
      </c>
      <c r="B17" s="114"/>
      <c r="C17" s="114"/>
      <c r="D17" s="114"/>
      <c r="E17" s="114"/>
      <c r="F17" s="114"/>
      <c r="G17" s="114"/>
      <c r="H17" s="114"/>
    </row>
    <row r="18" spans="1:8" ht="60">
      <c r="A18" t="s">
        <v>11</v>
      </c>
      <c r="C18" t="s">
        <v>11</v>
      </c>
      <c r="D18" t="s">
        <v>89</v>
      </c>
      <c r="E18" t="s">
        <v>6</v>
      </c>
      <c r="F18" s="10" t="s">
        <v>249</v>
      </c>
      <c r="G18" t="s">
        <v>236</v>
      </c>
    </row>
    <row r="19" spans="1:8" ht="21">
      <c r="A19" s="114" t="s">
        <v>250</v>
      </c>
      <c r="B19" s="114"/>
      <c r="C19" s="114"/>
      <c r="D19" s="114"/>
      <c r="E19" s="114"/>
      <c r="F19" s="114"/>
      <c r="G19" s="114"/>
      <c r="H19" s="114"/>
    </row>
    <row r="20" spans="1:8" ht="30">
      <c r="A20" s="12" t="s">
        <v>12</v>
      </c>
      <c r="B20" s="15"/>
      <c r="C20" s="15" t="s">
        <v>12</v>
      </c>
      <c r="D20" s="14" t="s">
        <v>109</v>
      </c>
      <c r="E20" s="15" t="s">
        <v>251</v>
      </c>
      <c r="F20" s="18" t="s">
        <v>252</v>
      </c>
      <c r="G20" s="15">
        <f>'(Revised) Tool 03'!G3</f>
        <v>73.333333333333329</v>
      </c>
      <c r="H20" s="15"/>
    </row>
    <row r="21" spans="1:8" ht="21">
      <c r="A21" s="114" t="s">
        <v>253</v>
      </c>
      <c r="B21" s="114"/>
      <c r="C21" s="114"/>
      <c r="D21" s="114"/>
      <c r="E21" s="114"/>
      <c r="F21" s="114"/>
      <c r="G21" s="114"/>
      <c r="H21" s="114"/>
    </row>
    <row r="22" spans="1:8" ht="30">
      <c r="A22" s="12" t="s">
        <v>12</v>
      </c>
      <c r="B22" s="15"/>
      <c r="C22" s="15" t="s">
        <v>12</v>
      </c>
      <c r="D22" s="14" t="s">
        <v>109</v>
      </c>
      <c r="E22" s="15" t="s">
        <v>251</v>
      </c>
      <c r="F22" s="18" t="s">
        <v>252</v>
      </c>
      <c r="G22" s="15">
        <f>G23*G24</f>
        <v>2.07E-2</v>
      </c>
      <c r="H22" s="15"/>
    </row>
    <row r="23" spans="1:8">
      <c r="A23" t="s">
        <v>11</v>
      </c>
      <c r="C23" t="s">
        <v>11</v>
      </c>
      <c r="D23" t="s">
        <v>122</v>
      </c>
      <c r="E23" t="s">
        <v>238</v>
      </c>
      <c r="F23" t="s">
        <v>254</v>
      </c>
      <c r="G23">
        <v>1</v>
      </c>
    </row>
    <row r="24" spans="1:8" ht="30">
      <c r="A24" s="12" t="s">
        <v>12</v>
      </c>
      <c r="B24" s="15"/>
      <c r="C24" s="15" t="s">
        <v>12</v>
      </c>
      <c r="D24" s="14" t="s">
        <v>109</v>
      </c>
      <c r="E24" s="15" t="s">
        <v>255</v>
      </c>
      <c r="F24" s="18" t="s">
        <v>256</v>
      </c>
      <c r="G24" s="15">
        <f>0.0207</f>
        <v>2.07E-2</v>
      </c>
      <c r="H24" s="15"/>
    </row>
    <row r="25" spans="1:8" ht="21">
      <c r="A25" s="114" t="s">
        <v>257</v>
      </c>
      <c r="B25" s="114"/>
      <c r="C25" s="114"/>
      <c r="D25" s="114"/>
      <c r="E25" s="114"/>
      <c r="F25" s="114"/>
      <c r="G25" s="114"/>
      <c r="H25" s="114"/>
    </row>
    <row r="26" spans="1:8" ht="60">
      <c r="A26" t="s">
        <v>11</v>
      </c>
      <c r="C26" t="s">
        <v>11</v>
      </c>
      <c r="D26" t="s">
        <v>89</v>
      </c>
      <c r="E26" t="s">
        <v>6</v>
      </c>
      <c r="F26" s="10" t="s">
        <v>258</v>
      </c>
      <c r="G26" s="19" t="s">
        <v>236</v>
      </c>
    </row>
    <row r="27" spans="1:8" ht="30">
      <c r="A27" s="12" t="s">
        <v>12</v>
      </c>
      <c r="B27" s="15"/>
      <c r="C27" s="15" t="s">
        <v>12</v>
      </c>
      <c r="D27" s="14" t="s">
        <v>109</v>
      </c>
      <c r="E27" s="15" t="s">
        <v>259</v>
      </c>
      <c r="F27" s="18" t="s">
        <v>260</v>
      </c>
      <c r="G27" s="20">
        <f>(IF(AND(G5="Option 1"),G7,IF(AND(G5="Option 2"),G9)))*G28*G63</f>
        <v>21</v>
      </c>
      <c r="H27" s="15"/>
    </row>
    <row r="28" spans="1:8" ht="30">
      <c r="A28" s="12" t="s">
        <v>12</v>
      </c>
      <c r="B28" s="15"/>
      <c r="C28" s="15" t="s">
        <v>12</v>
      </c>
      <c r="D28" s="14" t="s">
        <v>109</v>
      </c>
      <c r="E28" s="15" t="s">
        <v>261</v>
      </c>
      <c r="F28" s="18" t="s">
        <v>262</v>
      </c>
      <c r="G28" s="20">
        <f>IF(AND(G26="Option 1"),(SUM((G33/G34),(G37/G38))/G30),IF(AND(G26="Option 2"),0.002))</f>
        <v>1</v>
      </c>
      <c r="H28" s="15"/>
    </row>
    <row r="29" spans="1:8" ht="21">
      <c r="A29" s="114" t="s">
        <v>263</v>
      </c>
      <c r="B29" s="114"/>
      <c r="C29" s="114"/>
      <c r="D29" s="114"/>
      <c r="E29" s="114"/>
      <c r="F29" s="114"/>
      <c r="G29" s="114"/>
      <c r="H29" s="114"/>
    </row>
    <row r="30" spans="1:8" ht="30">
      <c r="A30" t="s">
        <v>11</v>
      </c>
      <c r="C30" t="s">
        <v>11</v>
      </c>
      <c r="D30" t="s">
        <v>122</v>
      </c>
      <c r="E30" t="s">
        <v>264</v>
      </c>
      <c r="F30" s="10" t="s">
        <v>265</v>
      </c>
      <c r="G30">
        <v>2</v>
      </c>
    </row>
    <row r="31" spans="1:8" ht="21">
      <c r="A31" s="115" t="s">
        <v>266</v>
      </c>
      <c r="B31" s="115"/>
      <c r="C31" s="115"/>
      <c r="D31" s="115"/>
      <c r="E31" s="115"/>
      <c r="F31" s="115"/>
      <c r="G31" s="115"/>
      <c r="H31" s="115"/>
    </row>
    <row r="32" spans="1:8">
      <c r="A32" t="s">
        <v>11</v>
      </c>
      <c r="C32" t="s">
        <v>11</v>
      </c>
      <c r="E32" t="s">
        <v>267</v>
      </c>
      <c r="F32" t="s">
        <v>268</v>
      </c>
      <c r="G32" s="19" t="s">
        <v>269</v>
      </c>
    </row>
    <row r="33" spans="1:8">
      <c r="A33" t="s">
        <v>11</v>
      </c>
      <c r="C33" t="s">
        <v>11</v>
      </c>
      <c r="D33" t="s">
        <v>122</v>
      </c>
      <c r="E33" t="s">
        <v>270</v>
      </c>
      <c r="F33" t="s">
        <v>271</v>
      </c>
      <c r="G33">
        <v>1</v>
      </c>
    </row>
    <row r="34" spans="1:8">
      <c r="A34" t="s">
        <v>11</v>
      </c>
      <c r="C34" t="s">
        <v>11</v>
      </c>
      <c r="D34" t="s">
        <v>122</v>
      </c>
      <c r="E34" t="s">
        <v>272</v>
      </c>
      <c r="F34" t="s">
        <v>273</v>
      </c>
      <c r="G34">
        <v>1</v>
      </c>
    </row>
    <row r="35" spans="1:8" ht="21">
      <c r="A35" s="115" t="s">
        <v>266</v>
      </c>
      <c r="B35" s="115"/>
      <c r="C35" s="115"/>
      <c r="D35" s="115"/>
      <c r="E35" s="115"/>
      <c r="F35" s="115"/>
      <c r="G35" s="115"/>
      <c r="H35" s="115"/>
    </row>
    <row r="36" spans="1:8">
      <c r="A36" t="s">
        <v>11</v>
      </c>
      <c r="C36" t="s">
        <v>11</v>
      </c>
      <c r="E36" t="s">
        <v>274</v>
      </c>
      <c r="F36" t="s">
        <v>268</v>
      </c>
      <c r="G36" s="19" t="s">
        <v>275</v>
      </c>
    </row>
    <row r="37" spans="1:8">
      <c r="A37" t="s">
        <v>11</v>
      </c>
      <c r="C37" t="s">
        <v>11</v>
      </c>
      <c r="D37" t="s">
        <v>122</v>
      </c>
      <c r="E37" t="s">
        <v>270</v>
      </c>
      <c r="F37" t="s">
        <v>271</v>
      </c>
      <c r="G37">
        <v>1</v>
      </c>
    </row>
    <row r="38" spans="1:8">
      <c r="A38" t="s">
        <v>11</v>
      </c>
      <c r="C38" t="s">
        <v>11</v>
      </c>
      <c r="D38" t="s">
        <v>122</v>
      </c>
      <c r="E38" t="s">
        <v>272</v>
      </c>
      <c r="F38" t="s">
        <v>273</v>
      </c>
      <c r="G38">
        <v>1</v>
      </c>
    </row>
    <row r="39" spans="1:8" ht="21">
      <c r="A39" s="114" t="s">
        <v>276</v>
      </c>
      <c r="B39" s="114"/>
      <c r="C39" s="114"/>
      <c r="D39" s="114"/>
      <c r="E39" s="114"/>
      <c r="F39" s="114"/>
      <c r="G39" s="114"/>
      <c r="H39" s="114"/>
    </row>
    <row r="40" spans="1:8" ht="60">
      <c r="A40" t="s">
        <v>11</v>
      </c>
      <c r="C40" t="s">
        <v>11</v>
      </c>
      <c r="D40" t="s">
        <v>89</v>
      </c>
      <c r="E40" t="s">
        <v>6</v>
      </c>
      <c r="F40" s="10" t="s">
        <v>277</v>
      </c>
      <c r="G40" s="19" t="s">
        <v>278</v>
      </c>
    </row>
    <row r="41" spans="1:8">
      <c r="A41" s="12" t="s">
        <v>12</v>
      </c>
      <c r="B41" s="15"/>
      <c r="C41" s="15" t="s">
        <v>12</v>
      </c>
      <c r="D41" s="14" t="s">
        <v>109</v>
      </c>
      <c r="E41" s="15" t="s">
        <v>279</v>
      </c>
      <c r="F41" s="15" t="s">
        <v>280</v>
      </c>
      <c r="G41" s="20">
        <f>(IF(AND(G5="Option 1"),G7,IF(AND(G5="Option 2"),G9)))*G42*G43</f>
        <v>6.2E-2</v>
      </c>
      <c r="H41" s="15"/>
    </row>
    <row r="42" spans="1:8" ht="30">
      <c r="A42" s="12" t="s">
        <v>12</v>
      </c>
      <c r="B42" s="15"/>
      <c r="C42" s="15" t="s">
        <v>12</v>
      </c>
      <c r="D42" s="14" t="s">
        <v>109</v>
      </c>
      <c r="E42" s="15" t="s">
        <v>281</v>
      </c>
      <c r="F42" s="18" t="s">
        <v>282</v>
      </c>
      <c r="G42" s="20">
        <f>IF(AND(G40="Option 1"),(SUM((G48/G49),(G52/G53))/G45),IF(AND(G40="Option 2"),0.0002))</f>
        <v>2.0000000000000001E-4</v>
      </c>
      <c r="H42" s="15"/>
    </row>
    <row r="43" spans="1:8">
      <c r="A43" s="12" t="s">
        <v>12</v>
      </c>
      <c r="B43" s="15"/>
      <c r="C43" s="15" t="s">
        <v>12</v>
      </c>
      <c r="D43" s="14" t="s">
        <v>109</v>
      </c>
      <c r="E43" s="15" t="s">
        <v>283</v>
      </c>
      <c r="F43" s="15" t="s">
        <v>284</v>
      </c>
      <c r="G43" s="20">
        <v>310</v>
      </c>
      <c r="H43" s="15"/>
    </row>
    <row r="44" spans="1:8" ht="21">
      <c r="A44" s="114" t="s">
        <v>285</v>
      </c>
      <c r="B44" s="114"/>
      <c r="C44" s="114"/>
      <c r="D44" s="114"/>
      <c r="E44" s="114"/>
      <c r="F44" s="114"/>
      <c r="G44" s="114"/>
      <c r="H44" s="114"/>
    </row>
    <row r="45" spans="1:8" ht="30">
      <c r="A45" t="s">
        <v>11</v>
      </c>
      <c r="C45" t="s">
        <v>11</v>
      </c>
      <c r="D45" t="s">
        <v>122</v>
      </c>
      <c r="E45" t="s">
        <v>264</v>
      </c>
      <c r="F45" s="10" t="s">
        <v>265</v>
      </c>
      <c r="G45">
        <v>2</v>
      </c>
    </row>
    <row r="46" spans="1:8" ht="21">
      <c r="A46" s="115" t="s">
        <v>286</v>
      </c>
      <c r="B46" s="115"/>
      <c r="C46" s="115"/>
      <c r="D46" s="115"/>
      <c r="E46" s="115"/>
      <c r="F46" s="115"/>
      <c r="G46" s="115"/>
      <c r="H46" s="115"/>
    </row>
    <row r="47" spans="1:8">
      <c r="A47" t="s">
        <v>11</v>
      </c>
      <c r="C47" t="s">
        <v>11</v>
      </c>
      <c r="E47" t="s">
        <v>267</v>
      </c>
      <c r="F47" t="s">
        <v>268</v>
      </c>
      <c r="G47" s="19" t="s">
        <v>269</v>
      </c>
    </row>
    <row r="48" spans="1:8" ht="30">
      <c r="A48" t="s">
        <v>11</v>
      </c>
      <c r="C48" t="s">
        <v>11</v>
      </c>
      <c r="D48" t="s">
        <v>122</v>
      </c>
      <c r="E48" t="s">
        <v>287</v>
      </c>
      <c r="F48" s="10" t="s">
        <v>288</v>
      </c>
      <c r="G48">
        <v>1</v>
      </c>
    </row>
    <row r="49" spans="1:8">
      <c r="A49" t="s">
        <v>11</v>
      </c>
      <c r="C49" t="s">
        <v>11</v>
      </c>
      <c r="D49" t="s">
        <v>122</v>
      </c>
      <c r="E49" t="s">
        <v>272</v>
      </c>
      <c r="F49" t="s">
        <v>273</v>
      </c>
      <c r="G49">
        <v>1</v>
      </c>
    </row>
    <row r="50" spans="1:8" ht="21">
      <c r="A50" s="115" t="s">
        <v>286</v>
      </c>
      <c r="B50" s="115"/>
      <c r="C50" s="115"/>
      <c r="D50" s="115"/>
      <c r="E50" s="115"/>
      <c r="F50" s="115"/>
      <c r="G50" s="115"/>
      <c r="H50" s="115"/>
    </row>
    <row r="51" spans="1:8">
      <c r="A51" t="s">
        <v>11</v>
      </c>
      <c r="C51" t="s">
        <v>11</v>
      </c>
      <c r="E51" t="s">
        <v>274</v>
      </c>
      <c r="F51" t="s">
        <v>268</v>
      </c>
      <c r="G51" s="19" t="s">
        <v>275</v>
      </c>
    </row>
    <row r="52" spans="1:8" ht="30">
      <c r="A52" t="s">
        <v>11</v>
      </c>
      <c r="C52" t="s">
        <v>11</v>
      </c>
      <c r="D52" t="s">
        <v>122</v>
      </c>
      <c r="E52" t="s">
        <v>287</v>
      </c>
      <c r="F52" s="10" t="s">
        <v>288</v>
      </c>
      <c r="G52">
        <v>1</v>
      </c>
    </row>
    <row r="53" spans="1:8">
      <c r="A53" t="s">
        <v>11</v>
      </c>
      <c r="C53" t="s">
        <v>11</v>
      </c>
      <c r="D53" t="s">
        <v>122</v>
      </c>
      <c r="E53" t="s">
        <v>272</v>
      </c>
      <c r="F53" t="s">
        <v>273</v>
      </c>
      <c r="G53">
        <v>1</v>
      </c>
    </row>
    <row r="54" spans="1:8" ht="21" customHeight="1">
      <c r="A54" s="114" t="s">
        <v>289</v>
      </c>
      <c r="B54" s="114"/>
      <c r="C54" s="114"/>
      <c r="D54" s="114"/>
      <c r="E54" s="114"/>
      <c r="F54" s="114"/>
      <c r="G54" s="114"/>
      <c r="H54" s="114"/>
    </row>
    <row r="55" spans="1:8">
      <c r="A55" t="s">
        <v>11</v>
      </c>
      <c r="C55" t="s">
        <v>11</v>
      </c>
      <c r="D55" t="s">
        <v>89</v>
      </c>
      <c r="E55" t="s">
        <v>6</v>
      </c>
      <c r="F55" t="s">
        <v>290</v>
      </c>
      <c r="G55" s="19" t="s">
        <v>11</v>
      </c>
    </row>
    <row r="56" spans="1:8" ht="165">
      <c r="A56" t="s">
        <v>11</v>
      </c>
      <c r="C56" t="s">
        <v>11</v>
      </c>
      <c r="D56" t="s">
        <v>89</v>
      </c>
      <c r="E56" t="s">
        <v>6</v>
      </c>
      <c r="F56" s="10" t="s">
        <v>291</v>
      </c>
      <c r="G56" s="19" t="s">
        <v>236</v>
      </c>
    </row>
    <row r="57" spans="1:8" ht="30">
      <c r="A57" s="12" t="s">
        <v>12</v>
      </c>
      <c r="B57" s="15"/>
      <c r="C57" s="15" t="s">
        <v>12</v>
      </c>
      <c r="D57" s="14" t="s">
        <v>109</v>
      </c>
      <c r="E57" s="15" t="s">
        <v>292</v>
      </c>
      <c r="F57" s="18" t="s">
        <v>293</v>
      </c>
      <c r="G57" s="20">
        <f>IF(AND(G55="Yes"),0,IF(AND(G55="No"),G58*G59*G61*G62*G63))</f>
        <v>0</v>
      </c>
      <c r="H57" s="15"/>
    </row>
    <row r="58" spans="1:8" ht="30">
      <c r="A58" s="12" t="s">
        <v>12</v>
      </c>
      <c r="B58" s="15"/>
      <c r="C58" s="15" t="s">
        <v>12</v>
      </c>
      <c r="D58" s="14" t="s">
        <v>109</v>
      </c>
      <c r="E58" s="15" t="s">
        <v>294</v>
      </c>
      <c r="F58" s="18" t="s">
        <v>295</v>
      </c>
      <c r="G58" s="15">
        <f>IF(AND(G56="Option 1"),G65*G66,IF(AND(G56="Option 2"),G68*G69*G70))</f>
        <v>1</v>
      </c>
      <c r="H58" s="15"/>
    </row>
    <row r="59" spans="1:8">
      <c r="A59" s="12" t="s">
        <v>12</v>
      </c>
      <c r="B59" s="15"/>
      <c r="C59" s="15" t="s">
        <v>12</v>
      </c>
      <c r="D59" s="14" t="s">
        <v>109</v>
      </c>
      <c r="E59" s="15" t="s">
        <v>296</v>
      </c>
      <c r="F59" s="15" t="s">
        <v>297</v>
      </c>
      <c r="G59" s="15">
        <f>0.25</f>
        <v>0.25</v>
      </c>
      <c r="H59" s="15"/>
    </row>
    <row r="60" spans="1:8" ht="30">
      <c r="A60" t="s">
        <v>11</v>
      </c>
      <c r="C60" t="s">
        <v>11</v>
      </c>
      <c r="D60" t="s">
        <v>89</v>
      </c>
      <c r="E60" t="s">
        <v>298</v>
      </c>
      <c r="F60" s="10" t="s">
        <v>299</v>
      </c>
      <c r="G60" s="10" t="s">
        <v>300</v>
      </c>
    </row>
    <row r="61" spans="1:8" ht="30">
      <c r="A61" s="12" t="s">
        <v>12</v>
      </c>
      <c r="B61" s="15"/>
      <c r="C61" s="15" t="s">
        <v>12</v>
      </c>
      <c r="D61" s="14" t="s">
        <v>109</v>
      </c>
      <c r="E61" s="15" t="s">
        <v>301</v>
      </c>
      <c r="F61" s="18" t="s">
        <v>302</v>
      </c>
      <c r="G61" s="15">
        <f>IF(G60="","",VLOOKUP(G60,'MCF Defaults'!B3:C10,2,FALSE))</f>
        <v>0.2</v>
      </c>
      <c r="H61" s="15"/>
    </row>
    <row r="62" spans="1:8" ht="30">
      <c r="A62" s="12" t="s">
        <v>12</v>
      </c>
      <c r="B62" s="15"/>
      <c r="C62" s="15" t="s">
        <v>12</v>
      </c>
      <c r="D62" s="14" t="s">
        <v>109</v>
      </c>
      <c r="E62" s="15"/>
      <c r="F62" s="18" t="s">
        <v>303</v>
      </c>
      <c r="G62" s="15">
        <f>1.12</f>
        <v>1.1200000000000001</v>
      </c>
      <c r="H62" s="15"/>
    </row>
    <row r="63" spans="1:8">
      <c r="A63" s="12" t="s">
        <v>12</v>
      </c>
      <c r="B63" s="15"/>
      <c r="C63" s="15" t="s">
        <v>12</v>
      </c>
      <c r="D63" s="14" t="s">
        <v>109</v>
      </c>
      <c r="E63" s="15" t="s">
        <v>156</v>
      </c>
      <c r="F63" s="15" t="s">
        <v>304</v>
      </c>
      <c r="G63" s="15">
        <f>21</f>
        <v>21</v>
      </c>
      <c r="H63" s="15"/>
    </row>
    <row r="64" spans="1:8" ht="21">
      <c r="A64" s="114" t="s">
        <v>305</v>
      </c>
      <c r="B64" s="114"/>
      <c r="C64" s="114"/>
      <c r="D64" s="114"/>
      <c r="E64" s="114"/>
      <c r="F64" s="114"/>
      <c r="G64" s="114"/>
      <c r="H64" s="114"/>
    </row>
    <row r="65" spans="1:9" ht="30">
      <c r="A65" t="s">
        <v>11</v>
      </c>
      <c r="C65" t="s">
        <v>11</v>
      </c>
      <c r="D65" s="3" t="s">
        <v>122</v>
      </c>
      <c r="E65" t="s">
        <v>306</v>
      </c>
      <c r="F65" s="10" t="s">
        <v>307</v>
      </c>
      <c r="G65">
        <v>1</v>
      </c>
    </row>
    <row r="66" spans="1:9" ht="30">
      <c r="A66" t="s">
        <v>11</v>
      </c>
      <c r="C66" t="s">
        <v>11</v>
      </c>
      <c r="D66" s="3" t="s">
        <v>122</v>
      </c>
      <c r="E66" t="s">
        <v>308</v>
      </c>
      <c r="F66" s="10" t="s">
        <v>309</v>
      </c>
      <c r="G66">
        <v>1</v>
      </c>
    </row>
    <row r="67" spans="1:9" ht="21">
      <c r="A67" s="114" t="s">
        <v>310</v>
      </c>
      <c r="B67" s="114"/>
      <c r="C67" s="114"/>
      <c r="D67" s="114"/>
      <c r="E67" s="114"/>
      <c r="F67" s="114"/>
      <c r="G67" s="114"/>
      <c r="H67" s="114"/>
    </row>
    <row r="68" spans="1:9">
      <c r="A68" t="s">
        <v>11</v>
      </c>
      <c r="C68" t="s">
        <v>11</v>
      </c>
      <c r="D68" s="3" t="s">
        <v>122</v>
      </c>
      <c r="E68" t="s">
        <v>311</v>
      </c>
      <c r="F68" t="s">
        <v>312</v>
      </c>
      <c r="G68">
        <v>1</v>
      </c>
    </row>
    <row r="69" spans="1:9">
      <c r="A69" t="s">
        <v>11</v>
      </c>
      <c r="C69" t="s">
        <v>11</v>
      </c>
      <c r="D69" s="3" t="s">
        <v>122</v>
      </c>
      <c r="E69" t="s">
        <v>313</v>
      </c>
      <c r="F69" t="s">
        <v>314</v>
      </c>
      <c r="G69">
        <v>1</v>
      </c>
    </row>
    <row r="70" spans="1:9" ht="30">
      <c r="A70" s="12" t="s">
        <v>12</v>
      </c>
      <c r="B70" s="15"/>
      <c r="C70" s="15" t="s">
        <v>12</v>
      </c>
      <c r="D70" s="14" t="s">
        <v>109</v>
      </c>
      <c r="E70" s="15" t="s">
        <v>315</v>
      </c>
      <c r="F70" s="18" t="s">
        <v>316</v>
      </c>
      <c r="G70" s="15">
        <f>0.02</f>
        <v>0.02</v>
      </c>
      <c r="H70" s="15"/>
      <c r="I70" t="s">
        <v>317</v>
      </c>
    </row>
    <row r="71" spans="1:9" ht="21">
      <c r="A71" s="114" t="s">
        <v>318</v>
      </c>
      <c r="B71" s="114"/>
      <c r="C71" s="114"/>
      <c r="D71" s="114"/>
      <c r="E71" s="114"/>
      <c r="F71" s="114"/>
      <c r="G71" s="114"/>
      <c r="H71" s="114"/>
    </row>
    <row r="72" spans="1:9" ht="45">
      <c r="A72" t="s">
        <v>11</v>
      </c>
      <c r="C72" t="s">
        <v>11</v>
      </c>
      <c r="D72" t="s">
        <v>89</v>
      </c>
      <c r="E72" t="s">
        <v>6</v>
      </c>
      <c r="F72" s="10" t="s">
        <v>319</v>
      </c>
      <c r="G72" s="19" t="s">
        <v>11</v>
      </c>
    </row>
    <row r="73" spans="1:9">
      <c r="A73" s="12" t="s">
        <v>12</v>
      </c>
      <c r="B73" s="15"/>
      <c r="C73" s="15" t="s">
        <v>12</v>
      </c>
      <c r="D73" s="14" t="s">
        <v>109</v>
      </c>
      <c r="E73" s="15" t="s">
        <v>320</v>
      </c>
      <c r="F73" s="15" t="s">
        <v>321</v>
      </c>
      <c r="G73" s="15">
        <f>IF(AND(G72="No"),0,IF(AND(G72="Yes"),'Tool 04-SWDS-Yearly'!C86))</f>
        <v>0.16218993029283385</v>
      </c>
      <c r="H73" s="15"/>
    </row>
  </sheetData>
  <mergeCells count="22">
    <mergeCell ref="A71:H71"/>
    <mergeCell ref="A31:H31"/>
    <mergeCell ref="A35:H35"/>
    <mergeCell ref="A39:H39"/>
    <mergeCell ref="A54:H54"/>
    <mergeCell ref="A64:H64"/>
    <mergeCell ref="A67:H67"/>
    <mergeCell ref="A46:H46"/>
    <mergeCell ref="A50:H50"/>
    <mergeCell ref="A44:H44"/>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8 G56 G26 G40" xr:uid="{BE0D0867-9E9A-46E7-9A3B-F37C321D7A75}">
      <formula1>"Option 1,Option 2"</formula1>
    </dataValidation>
    <dataValidation type="list" allowBlank="1" showInputMessage="1" showErrorMessage="1" sqref="G5" xr:uid="{AE99F5C5-7A51-4191-AE94-DFA66399AFA0}">
      <formula1>"Option 1, Option 2"</formula1>
    </dataValidation>
    <dataValidation type="list" allowBlank="1" showInputMessage="1" showErrorMessage="1" sqref="G15 G55 G72" xr:uid="{93665892-1CE0-4840-B6E1-D79B26BA7200}">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72B4B76-FA3B-478E-BDA1-05EB6F92E82E}">
          <x14:formula1>
            <xm:f>'MCF Defaults'!$B$3:$B$10</xm:f>
          </x14:formula1>
          <xm:sqref>G60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1FD5-1297-462F-A44A-C72AF1C3D716}">
  <dimension ref="A1:G10"/>
  <sheetViews>
    <sheetView workbookViewId="0">
      <selection activeCell="B36" sqref="B36"/>
    </sheetView>
  </sheetViews>
  <sheetFormatPr defaultRowHeight="15"/>
  <cols>
    <col min="1" max="1" width="9.28515625" customWidth="1"/>
    <col min="2" max="2" width="50.140625" customWidth="1"/>
    <col min="3" max="3" width="15.5703125" customWidth="1"/>
  </cols>
  <sheetData>
    <row r="1" spans="1:7" ht="21.75" customHeight="1" thickBot="1">
      <c r="A1" s="21"/>
      <c r="B1" s="116" t="s">
        <v>322</v>
      </c>
      <c r="C1" s="116"/>
      <c r="D1" s="21"/>
      <c r="E1" s="21"/>
      <c r="F1" s="21"/>
      <c r="G1" s="21"/>
    </row>
    <row r="2" spans="1:7" ht="38.25" thickBot="1">
      <c r="B2" s="22" t="s">
        <v>323</v>
      </c>
      <c r="C2" s="23" t="s">
        <v>324</v>
      </c>
    </row>
    <row r="3" spans="1:7">
      <c r="B3" s="24" t="s">
        <v>325</v>
      </c>
      <c r="C3" s="25">
        <v>0.1</v>
      </c>
    </row>
    <row r="4" spans="1:7">
      <c r="B4" s="26" t="s">
        <v>326</v>
      </c>
      <c r="C4" s="27">
        <v>0</v>
      </c>
    </row>
    <row r="5" spans="1:7">
      <c r="B5" s="28" t="s">
        <v>327</v>
      </c>
      <c r="C5" s="27">
        <v>0.3</v>
      </c>
    </row>
    <row r="6" spans="1:7" ht="30">
      <c r="B6" s="28" t="s">
        <v>328</v>
      </c>
      <c r="C6" s="27">
        <v>0.8</v>
      </c>
    </row>
    <row r="7" spans="1:7">
      <c r="B7" s="28" t="s">
        <v>329</v>
      </c>
      <c r="C7" s="27">
        <v>0.8</v>
      </c>
    </row>
    <row r="8" spans="1:7">
      <c r="B8" s="28" t="s">
        <v>300</v>
      </c>
      <c r="C8" s="27">
        <v>0.2</v>
      </c>
    </row>
    <row r="9" spans="1:7">
      <c r="B9" s="28" t="s">
        <v>330</v>
      </c>
      <c r="C9" s="27">
        <v>0.8</v>
      </c>
    </row>
    <row r="10" spans="1:7" ht="15.75" thickBot="1">
      <c r="B10" s="29" t="s">
        <v>331</v>
      </c>
      <c r="C10" s="30">
        <v>0.5</v>
      </c>
    </row>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EAF6E-543A-411E-9696-F9612ED56FE3}">
  <dimension ref="A1:H39"/>
  <sheetViews>
    <sheetView topLeftCell="A13" zoomScaleNormal="100" workbookViewId="0">
      <selection activeCell="E48" sqref="E48"/>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11" t="s">
        <v>0</v>
      </c>
      <c r="B1" s="11" t="s">
        <v>1</v>
      </c>
      <c r="C1" s="7" t="s">
        <v>230</v>
      </c>
      <c r="D1" s="11" t="s">
        <v>3</v>
      </c>
      <c r="E1" s="11" t="s">
        <v>5</v>
      </c>
      <c r="F1" s="1" t="s">
        <v>6</v>
      </c>
      <c r="G1" s="1" t="s">
        <v>7</v>
      </c>
      <c r="H1" s="7" t="s">
        <v>8</v>
      </c>
    </row>
    <row r="2" spans="1:8" ht="30" customHeight="1">
      <c r="A2" s="114" t="s">
        <v>332</v>
      </c>
      <c r="B2" s="114"/>
      <c r="C2" s="114"/>
      <c r="D2" s="114"/>
      <c r="E2" s="114"/>
      <c r="F2" s="114"/>
      <c r="G2" s="114"/>
      <c r="H2" s="114"/>
    </row>
    <row r="3" spans="1:8" ht="30">
      <c r="A3" s="15" t="s">
        <v>12</v>
      </c>
      <c r="B3" s="15"/>
      <c r="C3" s="15" t="s">
        <v>12</v>
      </c>
      <c r="D3" s="15" t="s">
        <v>93</v>
      </c>
      <c r="E3" s="31" t="s">
        <v>333</v>
      </c>
      <c r="F3" s="32" t="s">
        <v>334</v>
      </c>
      <c r="G3" s="33">
        <f>SUM((G11*G12),(G29*G30))</f>
        <v>73.333333333333329</v>
      </c>
      <c r="H3" s="33" t="s">
        <v>335</v>
      </c>
    </row>
    <row r="4" spans="1:8" ht="46.5" customHeight="1">
      <c r="A4" s="114" t="s">
        <v>336</v>
      </c>
      <c r="B4" s="114"/>
      <c r="C4" s="114"/>
      <c r="D4" s="114"/>
      <c r="E4" s="114"/>
      <c r="F4" s="114"/>
      <c r="G4" s="114"/>
      <c r="H4" s="114"/>
    </row>
    <row r="5" spans="1:8" ht="33" customHeight="1">
      <c r="A5" t="s">
        <v>11</v>
      </c>
      <c r="C5" t="s">
        <v>11</v>
      </c>
      <c r="D5" t="s">
        <v>13</v>
      </c>
      <c r="E5" s="34" t="s">
        <v>337</v>
      </c>
      <c r="F5" s="35" t="s">
        <v>338</v>
      </c>
      <c r="G5" t="s">
        <v>339</v>
      </c>
    </row>
    <row r="6" spans="1:8">
      <c r="A6" t="s">
        <v>11</v>
      </c>
      <c r="C6" t="s">
        <v>11</v>
      </c>
      <c r="D6" t="s">
        <v>13</v>
      </c>
      <c r="F6" s="35" t="s">
        <v>340</v>
      </c>
      <c r="G6" t="s">
        <v>341</v>
      </c>
    </row>
    <row r="7" spans="1:8" ht="75">
      <c r="A7" s="36" t="s">
        <v>11</v>
      </c>
      <c r="B7" s="36"/>
      <c r="C7" s="36" t="s">
        <v>11</v>
      </c>
      <c r="D7" s="36" t="s">
        <v>342</v>
      </c>
      <c r="E7" s="36"/>
      <c r="F7" s="37" t="s">
        <v>343</v>
      </c>
      <c r="G7" s="36" t="s">
        <v>344</v>
      </c>
      <c r="H7" s="125" t="s">
        <v>345</v>
      </c>
    </row>
    <row r="8" spans="1:8" ht="30">
      <c r="A8" s="36" t="s">
        <v>11</v>
      </c>
      <c r="B8" s="36"/>
      <c r="C8" s="36" t="s">
        <v>11</v>
      </c>
      <c r="D8" s="36" t="s">
        <v>342</v>
      </c>
      <c r="E8" s="36"/>
      <c r="F8" s="37" t="s">
        <v>346</v>
      </c>
      <c r="G8" s="36" t="s">
        <v>347</v>
      </c>
      <c r="H8" s="38" t="s">
        <v>348</v>
      </c>
    </row>
    <row r="9" spans="1:8" ht="21">
      <c r="A9" s="117" t="s">
        <v>349</v>
      </c>
      <c r="B9" s="117"/>
      <c r="C9" s="117"/>
      <c r="D9" s="117"/>
      <c r="E9" s="117"/>
      <c r="F9" s="117"/>
      <c r="G9" s="117"/>
      <c r="H9" s="117"/>
    </row>
    <row r="10" spans="1:8" ht="30">
      <c r="A10" s="15" t="s">
        <v>12</v>
      </c>
      <c r="B10" s="15"/>
      <c r="C10" s="15" t="s">
        <v>12</v>
      </c>
      <c r="D10" s="15" t="s">
        <v>93</v>
      </c>
      <c r="E10" s="39" t="s">
        <v>350</v>
      </c>
      <c r="F10" s="32" t="s">
        <v>351</v>
      </c>
      <c r="G10" s="33">
        <f>G11*G12</f>
        <v>36.666666666666664</v>
      </c>
      <c r="H10" s="33"/>
    </row>
    <row r="11" spans="1:8" ht="30">
      <c r="A11" t="s">
        <v>11</v>
      </c>
      <c r="C11" t="s">
        <v>11</v>
      </c>
      <c r="D11" t="s">
        <v>122</v>
      </c>
      <c r="E11" s="40" t="s">
        <v>352</v>
      </c>
      <c r="F11" s="35" t="s">
        <v>353</v>
      </c>
      <c r="G11" s="41">
        <v>20</v>
      </c>
      <c r="H11" s="41"/>
    </row>
    <row r="12" spans="1:8" ht="30">
      <c r="A12" s="15" t="s">
        <v>11</v>
      </c>
      <c r="B12" s="15"/>
      <c r="C12" s="15" t="s">
        <v>12</v>
      </c>
      <c r="D12" s="15" t="s">
        <v>93</v>
      </c>
      <c r="E12" s="42" t="s">
        <v>354</v>
      </c>
      <c r="F12" s="32" t="s">
        <v>355</v>
      </c>
      <c r="G12" s="33">
        <f>G14</f>
        <v>1.8333333333333333</v>
      </c>
      <c r="H12" s="43" t="s">
        <v>356</v>
      </c>
    </row>
    <row r="13" spans="1:8" ht="21">
      <c r="A13" s="117" t="s">
        <v>357</v>
      </c>
      <c r="B13" s="117"/>
      <c r="C13" s="117"/>
      <c r="D13" s="117"/>
      <c r="E13" s="117"/>
      <c r="F13" s="117"/>
      <c r="G13" s="117"/>
      <c r="H13" s="117"/>
    </row>
    <row r="14" spans="1:8" ht="30">
      <c r="A14" s="15" t="s">
        <v>12</v>
      </c>
      <c r="B14" s="15"/>
      <c r="C14" s="15" t="s">
        <v>12</v>
      </c>
      <c r="D14" s="15" t="s">
        <v>93</v>
      </c>
      <c r="E14" s="39" t="s">
        <v>354</v>
      </c>
      <c r="F14" s="32" t="s">
        <v>358</v>
      </c>
      <c r="G14" s="33">
        <f>G16*(44/12)</f>
        <v>1.8333333333333333</v>
      </c>
      <c r="H14" s="33" t="s">
        <v>359</v>
      </c>
    </row>
    <row r="15" spans="1:8" ht="30">
      <c r="A15" s="15" t="s">
        <v>12</v>
      </c>
      <c r="B15" s="15"/>
      <c r="C15" s="15" t="s">
        <v>12</v>
      </c>
      <c r="D15" s="15" t="s">
        <v>93</v>
      </c>
      <c r="E15" s="39" t="s">
        <v>354</v>
      </c>
      <c r="F15" s="32" t="s">
        <v>360</v>
      </c>
      <c r="G15" s="33">
        <f>G16*G17*(44/12)</f>
        <v>3.6666666666666665</v>
      </c>
      <c r="H15" s="33" t="s">
        <v>361</v>
      </c>
    </row>
    <row r="16" spans="1:8" ht="30">
      <c r="A16" t="s">
        <v>11</v>
      </c>
      <c r="C16" t="s">
        <v>11</v>
      </c>
      <c r="D16" t="s">
        <v>122</v>
      </c>
      <c r="E16" s="40" t="s">
        <v>362</v>
      </c>
      <c r="F16" s="35" t="s">
        <v>363</v>
      </c>
      <c r="G16" s="41">
        <v>0.5</v>
      </c>
      <c r="H16" s="41"/>
    </row>
    <row r="17" spans="1:8" ht="30">
      <c r="A17" t="s">
        <v>11</v>
      </c>
      <c r="C17" t="s">
        <v>11</v>
      </c>
      <c r="D17" t="s">
        <v>122</v>
      </c>
      <c r="E17" s="40" t="s">
        <v>364</v>
      </c>
      <c r="F17" s="35" t="s">
        <v>365</v>
      </c>
      <c r="G17" s="41">
        <v>2</v>
      </c>
      <c r="H17" s="41"/>
    </row>
    <row r="18" spans="1:8" ht="21">
      <c r="A18" s="117" t="s">
        <v>366</v>
      </c>
      <c r="B18" s="117"/>
      <c r="C18" s="117"/>
      <c r="D18" s="117"/>
      <c r="E18" s="117"/>
      <c r="F18" s="117"/>
      <c r="G18" s="117"/>
      <c r="H18" s="117"/>
    </row>
    <row r="19" spans="1:8" ht="30">
      <c r="A19" s="15" t="s">
        <v>12</v>
      </c>
      <c r="B19" s="15"/>
      <c r="C19" s="15" t="s">
        <v>12</v>
      </c>
      <c r="D19" s="15" t="s">
        <v>93</v>
      </c>
      <c r="E19" s="39" t="s">
        <v>354</v>
      </c>
      <c r="F19" s="43" t="s">
        <v>355</v>
      </c>
      <c r="G19" s="33">
        <f>G20*G21</f>
        <v>11.15</v>
      </c>
      <c r="H19" s="33"/>
    </row>
    <row r="20" spans="1:8" ht="30">
      <c r="A20" t="s">
        <v>11</v>
      </c>
      <c r="C20" t="s">
        <v>11</v>
      </c>
      <c r="D20" t="s">
        <v>122</v>
      </c>
      <c r="E20" s="40" t="s">
        <v>367</v>
      </c>
      <c r="F20" s="10" t="s">
        <v>368</v>
      </c>
      <c r="G20" s="41">
        <v>0.5</v>
      </c>
      <c r="H20" s="41"/>
    </row>
    <row r="21" spans="1:8" ht="30">
      <c r="A21" t="s">
        <v>11</v>
      </c>
      <c r="C21" t="s">
        <v>11</v>
      </c>
      <c r="D21" t="s">
        <v>122</v>
      </c>
      <c r="E21" s="40" t="s">
        <v>369</v>
      </c>
      <c r="F21" s="10" t="s">
        <v>370</v>
      </c>
      <c r="G21" s="41">
        <v>22.3</v>
      </c>
      <c r="H21" s="41"/>
    </row>
    <row r="22" spans="1:8" ht="46.5" customHeight="1">
      <c r="A22" s="114" t="s">
        <v>371</v>
      </c>
      <c r="B22" s="114"/>
      <c r="C22" s="114"/>
      <c r="D22" s="114"/>
      <c r="E22" s="114"/>
      <c r="F22" s="114"/>
      <c r="G22" s="114"/>
      <c r="H22" s="114"/>
    </row>
    <row r="23" spans="1:8" ht="33" customHeight="1">
      <c r="A23" t="s">
        <v>11</v>
      </c>
      <c r="C23" t="s">
        <v>11</v>
      </c>
      <c r="D23" t="s">
        <v>13</v>
      </c>
      <c r="E23" s="40" t="s">
        <v>337</v>
      </c>
      <c r="F23" s="35" t="s">
        <v>338</v>
      </c>
      <c r="G23" t="s">
        <v>339</v>
      </c>
    </row>
    <row r="24" spans="1:8">
      <c r="A24" t="s">
        <v>11</v>
      </c>
      <c r="C24" t="s">
        <v>11</v>
      </c>
      <c r="D24" t="s">
        <v>13</v>
      </c>
      <c r="E24" s="44"/>
      <c r="F24" s="35" t="s">
        <v>340</v>
      </c>
      <c r="G24" t="s">
        <v>341</v>
      </c>
    </row>
    <row r="25" spans="1:8" ht="75">
      <c r="A25" s="36" t="s">
        <v>11</v>
      </c>
      <c r="B25" s="36"/>
      <c r="C25" s="36" t="s">
        <v>11</v>
      </c>
      <c r="D25" s="36" t="s">
        <v>372</v>
      </c>
      <c r="E25" s="45"/>
      <c r="F25" s="37" t="s">
        <v>343</v>
      </c>
      <c r="G25" s="36" t="s">
        <v>373</v>
      </c>
      <c r="H25" s="125" t="s">
        <v>345</v>
      </c>
    </row>
    <row r="26" spans="1:8" ht="30">
      <c r="A26" s="36" t="s">
        <v>11</v>
      </c>
      <c r="B26" s="36"/>
      <c r="C26" s="36" t="s">
        <v>11</v>
      </c>
      <c r="D26" s="36" t="s">
        <v>372</v>
      </c>
      <c r="E26" s="45"/>
      <c r="F26" s="37" t="s">
        <v>346</v>
      </c>
      <c r="G26" s="36" t="s">
        <v>374</v>
      </c>
      <c r="H26" s="38" t="s">
        <v>348</v>
      </c>
    </row>
    <row r="27" spans="1:8" ht="21">
      <c r="A27" s="117" t="s">
        <v>349</v>
      </c>
      <c r="B27" s="117"/>
      <c r="C27" s="117"/>
      <c r="D27" s="117"/>
      <c r="E27" s="117"/>
      <c r="F27" s="117"/>
      <c r="G27" s="117"/>
      <c r="H27" s="117"/>
    </row>
    <row r="28" spans="1:8" ht="30">
      <c r="A28" s="15" t="s">
        <v>12</v>
      </c>
      <c r="B28" s="15"/>
      <c r="C28" s="15" t="s">
        <v>12</v>
      </c>
      <c r="D28" s="15" t="s">
        <v>93</v>
      </c>
      <c r="E28" s="39" t="s">
        <v>350</v>
      </c>
      <c r="F28" s="32" t="s">
        <v>351</v>
      </c>
      <c r="G28" s="33">
        <f>G29*G30</f>
        <v>36.666666666666664</v>
      </c>
      <c r="H28" s="33"/>
    </row>
    <row r="29" spans="1:8" ht="30">
      <c r="A29" t="s">
        <v>11</v>
      </c>
      <c r="C29" t="s">
        <v>11</v>
      </c>
      <c r="D29" t="s">
        <v>122</v>
      </c>
      <c r="E29" s="40" t="s">
        <v>352</v>
      </c>
      <c r="F29" s="35" t="s">
        <v>353</v>
      </c>
      <c r="G29" s="41">
        <v>10</v>
      </c>
      <c r="H29" s="41"/>
    </row>
    <row r="30" spans="1:8" ht="30">
      <c r="A30" s="15" t="s">
        <v>11</v>
      </c>
      <c r="B30" s="15"/>
      <c r="C30" s="15" t="s">
        <v>11</v>
      </c>
      <c r="D30" s="15" t="s">
        <v>93</v>
      </c>
      <c r="E30" s="42" t="s">
        <v>354</v>
      </c>
      <c r="F30" s="32" t="s">
        <v>355</v>
      </c>
      <c r="G30" s="33">
        <f>G33</f>
        <v>3.6666666666666665</v>
      </c>
      <c r="H30" s="43" t="s">
        <v>375</v>
      </c>
    </row>
    <row r="31" spans="1:8" ht="21">
      <c r="A31" s="117" t="s">
        <v>357</v>
      </c>
      <c r="B31" s="117"/>
      <c r="C31" s="117"/>
      <c r="D31" s="117"/>
      <c r="E31" s="117"/>
      <c r="F31" s="117"/>
      <c r="G31" s="117"/>
      <c r="H31" s="117"/>
    </row>
    <row r="32" spans="1:8" ht="30">
      <c r="A32" s="15" t="s">
        <v>12</v>
      </c>
      <c r="B32" s="15"/>
      <c r="C32" s="15" t="s">
        <v>12</v>
      </c>
      <c r="D32" s="15" t="s">
        <v>93</v>
      </c>
      <c r="E32" s="39" t="s">
        <v>354</v>
      </c>
      <c r="F32" s="32" t="s">
        <v>358</v>
      </c>
      <c r="G32" s="33">
        <f>G34*(44/12)</f>
        <v>1.8333333333333333</v>
      </c>
      <c r="H32" s="33" t="s">
        <v>359</v>
      </c>
    </row>
    <row r="33" spans="1:8" ht="30">
      <c r="A33" s="15" t="s">
        <v>12</v>
      </c>
      <c r="B33" s="15"/>
      <c r="C33" s="15" t="s">
        <v>12</v>
      </c>
      <c r="D33" s="15" t="s">
        <v>93</v>
      </c>
      <c r="E33" s="39" t="s">
        <v>354</v>
      </c>
      <c r="F33" s="32" t="s">
        <v>360</v>
      </c>
      <c r="G33" s="33">
        <f>G34*G35*(44/12)</f>
        <v>3.6666666666666665</v>
      </c>
      <c r="H33" s="33" t="s">
        <v>361</v>
      </c>
    </row>
    <row r="34" spans="1:8" ht="30">
      <c r="A34" t="s">
        <v>11</v>
      </c>
      <c r="C34" t="s">
        <v>11</v>
      </c>
      <c r="D34" t="s">
        <v>122</v>
      </c>
      <c r="E34" s="40" t="s">
        <v>362</v>
      </c>
      <c r="F34" s="35" t="s">
        <v>363</v>
      </c>
      <c r="G34" s="41">
        <v>0.5</v>
      </c>
      <c r="H34" s="41"/>
    </row>
    <row r="35" spans="1:8" ht="30">
      <c r="A35" t="s">
        <v>11</v>
      </c>
      <c r="C35" t="s">
        <v>11</v>
      </c>
      <c r="D35" t="s">
        <v>122</v>
      </c>
      <c r="E35" s="40" t="s">
        <v>364</v>
      </c>
      <c r="F35" s="35" t="s">
        <v>365</v>
      </c>
      <c r="G35" s="41">
        <v>2</v>
      </c>
      <c r="H35" s="41"/>
    </row>
    <row r="36" spans="1:8" ht="21">
      <c r="A36" s="117" t="s">
        <v>366</v>
      </c>
      <c r="B36" s="117"/>
      <c r="C36" s="117"/>
      <c r="D36" s="117"/>
      <c r="E36" s="117"/>
      <c r="F36" s="117"/>
      <c r="G36" s="117"/>
      <c r="H36" s="117"/>
    </row>
    <row r="37" spans="1:8" ht="30">
      <c r="A37" s="15" t="s">
        <v>12</v>
      </c>
      <c r="B37" s="15"/>
      <c r="C37" s="15" t="s">
        <v>12</v>
      </c>
      <c r="D37" s="15" t="s">
        <v>93</v>
      </c>
      <c r="E37" s="39" t="s">
        <v>354</v>
      </c>
      <c r="F37" s="32" t="s">
        <v>355</v>
      </c>
      <c r="G37" s="33">
        <f>G38*G39</f>
        <v>11.15</v>
      </c>
      <c r="H37" s="33"/>
    </row>
    <row r="38" spans="1:8" ht="30">
      <c r="A38" t="s">
        <v>11</v>
      </c>
      <c r="C38" t="s">
        <v>11</v>
      </c>
      <c r="D38" t="s">
        <v>122</v>
      </c>
      <c r="E38" s="40" t="s">
        <v>367</v>
      </c>
      <c r="F38" s="35" t="s">
        <v>368</v>
      </c>
      <c r="G38" s="41">
        <v>0.5</v>
      </c>
      <c r="H38" s="41"/>
    </row>
    <row r="39" spans="1:8" ht="30">
      <c r="A39" t="s">
        <v>11</v>
      </c>
      <c r="C39" t="s">
        <v>11</v>
      </c>
      <c r="D39" t="s">
        <v>122</v>
      </c>
      <c r="E39" s="40" t="s">
        <v>369</v>
      </c>
      <c r="F39" s="35" t="s">
        <v>370</v>
      </c>
      <c r="G39" s="41">
        <v>22.3</v>
      </c>
      <c r="H39" s="4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7 G25" xr:uid="{738388A2-5F9F-4091-ACEA-A96DC1E2F090}">
      <formula1>"Option A,Option B"</formula1>
    </dataValidation>
    <dataValidation type="list" allowBlank="1" showInputMessage="1" showErrorMessage="1" sqref="G8 G26" xr:uid="{47390D8C-81D0-44A8-ACFD-5DFDD3397587}">
      <formula1>"Mass,Volume"</formula1>
    </dataValidation>
  </dataValidations>
  <pageMargins left="0.7" right="0.7" top="0.75" bottom="0.75" header="0.3" footer="0.3"/>
  <pageSetup scale="34"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80D3-4F02-4A86-BF72-35ABEAA19F4E}">
  <dimension ref="A1:H47"/>
  <sheetViews>
    <sheetView topLeftCell="C1" zoomScaleNormal="100" workbookViewId="0">
      <pane ySplit="1" topLeftCell="A46" activePane="bottomLeft" state="frozen"/>
      <selection pane="bottomLeft" activeCell="E48" sqref="E48"/>
      <selection activeCell="E48" sqref="E48"/>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11" t="s">
        <v>0</v>
      </c>
      <c r="B1" s="11" t="s">
        <v>1</v>
      </c>
      <c r="C1" s="7" t="s">
        <v>230</v>
      </c>
      <c r="D1" s="11" t="s">
        <v>3</v>
      </c>
      <c r="E1" s="11" t="s">
        <v>5</v>
      </c>
      <c r="F1" s="1" t="s">
        <v>6</v>
      </c>
      <c r="G1" s="1" t="s">
        <v>7</v>
      </c>
      <c r="H1" s="7" t="s">
        <v>8</v>
      </c>
    </row>
    <row r="2" spans="1:8" ht="30" customHeight="1">
      <c r="A2" s="114" t="s">
        <v>376</v>
      </c>
      <c r="B2" s="114"/>
      <c r="C2" s="114"/>
      <c r="D2" s="114"/>
      <c r="E2" s="114"/>
      <c r="F2" s="114"/>
      <c r="G2" s="114"/>
      <c r="H2" s="114"/>
    </row>
    <row r="3" spans="1:8" ht="33" customHeight="1">
      <c r="A3" s="118" t="s">
        <v>377</v>
      </c>
      <c r="B3" s="118"/>
      <c r="C3" s="118"/>
      <c r="D3" s="118"/>
      <c r="E3" s="118"/>
      <c r="F3" s="118"/>
      <c r="G3" s="118"/>
      <c r="H3" s="118"/>
    </row>
    <row r="4" spans="1:8" s="49" customFormat="1" ht="204.75">
      <c r="A4" s="46" t="s">
        <v>11</v>
      </c>
      <c r="B4" s="46"/>
      <c r="C4" s="46" t="s">
        <v>12</v>
      </c>
      <c r="D4" s="46" t="s">
        <v>372</v>
      </c>
      <c r="E4" s="46"/>
      <c r="F4" s="47" t="s">
        <v>378</v>
      </c>
      <c r="G4" s="47" t="s">
        <v>379</v>
      </c>
      <c r="H4" s="48" t="s">
        <v>380</v>
      </c>
    </row>
    <row r="5" spans="1:8" ht="30.75" customHeight="1">
      <c r="A5" s="119" t="s">
        <v>381</v>
      </c>
      <c r="B5" s="119"/>
      <c r="C5" s="119"/>
      <c r="D5" s="119"/>
      <c r="E5" s="119"/>
      <c r="F5" s="119"/>
      <c r="G5" s="119"/>
      <c r="H5" s="119"/>
    </row>
    <row r="6" spans="1:8" ht="26.25">
      <c r="A6" s="50" t="s">
        <v>12</v>
      </c>
      <c r="B6" s="50"/>
      <c r="C6" s="50" t="s">
        <v>12</v>
      </c>
      <c r="D6" s="50" t="s">
        <v>93</v>
      </c>
      <c r="E6" s="39" t="s">
        <v>382</v>
      </c>
      <c r="F6" s="18" t="s">
        <v>383</v>
      </c>
      <c r="G6" s="33">
        <f>SUM(G8*G7*(1+G9))</f>
        <v>0.73499999999999999</v>
      </c>
      <c r="H6" s="33"/>
    </row>
    <row r="7" spans="1:8" ht="26.25">
      <c r="A7" s="50" t="s">
        <v>12</v>
      </c>
      <c r="B7" s="50"/>
      <c r="C7" s="50" t="s">
        <v>12</v>
      </c>
      <c r="D7" s="50" t="s">
        <v>93</v>
      </c>
      <c r="E7" s="39" t="s">
        <v>384</v>
      </c>
      <c r="F7" s="18" t="s">
        <v>385</v>
      </c>
      <c r="G7" s="33">
        <f>G32</f>
        <v>0.25</v>
      </c>
      <c r="H7" s="18" t="s">
        <v>386</v>
      </c>
    </row>
    <row r="8" spans="1:8" ht="30">
      <c r="A8" s="49" t="s">
        <v>11</v>
      </c>
      <c r="B8" s="49"/>
      <c r="C8" s="49" t="s">
        <v>11</v>
      </c>
      <c r="D8" s="49" t="s">
        <v>122</v>
      </c>
      <c r="E8" s="40" t="s">
        <v>387</v>
      </c>
      <c r="F8" s="10" t="s">
        <v>388</v>
      </c>
      <c r="G8" s="41">
        <v>2.8</v>
      </c>
    </row>
    <row r="9" spans="1:8" ht="30">
      <c r="A9" s="49" t="s">
        <v>11</v>
      </c>
      <c r="B9" s="49"/>
      <c r="C9" s="49" t="s">
        <v>11</v>
      </c>
      <c r="D9" s="49" t="s">
        <v>122</v>
      </c>
      <c r="E9" s="40" t="s">
        <v>389</v>
      </c>
      <c r="F9" s="10" t="s">
        <v>390</v>
      </c>
      <c r="G9" s="41">
        <v>0.05</v>
      </c>
    </row>
    <row r="10" spans="1:8" ht="21" customHeight="1">
      <c r="A10" s="49" t="s">
        <v>11</v>
      </c>
      <c r="B10" s="49"/>
      <c r="C10" s="49" t="s">
        <v>11</v>
      </c>
      <c r="D10" s="49" t="s">
        <v>13</v>
      </c>
      <c r="E10" s="51" t="s">
        <v>391</v>
      </c>
      <c r="F10" t="s">
        <v>392</v>
      </c>
      <c r="G10" s="41"/>
    </row>
    <row r="11" spans="1:8" ht="26.25">
      <c r="A11" s="50" t="s">
        <v>12</v>
      </c>
      <c r="B11" s="50"/>
      <c r="C11" s="50" t="s">
        <v>12</v>
      </c>
      <c r="D11" s="50" t="s">
        <v>93</v>
      </c>
      <c r="E11" s="39" t="s">
        <v>393</v>
      </c>
      <c r="F11" s="18" t="s">
        <v>394</v>
      </c>
      <c r="G11" s="33">
        <f>SUM(G13*G12*(1+G14))</f>
        <v>1.1287499999999999</v>
      </c>
      <c r="H11" s="33"/>
    </row>
    <row r="12" spans="1:8" ht="26.25">
      <c r="A12" s="50" t="s">
        <v>12</v>
      </c>
      <c r="B12" s="50"/>
      <c r="C12" s="50" t="s">
        <v>12</v>
      </c>
      <c r="D12" s="50" t="s">
        <v>93</v>
      </c>
      <c r="E12" s="39" t="s">
        <v>395</v>
      </c>
      <c r="F12" s="18" t="s">
        <v>396</v>
      </c>
      <c r="G12" s="33">
        <f>G32</f>
        <v>0.25</v>
      </c>
      <c r="H12" s="18" t="s">
        <v>386</v>
      </c>
    </row>
    <row r="13" spans="1:8" ht="30">
      <c r="A13" s="49" t="s">
        <v>11</v>
      </c>
      <c r="B13" s="49"/>
      <c r="C13" s="49" t="s">
        <v>11</v>
      </c>
      <c r="D13" s="49" t="s">
        <v>122</v>
      </c>
      <c r="E13" s="40" t="s">
        <v>397</v>
      </c>
      <c r="F13" s="10" t="s">
        <v>398</v>
      </c>
      <c r="G13" s="41">
        <v>4.3</v>
      </c>
    </row>
    <row r="14" spans="1:8" ht="30">
      <c r="A14" s="49" t="s">
        <v>11</v>
      </c>
      <c r="B14" s="49"/>
      <c r="C14" s="49" t="s">
        <v>11</v>
      </c>
      <c r="D14" s="49" t="s">
        <v>122</v>
      </c>
      <c r="E14" s="40" t="s">
        <v>399</v>
      </c>
      <c r="F14" s="10" t="s">
        <v>400</v>
      </c>
      <c r="G14" s="41">
        <v>0.05</v>
      </c>
    </row>
    <row r="15" spans="1:8" ht="30" customHeight="1">
      <c r="A15" s="49" t="s">
        <v>11</v>
      </c>
      <c r="B15" s="49"/>
      <c r="C15" s="49" t="s">
        <v>11</v>
      </c>
      <c r="D15" s="49" t="s">
        <v>13</v>
      </c>
      <c r="E15" s="51" t="s">
        <v>401</v>
      </c>
      <c r="F15" t="s">
        <v>402</v>
      </c>
      <c r="G15" s="41"/>
    </row>
    <row r="16" spans="1:8" ht="26.25">
      <c r="A16" s="50" t="s">
        <v>12</v>
      </c>
      <c r="B16" s="50"/>
      <c r="C16" s="50" t="s">
        <v>12</v>
      </c>
      <c r="D16" s="50" t="s">
        <v>93</v>
      </c>
      <c r="E16" s="39" t="s">
        <v>403</v>
      </c>
      <c r="F16" s="18" t="s">
        <v>404</v>
      </c>
      <c r="G16" s="33">
        <f>SUM(G18*G17*(1+G19))</f>
        <v>0.39375000000000004</v>
      </c>
      <c r="H16" s="33"/>
    </row>
    <row r="17" spans="1:8" ht="26.25">
      <c r="A17" s="50" t="s">
        <v>12</v>
      </c>
      <c r="B17" s="50"/>
      <c r="C17" s="50" t="s">
        <v>12</v>
      </c>
      <c r="D17" s="50" t="s">
        <v>93</v>
      </c>
      <c r="E17" s="39" t="s">
        <v>405</v>
      </c>
      <c r="F17" s="18" t="s">
        <v>406</v>
      </c>
      <c r="G17" s="33">
        <f>G32</f>
        <v>0.25</v>
      </c>
      <c r="H17" s="18" t="s">
        <v>386</v>
      </c>
    </row>
    <row r="18" spans="1:8" ht="26.25">
      <c r="A18" s="49" t="s">
        <v>11</v>
      </c>
      <c r="B18" s="49"/>
      <c r="C18" s="49" t="s">
        <v>11</v>
      </c>
      <c r="D18" s="49" t="s">
        <v>122</v>
      </c>
      <c r="E18" s="40" t="s">
        <v>407</v>
      </c>
      <c r="F18" s="10" t="s">
        <v>408</v>
      </c>
      <c r="G18" s="41">
        <v>1.5</v>
      </c>
    </row>
    <row r="19" spans="1:8" ht="30">
      <c r="A19" s="49" t="s">
        <v>11</v>
      </c>
      <c r="B19" s="49"/>
      <c r="C19" s="49" t="s">
        <v>11</v>
      </c>
      <c r="D19" s="49" t="s">
        <v>122</v>
      </c>
      <c r="E19" s="40" t="s">
        <v>409</v>
      </c>
      <c r="F19" s="10" t="s">
        <v>410</v>
      </c>
      <c r="G19" s="41">
        <v>0.05</v>
      </c>
    </row>
    <row r="20" spans="1:8" ht="24" customHeight="1">
      <c r="A20" s="49" t="s">
        <v>11</v>
      </c>
      <c r="B20" s="49"/>
      <c r="C20" s="49" t="s">
        <v>11</v>
      </c>
      <c r="D20" s="49" t="s">
        <v>13</v>
      </c>
      <c r="E20" s="51" t="s">
        <v>411</v>
      </c>
      <c r="F20" t="s">
        <v>412</v>
      </c>
      <c r="G20" s="41"/>
    </row>
    <row r="21" spans="1:8" ht="36" customHeight="1">
      <c r="A21" s="120" t="s">
        <v>413</v>
      </c>
      <c r="B21" s="120"/>
      <c r="C21" s="120"/>
      <c r="D21" s="120"/>
      <c r="E21" s="120"/>
      <c r="F21" s="120"/>
      <c r="G21" s="120"/>
      <c r="H21" s="120"/>
    </row>
    <row r="22" spans="1:8" ht="28.5" customHeight="1">
      <c r="A22" s="15" t="s">
        <v>12</v>
      </c>
      <c r="B22" s="15"/>
      <c r="C22" s="15" t="s">
        <v>12</v>
      </c>
      <c r="D22" s="15" t="s">
        <v>93</v>
      </c>
      <c r="E22" s="39" t="s">
        <v>414</v>
      </c>
      <c r="F22" s="18" t="s">
        <v>415</v>
      </c>
      <c r="G22" s="33">
        <f>11400*1.3*G24</f>
        <v>0</v>
      </c>
      <c r="H22" s="33"/>
    </row>
    <row r="23" spans="1:8" ht="28.5" customHeight="1">
      <c r="A23" s="15" t="s">
        <v>12</v>
      </c>
      <c r="B23" s="15"/>
      <c r="C23" s="15" t="s">
        <v>12</v>
      </c>
      <c r="D23" s="15" t="s">
        <v>93</v>
      </c>
      <c r="E23" s="39" t="s">
        <v>416</v>
      </c>
      <c r="F23" s="18" t="s">
        <v>417</v>
      </c>
      <c r="G23" s="33">
        <f>11400*1.3*G26</f>
        <v>0</v>
      </c>
      <c r="H23" s="33"/>
    </row>
    <row r="24" spans="1:8" ht="30">
      <c r="A24" t="s">
        <v>12</v>
      </c>
      <c r="C24" t="s">
        <v>11</v>
      </c>
      <c r="D24" t="s">
        <v>122</v>
      </c>
      <c r="E24" s="40" t="s">
        <v>418</v>
      </c>
      <c r="F24" s="10" t="s">
        <v>419</v>
      </c>
    </row>
    <row r="25" spans="1:8" ht="30">
      <c r="A25" t="s">
        <v>11</v>
      </c>
      <c r="C25" t="s">
        <v>11</v>
      </c>
      <c r="D25" t="s">
        <v>13</v>
      </c>
      <c r="E25" s="40" t="s">
        <v>391</v>
      </c>
      <c r="F25" s="10" t="s">
        <v>420</v>
      </c>
    </row>
    <row r="26" spans="1:8" ht="30">
      <c r="A26" t="s">
        <v>12</v>
      </c>
      <c r="C26" t="s">
        <v>11</v>
      </c>
      <c r="D26" t="s">
        <v>122</v>
      </c>
      <c r="E26" s="40" t="s">
        <v>421</v>
      </c>
      <c r="F26" s="10" t="s">
        <v>422</v>
      </c>
    </row>
    <row r="27" spans="1:8" ht="30">
      <c r="A27" t="s">
        <v>11</v>
      </c>
      <c r="C27" t="s">
        <v>11</v>
      </c>
      <c r="D27" t="s">
        <v>13</v>
      </c>
      <c r="E27" s="40" t="s">
        <v>411</v>
      </c>
      <c r="F27" s="10" t="s">
        <v>423</v>
      </c>
    </row>
    <row r="28" spans="1:8" ht="21">
      <c r="A28" s="118" t="s">
        <v>424</v>
      </c>
      <c r="B28" s="118"/>
      <c r="C28" s="118"/>
      <c r="D28" s="118"/>
      <c r="E28" s="118"/>
      <c r="F28" s="118"/>
      <c r="G28" s="118"/>
      <c r="H28" s="118"/>
    </row>
    <row r="29" spans="1:8" ht="92.25" customHeight="1">
      <c r="A29" s="36" t="s">
        <v>11</v>
      </c>
      <c r="B29" s="36"/>
      <c r="C29" s="36" t="s">
        <v>12</v>
      </c>
      <c r="D29" s="36" t="s">
        <v>372</v>
      </c>
      <c r="E29" s="38" t="s">
        <v>425</v>
      </c>
      <c r="F29" s="52" t="s">
        <v>426</v>
      </c>
      <c r="G29" s="36" t="s">
        <v>427</v>
      </c>
      <c r="H29" s="38" t="s">
        <v>428</v>
      </c>
    </row>
    <row r="30" spans="1:8" ht="102" customHeight="1">
      <c r="A30" s="36" t="s">
        <v>11</v>
      </c>
      <c r="B30" s="36"/>
      <c r="C30" s="36" t="s">
        <v>12</v>
      </c>
      <c r="D30" s="36" t="s">
        <v>372</v>
      </c>
      <c r="E30" s="53" t="s">
        <v>429</v>
      </c>
      <c r="F30" s="52" t="s">
        <v>430</v>
      </c>
      <c r="G30" s="53" t="s">
        <v>431</v>
      </c>
      <c r="H30" s="37"/>
    </row>
    <row r="31" spans="1:8" ht="68.25" customHeight="1">
      <c r="A31" s="36" t="s">
        <v>11</v>
      </c>
      <c r="B31" s="36"/>
      <c r="C31" s="36" t="s">
        <v>12</v>
      </c>
      <c r="D31" s="36" t="s">
        <v>372</v>
      </c>
      <c r="E31" s="53" t="s">
        <v>432</v>
      </c>
      <c r="F31" s="52" t="s">
        <v>433</v>
      </c>
      <c r="G31" s="53" t="s">
        <v>12</v>
      </c>
      <c r="H31" s="37" t="s">
        <v>434</v>
      </c>
    </row>
    <row r="32" spans="1:8" ht="70.5" customHeight="1">
      <c r="A32" s="15" t="s">
        <v>12</v>
      </c>
      <c r="B32" s="15"/>
      <c r="C32" s="15" t="s">
        <v>12</v>
      </c>
      <c r="D32" s="15" t="s">
        <v>93</v>
      </c>
      <c r="E32" s="54" t="s">
        <v>435</v>
      </c>
      <c r="F32" s="18" t="s">
        <v>436</v>
      </c>
      <c r="G32" s="33">
        <v>0.25</v>
      </c>
      <c r="H32" s="32" t="s">
        <v>437</v>
      </c>
    </row>
    <row r="33" spans="1:8" ht="31.5" customHeight="1">
      <c r="A33" s="117" t="s">
        <v>438</v>
      </c>
      <c r="B33" s="117"/>
      <c r="C33" s="117"/>
      <c r="D33" s="117"/>
      <c r="E33" s="117"/>
      <c r="F33" s="117"/>
      <c r="G33" s="117"/>
      <c r="H33" s="117"/>
    </row>
    <row r="34" spans="1:8" ht="105">
      <c r="A34" s="36" t="s">
        <v>11</v>
      </c>
      <c r="B34" s="36"/>
      <c r="C34" s="36" t="s">
        <v>12</v>
      </c>
      <c r="D34" s="36" t="s">
        <v>372</v>
      </c>
      <c r="E34" s="52" t="s">
        <v>439</v>
      </c>
      <c r="F34" s="52" t="s">
        <v>440</v>
      </c>
      <c r="G34" s="52" t="s">
        <v>441</v>
      </c>
      <c r="H34" s="52" t="s">
        <v>442</v>
      </c>
    </row>
    <row r="35" spans="1:8" ht="45">
      <c r="A35" s="36" t="s">
        <v>11</v>
      </c>
      <c r="B35" s="36"/>
      <c r="C35" s="36" t="s">
        <v>12</v>
      </c>
      <c r="D35" s="36" t="s">
        <v>372</v>
      </c>
      <c r="E35" s="52" t="s">
        <v>443</v>
      </c>
      <c r="F35" s="52" t="s">
        <v>444</v>
      </c>
      <c r="G35" s="53" t="s">
        <v>445</v>
      </c>
      <c r="H35" s="52" t="s">
        <v>446</v>
      </c>
    </row>
    <row r="36" spans="1:8" ht="90">
      <c r="A36" s="36" t="s">
        <v>11</v>
      </c>
      <c r="B36" s="36"/>
      <c r="C36" s="36" t="s">
        <v>12</v>
      </c>
      <c r="D36" s="36" t="s">
        <v>372</v>
      </c>
      <c r="E36" s="52" t="s">
        <v>447</v>
      </c>
      <c r="F36" s="52" t="s">
        <v>448</v>
      </c>
      <c r="G36" s="52" t="s">
        <v>449</v>
      </c>
      <c r="H36" s="37" t="s">
        <v>450</v>
      </c>
    </row>
    <row r="37" spans="1:8" ht="63" customHeight="1">
      <c r="A37" s="15" t="s">
        <v>12</v>
      </c>
      <c r="B37" s="15"/>
      <c r="C37" s="15" t="s">
        <v>12</v>
      </c>
      <c r="D37" s="15" t="s">
        <v>93</v>
      </c>
      <c r="E37" s="54" t="s">
        <v>435</v>
      </c>
      <c r="F37" s="18" t="s">
        <v>451</v>
      </c>
      <c r="G37" s="33">
        <f>'Tool 05.2 Power Plants'!G3</f>
        <v>1.7670440000000003</v>
      </c>
      <c r="H37" s="33" t="s">
        <v>452</v>
      </c>
    </row>
    <row r="38" spans="1:8" ht="49.5" customHeight="1">
      <c r="A38" s="15" t="s">
        <v>12</v>
      </c>
      <c r="B38" s="15"/>
      <c r="C38" s="15" t="s">
        <v>12</v>
      </c>
      <c r="D38" s="15" t="s">
        <v>93</v>
      </c>
      <c r="E38" s="54" t="s">
        <v>435</v>
      </c>
      <c r="F38" s="18" t="s">
        <v>453</v>
      </c>
      <c r="G38" s="33">
        <f>'Tool 05.2 Power Plants'!G4</f>
        <v>1.7253240000000001</v>
      </c>
      <c r="H38" s="55" t="s">
        <v>454</v>
      </c>
    </row>
    <row r="39" spans="1:8" ht="21">
      <c r="A39" s="117" t="s">
        <v>455</v>
      </c>
      <c r="B39" s="117"/>
      <c r="C39" s="117"/>
      <c r="D39" s="117"/>
      <c r="E39" s="117"/>
      <c r="F39" s="117"/>
      <c r="G39" s="117"/>
      <c r="H39" s="117"/>
    </row>
    <row r="40" spans="1:8" ht="90">
      <c r="A40" s="36" t="s">
        <v>11</v>
      </c>
      <c r="B40" s="36"/>
      <c r="C40" s="36" t="s">
        <v>12</v>
      </c>
      <c r="D40" s="36" t="s">
        <v>372</v>
      </c>
      <c r="E40" s="52" t="s">
        <v>456</v>
      </c>
      <c r="F40" s="52" t="s">
        <v>457</v>
      </c>
      <c r="G40" s="53" t="s">
        <v>344</v>
      </c>
      <c r="H40" s="37" t="s">
        <v>458</v>
      </c>
    </row>
    <row r="41" spans="1:8" ht="45" customHeight="1">
      <c r="A41" s="15" t="s">
        <v>12</v>
      </c>
      <c r="B41" s="15"/>
      <c r="C41" s="15" t="s">
        <v>12</v>
      </c>
      <c r="D41" s="15" t="s">
        <v>93</v>
      </c>
      <c r="E41" s="54" t="s">
        <v>435</v>
      </c>
      <c r="F41" s="18" t="s">
        <v>436</v>
      </c>
      <c r="G41" s="33">
        <v>1.3</v>
      </c>
      <c r="H41" s="33" t="s">
        <v>459</v>
      </c>
    </row>
    <row r="42" spans="1:8" ht="34.5" customHeight="1">
      <c r="A42" s="15" t="s">
        <v>12</v>
      </c>
      <c r="B42" s="15"/>
      <c r="C42" s="15" t="s">
        <v>12</v>
      </c>
      <c r="D42" s="15" t="s">
        <v>93</v>
      </c>
      <c r="E42" s="54" t="s">
        <v>435</v>
      </c>
      <c r="F42" s="18" t="s">
        <v>460</v>
      </c>
      <c r="G42" s="33">
        <v>0.4</v>
      </c>
      <c r="H42" s="33" t="s">
        <v>461</v>
      </c>
    </row>
    <row r="43" spans="1:8" ht="21">
      <c r="A43" s="117" t="s">
        <v>462</v>
      </c>
      <c r="B43" s="117"/>
      <c r="C43" s="117"/>
      <c r="D43" s="117"/>
      <c r="E43" s="117"/>
      <c r="F43" s="117"/>
      <c r="G43" s="117"/>
      <c r="H43" s="117"/>
    </row>
    <row r="44" spans="1:8" ht="225">
      <c r="A44" s="36" t="s">
        <v>11</v>
      </c>
      <c r="B44" s="36"/>
      <c r="C44" s="36" t="s">
        <v>12</v>
      </c>
      <c r="D44" s="36" t="s">
        <v>372</v>
      </c>
      <c r="E44" s="36"/>
      <c r="F44" s="52" t="s">
        <v>463</v>
      </c>
      <c r="G44" s="53" t="s">
        <v>167</v>
      </c>
      <c r="H44" s="38"/>
    </row>
    <row r="45" spans="1:8">
      <c r="A45" s="36" t="s">
        <v>11</v>
      </c>
      <c r="B45" s="36"/>
      <c r="C45" s="36" t="s">
        <v>12</v>
      </c>
      <c r="D45" s="36" t="s">
        <v>89</v>
      </c>
      <c r="E45" s="36"/>
      <c r="F45" s="38" t="s">
        <v>464</v>
      </c>
      <c r="G45" s="38" t="s">
        <v>465</v>
      </c>
      <c r="H45" s="38"/>
    </row>
    <row r="46" spans="1:8" ht="36.75" customHeight="1">
      <c r="A46" s="36" t="s">
        <v>11</v>
      </c>
      <c r="B46" s="36"/>
      <c r="C46" s="36" t="s">
        <v>12</v>
      </c>
      <c r="D46" s="36" t="s">
        <v>89</v>
      </c>
      <c r="E46" s="36"/>
      <c r="F46" s="38" t="s">
        <v>466</v>
      </c>
      <c r="G46" s="38" t="s">
        <v>467</v>
      </c>
      <c r="H46" s="38"/>
    </row>
    <row r="47" spans="1:8" ht="60">
      <c r="A47" s="36" t="s">
        <v>11</v>
      </c>
      <c r="B47" s="36"/>
      <c r="C47" s="36" t="s">
        <v>12</v>
      </c>
      <c r="D47" s="36" t="s">
        <v>89</v>
      </c>
      <c r="E47" s="36"/>
      <c r="F47" s="38" t="s">
        <v>468</v>
      </c>
      <c r="G47" s="38" t="s">
        <v>469</v>
      </c>
      <c r="H47" s="38" t="s">
        <v>470</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44" xr:uid="{5E38CDD6-F92C-4A05-B10B-8FBAFE5C6A0E}">
      <formula1>"Case 1,Case 2, Case 3"</formula1>
    </dataValidation>
    <dataValidation type="list" allowBlank="1" showInputMessage="1" showErrorMessage="1" sqref="G40" xr:uid="{D39BBE05-B43E-4D28-B766-3DCCCF114287}">
      <formula1>"Option A,Option B"</formula1>
    </dataValidation>
    <dataValidation type="list" allowBlank="1" showInputMessage="1" showErrorMessage="1" sqref="G36" xr:uid="{B5AAE335-305A-4EF9-BE12-7F558A21DB85}">
      <formula1>"Heat Generation ignored,Fuel consumption between electricity and heat generation"</formula1>
    </dataValidation>
    <dataValidation type="list" allowBlank="1" showInputMessage="1" showErrorMessage="1" sqref="G35" xr:uid="{B0731A4B-3895-4163-B6FC-D1124A8BF084}">
      <formula1>"Monitored Data, Default Values"</formula1>
    </dataValidation>
    <dataValidation type="list" allowBlank="1" showInputMessage="1" showErrorMessage="1" sqref="G34" xr:uid="{EB881CAD-F224-4443-ACA2-744104BCA9F4}">
      <formula1>"Yes: Alternative Approach, No: Generic Approach"</formula1>
    </dataValidation>
    <dataValidation type="list" allowBlank="1" showInputMessage="1" showErrorMessage="1" sqref="G4" xr:uid="{51BB0402-01C1-4983-9843-8C3C1FD0A0F4}">
      <formula1>"A: From the Grid,B: Off-Grid Captive Power Plants,C: From the Grid and Captive Power Plant"</formula1>
    </dataValidation>
    <dataValidation type="list" allowBlank="1" showInputMessage="1" showErrorMessage="1" sqref="G31" xr:uid="{0B9D56EF-50D7-4996-94DB-435F4291B92E}">
      <formula1>"Yes,No"</formula1>
    </dataValidation>
    <dataValidation type="list" allowBlank="1" showInputMessage="1" showErrorMessage="1" sqref="G30" xr:uid="{159DFD74-CFF3-4CDC-8EE3-73582806650D}">
      <formula1>"Option 2.1,Option 2.2"</formula1>
    </dataValidation>
    <dataValidation type="list" allowBlank="1" showInputMessage="1" showErrorMessage="1" sqref="G29" xr:uid="{8F85BA9E-531F-434B-B5A3-A48328F4B6DD}">
      <formula1>"Option A1,Option A2"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6B16A-99D6-4995-9D7F-3270DD6B3C5A}">
  <dimension ref="A1:H40"/>
  <sheetViews>
    <sheetView topLeftCell="B27" workbookViewId="0">
      <selection activeCell="E48" sqref="E48"/>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11" t="s">
        <v>0</v>
      </c>
      <c r="B1" s="11" t="s">
        <v>1</v>
      </c>
      <c r="C1" s="7" t="s">
        <v>230</v>
      </c>
      <c r="D1" s="11" t="s">
        <v>3</v>
      </c>
      <c r="E1" s="11" t="s">
        <v>5</v>
      </c>
      <c r="F1" s="7" t="s">
        <v>6</v>
      </c>
      <c r="G1" s="11" t="s">
        <v>7</v>
      </c>
      <c r="H1" s="11" t="s">
        <v>8</v>
      </c>
    </row>
    <row r="2" spans="1:8" ht="18.75">
      <c r="A2" s="121" t="s">
        <v>471</v>
      </c>
      <c r="B2" s="121"/>
      <c r="C2" s="121"/>
      <c r="D2" s="121"/>
      <c r="E2" s="121"/>
      <c r="F2" s="121"/>
      <c r="G2" s="121"/>
      <c r="H2" s="121"/>
    </row>
    <row r="3" spans="1:8" ht="30.75">
      <c r="A3" s="15" t="s">
        <v>12</v>
      </c>
      <c r="B3" s="15"/>
      <c r="C3" s="15" t="s">
        <v>12</v>
      </c>
      <c r="D3" s="15" t="s">
        <v>472</v>
      </c>
      <c r="E3" s="54" t="s">
        <v>435</v>
      </c>
      <c r="F3" s="18" t="s">
        <v>473</v>
      </c>
      <c r="G3" s="33">
        <f>G7+G19+G31</f>
        <v>1.7670440000000003</v>
      </c>
      <c r="H3" s="56" t="s">
        <v>474</v>
      </c>
    </row>
    <row r="4" spans="1:8" ht="30.75">
      <c r="A4" s="15" t="s">
        <v>12</v>
      </c>
      <c r="B4" s="15"/>
      <c r="C4" s="15" t="s">
        <v>12</v>
      </c>
      <c r="D4" s="15" t="s">
        <v>472</v>
      </c>
      <c r="E4" s="54" t="s">
        <v>435</v>
      </c>
      <c r="F4" s="18" t="s">
        <v>453</v>
      </c>
      <c r="G4" s="33">
        <f>G8+G20+G32</f>
        <v>1.7253240000000001</v>
      </c>
      <c r="H4" s="43" t="s">
        <v>475</v>
      </c>
    </row>
    <row r="5" spans="1:8" ht="18.75">
      <c r="A5" s="121" t="s">
        <v>476</v>
      </c>
      <c r="B5" s="121"/>
      <c r="C5" s="121"/>
      <c r="D5" s="121"/>
      <c r="E5" s="121"/>
      <c r="F5" s="121"/>
      <c r="G5" s="121"/>
      <c r="H5" s="121"/>
    </row>
    <row r="6" spans="1:8">
      <c r="A6" s="4" t="s">
        <v>11</v>
      </c>
      <c r="B6" s="4"/>
      <c r="C6" s="4" t="s">
        <v>11</v>
      </c>
      <c r="D6" s="4" t="s">
        <v>13</v>
      </c>
      <c r="E6" s="57"/>
      <c r="F6" s="4" t="s">
        <v>477</v>
      </c>
      <c r="G6" s="4" t="s">
        <v>478</v>
      </c>
    </row>
    <row r="7" spans="1:8" ht="30.75">
      <c r="A7" s="15" t="s">
        <v>12</v>
      </c>
      <c r="B7" s="15"/>
      <c r="C7" s="15" t="s">
        <v>12</v>
      </c>
      <c r="D7" s="15" t="s">
        <v>472</v>
      </c>
      <c r="E7" s="54" t="s">
        <v>435</v>
      </c>
      <c r="F7" s="18" t="s">
        <v>473</v>
      </c>
      <c r="G7" s="33">
        <f>(G12*G10*G11)/G13</f>
        <v>0.60550999999999999</v>
      </c>
      <c r="H7" s="15"/>
    </row>
    <row r="8" spans="1:8" ht="30.75">
      <c r="A8" s="15" t="s">
        <v>12</v>
      </c>
      <c r="B8" s="15"/>
      <c r="C8" s="15" t="s">
        <v>12</v>
      </c>
      <c r="D8" s="15" t="s">
        <v>472</v>
      </c>
      <c r="E8" s="54" t="s">
        <v>435</v>
      </c>
      <c r="F8" s="18" t="s">
        <v>453</v>
      </c>
      <c r="G8" s="33">
        <f>ABS(((G12*G10)-(G14/G15))*G11)/G13</f>
        <v>0.59040999999999999</v>
      </c>
      <c r="H8" s="15"/>
    </row>
    <row r="9" spans="1:8">
      <c r="A9" s="36" t="s">
        <v>11</v>
      </c>
      <c r="B9" s="36"/>
      <c r="C9" s="36" t="s">
        <v>12</v>
      </c>
      <c r="D9" s="36" t="s">
        <v>479</v>
      </c>
      <c r="E9" s="36"/>
      <c r="F9" s="38" t="s">
        <v>480</v>
      </c>
      <c r="G9" s="58" t="s">
        <v>481</v>
      </c>
      <c r="H9" s="36"/>
    </row>
    <row r="10" spans="1:8" ht="30">
      <c r="A10" s="15" t="s">
        <v>12</v>
      </c>
      <c r="B10" s="15"/>
      <c r="C10" s="15" t="s">
        <v>12</v>
      </c>
      <c r="D10" s="15" t="s">
        <v>472</v>
      </c>
      <c r="E10" s="59" t="s">
        <v>482</v>
      </c>
      <c r="F10" s="18" t="s">
        <v>483</v>
      </c>
      <c r="G10" s="33">
        <f>IF(G9="","",VLOOKUP(G9,'Tool 05.3 Default Values'!B4:D56,2,FALSE))</f>
        <v>40.1</v>
      </c>
      <c r="H10" s="18" t="s">
        <v>484</v>
      </c>
    </row>
    <row r="11" spans="1:8" ht="30">
      <c r="A11" s="15" t="s">
        <v>12</v>
      </c>
      <c r="B11" s="15"/>
      <c r="C11" s="15" t="s">
        <v>12</v>
      </c>
      <c r="D11" s="15" t="s">
        <v>472</v>
      </c>
      <c r="E11" s="59" t="s">
        <v>485</v>
      </c>
      <c r="F11" s="18" t="s">
        <v>486</v>
      </c>
      <c r="G11" s="33">
        <f>IF(G9="","",VLOOKUP(G9,'Tool 05.3 Default Values'!B4:D56,3,FALSE))*0.001</f>
        <v>75.5</v>
      </c>
      <c r="H11" s="18" t="s">
        <v>487</v>
      </c>
    </row>
    <row r="12" spans="1:8" ht="30">
      <c r="A12" t="s">
        <v>11</v>
      </c>
      <c r="C12" t="s">
        <v>11</v>
      </c>
      <c r="D12" t="s">
        <v>122</v>
      </c>
      <c r="E12" s="60" t="s">
        <v>488</v>
      </c>
      <c r="F12" s="10" t="s">
        <v>489</v>
      </c>
      <c r="G12" s="41">
        <v>2</v>
      </c>
    </row>
    <row r="13" spans="1:8" ht="30">
      <c r="A13" t="s">
        <v>11</v>
      </c>
      <c r="C13" t="s">
        <v>11</v>
      </c>
      <c r="D13" t="s">
        <v>122</v>
      </c>
      <c r="E13" s="60" t="s">
        <v>490</v>
      </c>
      <c r="F13" s="10" t="s">
        <v>491</v>
      </c>
      <c r="G13" s="41">
        <v>10000</v>
      </c>
    </row>
    <row r="14" spans="1:8" ht="60">
      <c r="A14" t="s">
        <v>11</v>
      </c>
      <c r="C14" t="s">
        <v>11</v>
      </c>
      <c r="D14" t="s">
        <v>122</v>
      </c>
      <c r="E14" s="60" t="s">
        <v>492</v>
      </c>
      <c r="F14" s="10" t="s">
        <v>493</v>
      </c>
      <c r="G14" s="41">
        <v>2</v>
      </c>
    </row>
    <row r="15" spans="1:8" ht="33">
      <c r="A15" s="15" t="s">
        <v>12</v>
      </c>
      <c r="B15" s="15"/>
      <c r="C15" s="15" t="s">
        <v>12</v>
      </c>
      <c r="D15" s="15" t="s">
        <v>472</v>
      </c>
      <c r="E15" s="42" t="s">
        <v>494</v>
      </c>
      <c r="F15" s="18" t="s">
        <v>495</v>
      </c>
      <c r="G15" s="33">
        <v>1</v>
      </c>
      <c r="H15" s="15" t="s">
        <v>496</v>
      </c>
    </row>
    <row r="16" spans="1:8" ht="33">
      <c r="A16" s="15" t="s">
        <v>12</v>
      </c>
      <c r="B16" s="15"/>
      <c r="C16" s="15" t="s">
        <v>12</v>
      </c>
      <c r="D16" s="15" t="s">
        <v>472</v>
      </c>
      <c r="E16" s="42" t="s">
        <v>494</v>
      </c>
      <c r="F16" s="18" t="s">
        <v>497</v>
      </c>
      <c r="G16" s="33">
        <v>0.6</v>
      </c>
      <c r="H16" s="15" t="s">
        <v>496</v>
      </c>
    </row>
    <row r="17" spans="1:8" ht="18.75">
      <c r="A17" s="121" t="s">
        <v>476</v>
      </c>
      <c r="B17" s="121"/>
      <c r="C17" s="121"/>
      <c r="D17" s="121"/>
      <c r="E17" s="121"/>
      <c r="F17" s="121"/>
      <c r="G17" s="121"/>
      <c r="H17" s="121"/>
    </row>
    <row r="18" spans="1:8">
      <c r="A18" s="4" t="s">
        <v>11</v>
      </c>
      <c r="B18" s="4"/>
      <c r="C18" s="4" t="s">
        <v>11</v>
      </c>
      <c r="D18" s="4" t="s">
        <v>13</v>
      </c>
      <c r="E18" s="57"/>
      <c r="F18" s="4" t="s">
        <v>477</v>
      </c>
      <c r="G18" s="4" t="s">
        <v>498</v>
      </c>
    </row>
    <row r="19" spans="1:8" ht="30.75">
      <c r="A19" s="15" t="s">
        <v>12</v>
      </c>
      <c r="B19" s="15"/>
      <c r="C19" s="15" t="s">
        <v>12</v>
      </c>
      <c r="D19" s="15" t="s">
        <v>472</v>
      </c>
      <c r="E19" s="54" t="s">
        <v>435</v>
      </c>
      <c r="F19" s="18" t="s">
        <v>473</v>
      </c>
      <c r="G19" s="33">
        <f>(G24*G22*G23)/G25</f>
        <v>0.61934400000000001</v>
      </c>
      <c r="H19" s="15"/>
    </row>
    <row r="20" spans="1:8" ht="30.75">
      <c r="A20" s="15" t="s">
        <v>12</v>
      </c>
      <c r="B20" s="15"/>
      <c r="C20" s="15" t="s">
        <v>12</v>
      </c>
      <c r="D20" s="15" t="s">
        <v>472</v>
      </c>
      <c r="E20" s="54" t="s">
        <v>435</v>
      </c>
      <c r="F20" s="18" t="s">
        <v>453</v>
      </c>
      <c r="G20" s="33">
        <f>ABS(((G24*G22)-(G26/G27))*G23)/G25</f>
        <v>0.60438399999999992</v>
      </c>
      <c r="H20" s="15"/>
    </row>
    <row r="21" spans="1:8">
      <c r="A21" s="36" t="s">
        <v>11</v>
      </c>
      <c r="B21" s="36"/>
      <c r="C21" s="36" t="s">
        <v>12</v>
      </c>
      <c r="D21" s="36" t="s">
        <v>479</v>
      </c>
      <c r="E21" s="36"/>
      <c r="F21" s="38" t="s">
        <v>480</v>
      </c>
      <c r="G21" s="58" t="s">
        <v>499</v>
      </c>
      <c r="H21" s="36"/>
    </row>
    <row r="22" spans="1:8" ht="30">
      <c r="A22" s="15" t="s">
        <v>12</v>
      </c>
      <c r="B22" s="15"/>
      <c r="C22" s="15" t="s">
        <v>12</v>
      </c>
      <c r="D22" s="15" t="s">
        <v>472</v>
      </c>
      <c r="E22" s="59" t="s">
        <v>482</v>
      </c>
      <c r="F22" s="18" t="s">
        <v>483</v>
      </c>
      <c r="G22" s="33">
        <f>IF(G21="","",VLOOKUP(G21,'Tool 05.3 Default Values'!B4:D56,2,FALSE))</f>
        <v>41.4</v>
      </c>
      <c r="H22" s="18" t="s">
        <v>484</v>
      </c>
    </row>
    <row r="23" spans="1:8" ht="30">
      <c r="A23" s="15" t="s">
        <v>12</v>
      </c>
      <c r="B23" s="15"/>
      <c r="C23" s="15" t="s">
        <v>12</v>
      </c>
      <c r="D23" s="15" t="s">
        <v>472</v>
      </c>
      <c r="E23" s="59" t="s">
        <v>485</v>
      </c>
      <c r="F23" s="18" t="s">
        <v>486</v>
      </c>
      <c r="G23" s="33">
        <f>IF(G21="","",VLOOKUP(G21,'Tool 05.3 Default Values'!B4:D56,3,FALSE))*0.001</f>
        <v>74.8</v>
      </c>
      <c r="H23" s="18" t="s">
        <v>487</v>
      </c>
    </row>
    <row r="24" spans="1:8" ht="30">
      <c r="A24" t="s">
        <v>11</v>
      </c>
      <c r="C24" t="s">
        <v>11</v>
      </c>
      <c r="D24" t="s">
        <v>122</v>
      </c>
      <c r="E24" s="60" t="s">
        <v>488</v>
      </c>
      <c r="F24" s="10" t="s">
        <v>489</v>
      </c>
      <c r="G24" s="41">
        <v>2</v>
      </c>
    </row>
    <row r="25" spans="1:8" ht="30">
      <c r="A25" t="s">
        <v>11</v>
      </c>
      <c r="C25" t="s">
        <v>11</v>
      </c>
      <c r="D25" t="s">
        <v>122</v>
      </c>
      <c r="E25" s="60" t="s">
        <v>490</v>
      </c>
      <c r="F25" s="10" t="s">
        <v>491</v>
      </c>
      <c r="G25" s="41">
        <v>10000</v>
      </c>
    </row>
    <row r="26" spans="1:8" ht="60">
      <c r="A26" t="s">
        <v>11</v>
      </c>
      <c r="C26" t="s">
        <v>11</v>
      </c>
      <c r="D26" t="s">
        <v>122</v>
      </c>
      <c r="E26" s="60" t="s">
        <v>492</v>
      </c>
      <c r="F26" s="10" t="s">
        <v>493</v>
      </c>
      <c r="G26" s="41">
        <v>2</v>
      </c>
    </row>
    <row r="27" spans="1:8" ht="33">
      <c r="A27" s="15" t="s">
        <v>12</v>
      </c>
      <c r="B27" s="15"/>
      <c r="C27" s="15" t="s">
        <v>12</v>
      </c>
      <c r="D27" s="15" t="s">
        <v>472</v>
      </c>
      <c r="E27" s="42" t="s">
        <v>494</v>
      </c>
      <c r="F27" s="18" t="s">
        <v>495</v>
      </c>
      <c r="G27" s="33">
        <v>1</v>
      </c>
      <c r="H27" s="15" t="s">
        <v>496</v>
      </c>
    </row>
    <row r="28" spans="1:8" ht="33">
      <c r="A28" s="15" t="s">
        <v>12</v>
      </c>
      <c r="B28" s="15"/>
      <c r="C28" s="15" t="s">
        <v>12</v>
      </c>
      <c r="D28" s="15" t="s">
        <v>472</v>
      </c>
      <c r="E28" s="42" t="s">
        <v>494</v>
      </c>
      <c r="F28" s="18" t="s">
        <v>497</v>
      </c>
      <c r="G28" s="33">
        <v>0.6</v>
      </c>
      <c r="H28" s="15" t="s">
        <v>496</v>
      </c>
    </row>
    <row r="29" spans="1:8" ht="18.75">
      <c r="A29" s="121" t="s">
        <v>476</v>
      </c>
      <c r="B29" s="121"/>
      <c r="C29" s="121"/>
      <c r="D29" s="121"/>
      <c r="E29" s="121"/>
      <c r="F29" s="121"/>
      <c r="G29" s="121"/>
      <c r="H29" s="121"/>
    </row>
    <row r="30" spans="1:8">
      <c r="A30" s="4" t="s">
        <v>11</v>
      </c>
      <c r="B30" s="4"/>
      <c r="C30" s="4" t="s">
        <v>11</v>
      </c>
      <c r="D30" s="4" t="s">
        <v>13</v>
      </c>
      <c r="E30" s="57"/>
      <c r="F30" s="4" t="s">
        <v>477</v>
      </c>
      <c r="G30" s="4" t="s">
        <v>500</v>
      </c>
    </row>
    <row r="31" spans="1:8" ht="30.75">
      <c r="A31" s="15" t="s">
        <v>12</v>
      </c>
      <c r="B31" s="15"/>
      <c r="C31" s="15" t="s">
        <v>12</v>
      </c>
      <c r="D31" s="15" t="s">
        <v>472</v>
      </c>
      <c r="E31" s="54" t="s">
        <v>435</v>
      </c>
      <c r="F31" s="18" t="s">
        <v>473</v>
      </c>
      <c r="G31" s="33">
        <f>(G36*G34*G35)/G37</f>
        <v>0.54219000000000006</v>
      </c>
      <c r="H31" s="15"/>
    </row>
    <row r="32" spans="1:8" ht="30.75">
      <c r="A32" s="15" t="s">
        <v>12</v>
      </c>
      <c r="B32" s="15"/>
      <c r="C32" s="15" t="s">
        <v>12</v>
      </c>
      <c r="D32" s="15" t="s">
        <v>472</v>
      </c>
      <c r="E32" s="54" t="s">
        <v>435</v>
      </c>
      <c r="F32" s="18" t="s">
        <v>453</v>
      </c>
      <c r="G32" s="33">
        <f>ABS(((G36*G34)-(G38/G39))*G35)/G37</f>
        <v>0.53053000000000006</v>
      </c>
      <c r="H32" s="15"/>
    </row>
    <row r="33" spans="1:8">
      <c r="A33" s="36" t="s">
        <v>11</v>
      </c>
      <c r="B33" s="36"/>
      <c r="C33" s="36" t="s">
        <v>12</v>
      </c>
      <c r="D33" s="36" t="s">
        <v>479</v>
      </c>
      <c r="E33" s="36"/>
      <c r="F33" s="38" t="s">
        <v>480</v>
      </c>
      <c r="G33" s="58" t="s">
        <v>501</v>
      </c>
      <c r="H33" s="36"/>
    </row>
    <row r="34" spans="1:8" ht="30">
      <c r="A34" s="15" t="s">
        <v>12</v>
      </c>
      <c r="B34" s="15"/>
      <c r="C34" s="15" t="s">
        <v>12</v>
      </c>
      <c r="D34" s="15" t="s">
        <v>472</v>
      </c>
      <c r="E34" s="59" t="s">
        <v>482</v>
      </c>
      <c r="F34" s="18" t="s">
        <v>483</v>
      </c>
      <c r="G34" s="33">
        <f>IF(G33="","",VLOOKUP(G33,'Tool 05.3 Default Values'!B4:D56,2,FALSE))</f>
        <v>46.5</v>
      </c>
      <c r="H34" s="18" t="s">
        <v>484</v>
      </c>
    </row>
    <row r="35" spans="1:8" ht="30">
      <c r="A35" s="15" t="s">
        <v>12</v>
      </c>
      <c r="B35" s="15"/>
      <c r="C35" s="15" t="s">
        <v>12</v>
      </c>
      <c r="D35" s="15" t="s">
        <v>472</v>
      </c>
      <c r="E35" s="59" t="s">
        <v>485</v>
      </c>
      <c r="F35" s="18" t="s">
        <v>486</v>
      </c>
      <c r="G35" s="33">
        <f>IF(G33="","",VLOOKUP(G33,'Tool 05.3 Default Values'!B4:D56,3,FALSE))*0.001</f>
        <v>58.300000000000004</v>
      </c>
      <c r="H35" s="18" t="s">
        <v>487</v>
      </c>
    </row>
    <row r="36" spans="1:8" ht="30">
      <c r="A36" t="s">
        <v>11</v>
      </c>
      <c r="C36" t="s">
        <v>11</v>
      </c>
      <c r="D36" t="s">
        <v>122</v>
      </c>
      <c r="E36" s="60" t="s">
        <v>488</v>
      </c>
      <c r="F36" s="10" t="s">
        <v>489</v>
      </c>
      <c r="G36" s="41">
        <v>2</v>
      </c>
    </row>
    <row r="37" spans="1:8" ht="30">
      <c r="A37" t="s">
        <v>11</v>
      </c>
      <c r="C37" t="s">
        <v>11</v>
      </c>
      <c r="D37" t="s">
        <v>122</v>
      </c>
      <c r="E37" s="60" t="s">
        <v>490</v>
      </c>
      <c r="F37" s="10" t="s">
        <v>491</v>
      </c>
      <c r="G37" s="41">
        <v>10000</v>
      </c>
    </row>
    <row r="38" spans="1:8" ht="60">
      <c r="A38" t="s">
        <v>11</v>
      </c>
      <c r="C38" t="s">
        <v>11</v>
      </c>
      <c r="D38" t="s">
        <v>122</v>
      </c>
      <c r="E38" s="60" t="s">
        <v>492</v>
      </c>
      <c r="F38" s="10" t="s">
        <v>493</v>
      </c>
      <c r="G38" s="41">
        <v>2</v>
      </c>
    </row>
    <row r="39" spans="1:8" ht="33">
      <c r="A39" s="15" t="s">
        <v>12</v>
      </c>
      <c r="B39" s="15"/>
      <c r="C39" s="15" t="s">
        <v>12</v>
      </c>
      <c r="D39" s="15" t="s">
        <v>472</v>
      </c>
      <c r="E39" s="42" t="s">
        <v>494</v>
      </c>
      <c r="F39" s="18" t="s">
        <v>495</v>
      </c>
      <c r="G39" s="33">
        <v>1</v>
      </c>
      <c r="H39" s="15" t="s">
        <v>496</v>
      </c>
    </row>
    <row r="40" spans="1:8" ht="33">
      <c r="A40" s="15" t="s">
        <v>12</v>
      </c>
      <c r="B40" s="15"/>
      <c r="C40" s="15" t="s">
        <v>12</v>
      </c>
      <c r="D40" s="15" t="s">
        <v>472</v>
      </c>
      <c r="E40" s="42" t="s">
        <v>494</v>
      </c>
      <c r="F40" s="18" t="s">
        <v>497</v>
      </c>
      <c r="G40" s="33">
        <v>0.6</v>
      </c>
      <c r="H40" s="15" t="s">
        <v>496</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DAA322F-B2FC-4C8C-B89C-56A4E34F98D7}">
          <x14:formula1>
            <xm:f>'Tool 05.3 Default Values'!$B$4:$B$56</xm:f>
          </x14:formula1>
          <xm:sqref>G9 G21 G33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DF06-0D0D-4432-8C53-D91F927064C4}">
  <dimension ref="B1:D56"/>
  <sheetViews>
    <sheetView workbookViewId="0">
      <selection activeCell="E48" sqref="E48"/>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122" t="s">
        <v>502</v>
      </c>
      <c r="C2" s="123"/>
      <c r="D2" s="124"/>
    </row>
    <row r="3" spans="2:4" ht="32.25" thickBot="1">
      <c r="B3" s="61" t="s">
        <v>503</v>
      </c>
      <c r="C3" s="62" t="s">
        <v>504</v>
      </c>
      <c r="D3" s="62" t="s">
        <v>505</v>
      </c>
    </row>
    <row r="4" spans="2:4">
      <c r="B4" s="63" t="s">
        <v>481</v>
      </c>
      <c r="C4" s="64">
        <v>40.1</v>
      </c>
      <c r="D4" s="65">
        <v>75500</v>
      </c>
    </row>
    <row r="5" spans="2:4">
      <c r="B5" s="26" t="s">
        <v>506</v>
      </c>
      <c r="C5" s="66">
        <v>27.5</v>
      </c>
      <c r="D5" s="67">
        <v>85400</v>
      </c>
    </row>
    <row r="6" spans="2:4">
      <c r="B6" s="26" t="s">
        <v>507</v>
      </c>
      <c r="C6" s="66">
        <v>40.9</v>
      </c>
      <c r="D6" s="67">
        <v>70400</v>
      </c>
    </row>
    <row r="7" spans="2:4">
      <c r="B7" s="26" t="s">
        <v>508</v>
      </c>
      <c r="C7" s="66">
        <v>42.5</v>
      </c>
      <c r="D7" s="67">
        <v>73000</v>
      </c>
    </row>
    <row r="8" spans="2:4">
      <c r="B8" s="26" t="s">
        <v>509</v>
      </c>
      <c r="C8" s="66">
        <v>42.5</v>
      </c>
      <c r="D8" s="67">
        <v>73000</v>
      </c>
    </row>
    <row r="9" spans="2:4">
      <c r="B9" s="26" t="s">
        <v>510</v>
      </c>
      <c r="C9" s="66">
        <v>42.5</v>
      </c>
      <c r="D9" s="67">
        <v>73000</v>
      </c>
    </row>
    <row r="10" spans="2:4">
      <c r="B10" s="26" t="s">
        <v>511</v>
      </c>
      <c r="C10" s="66">
        <v>42</v>
      </c>
      <c r="D10" s="67">
        <v>74400</v>
      </c>
    </row>
    <row r="11" spans="2:4">
      <c r="B11" s="26" t="s">
        <v>512</v>
      </c>
      <c r="C11" s="66">
        <v>42.4</v>
      </c>
      <c r="D11" s="67">
        <v>73700</v>
      </c>
    </row>
    <row r="12" spans="2:4">
      <c r="B12" s="26" t="s">
        <v>513</v>
      </c>
      <c r="C12" s="66">
        <v>32.1</v>
      </c>
      <c r="D12" s="67">
        <v>79200</v>
      </c>
    </row>
    <row r="13" spans="2:4">
      <c r="B13" s="26" t="s">
        <v>499</v>
      </c>
      <c r="C13" s="66">
        <v>41.4</v>
      </c>
      <c r="D13" s="67">
        <v>74800</v>
      </c>
    </row>
    <row r="14" spans="2:4">
      <c r="B14" s="26" t="s">
        <v>514</v>
      </c>
      <c r="C14" s="66">
        <v>39.799999999999997</v>
      </c>
      <c r="D14" s="67">
        <v>78800</v>
      </c>
    </row>
    <row r="15" spans="2:4">
      <c r="B15" s="26" t="s">
        <v>515</v>
      </c>
      <c r="C15" s="66">
        <v>44.8</v>
      </c>
      <c r="D15" s="67">
        <v>65600</v>
      </c>
    </row>
    <row r="16" spans="2:4">
      <c r="B16" s="26" t="s">
        <v>516</v>
      </c>
      <c r="C16" s="66">
        <v>44.9</v>
      </c>
      <c r="D16" s="67">
        <v>68600</v>
      </c>
    </row>
    <row r="17" spans="2:4">
      <c r="B17" s="26" t="s">
        <v>517</v>
      </c>
      <c r="C17" s="66">
        <v>41.8</v>
      </c>
      <c r="D17" s="67">
        <v>76300</v>
      </c>
    </row>
    <row r="18" spans="2:4">
      <c r="B18" s="26" t="s">
        <v>518</v>
      </c>
      <c r="C18" s="66">
        <v>33.5</v>
      </c>
      <c r="D18" s="67">
        <v>89900</v>
      </c>
    </row>
    <row r="19" spans="2:4">
      <c r="B19" s="26" t="s">
        <v>519</v>
      </c>
      <c r="C19" s="66">
        <v>33.5</v>
      </c>
      <c r="D19" s="67">
        <v>75200</v>
      </c>
    </row>
    <row r="20" spans="2:4">
      <c r="B20" s="26" t="s">
        <v>520</v>
      </c>
      <c r="C20" s="66">
        <v>29.7</v>
      </c>
      <c r="D20" s="67">
        <v>115000</v>
      </c>
    </row>
    <row r="21" spans="2:4">
      <c r="B21" s="26" t="s">
        <v>521</v>
      </c>
      <c r="C21" s="66">
        <v>36.299999999999997</v>
      </c>
      <c r="D21" s="67">
        <v>76600</v>
      </c>
    </row>
    <row r="22" spans="2:4">
      <c r="B22" s="26" t="s">
        <v>522</v>
      </c>
      <c r="C22" s="66">
        <v>47.5</v>
      </c>
      <c r="D22" s="67">
        <v>69000</v>
      </c>
    </row>
    <row r="23" spans="2:4">
      <c r="B23" s="26" t="s">
        <v>523</v>
      </c>
      <c r="C23" s="66">
        <v>33.700000000000003</v>
      </c>
      <c r="D23" s="67">
        <v>74400</v>
      </c>
    </row>
    <row r="24" spans="2:4">
      <c r="B24" s="26" t="s">
        <v>524</v>
      </c>
      <c r="C24" s="66">
        <v>33.700000000000003</v>
      </c>
      <c r="D24" s="67">
        <v>74400</v>
      </c>
    </row>
    <row r="25" spans="2:4">
      <c r="B25" s="26" t="s">
        <v>525</v>
      </c>
      <c r="C25" s="66">
        <v>33.700000000000003</v>
      </c>
      <c r="D25" s="67">
        <v>74400</v>
      </c>
    </row>
    <row r="26" spans="2:4">
      <c r="B26" s="26" t="s">
        <v>526</v>
      </c>
      <c r="C26" s="66">
        <v>21.6</v>
      </c>
      <c r="D26" s="67">
        <v>101000</v>
      </c>
    </row>
    <row r="27" spans="2:4">
      <c r="B27" s="26" t="s">
        <v>527</v>
      </c>
      <c r="C27" s="66">
        <v>24</v>
      </c>
      <c r="D27" s="67">
        <v>101000</v>
      </c>
    </row>
    <row r="28" spans="2:4">
      <c r="B28" s="26" t="s">
        <v>528</v>
      </c>
      <c r="C28" s="66">
        <v>19.899999999999999</v>
      </c>
      <c r="D28" s="67">
        <v>99700</v>
      </c>
    </row>
    <row r="29" spans="2:4">
      <c r="B29" s="26" t="s">
        <v>529</v>
      </c>
      <c r="C29" s="66">
        <v>11.5</v>
      </c>
      <c r="D29" s="67">
        <v>100000</v>
      </c>
    </row>
    <row r="30" spans="2:4">
      <c r="B30" s="26" t="s">
        <v>530</v>
      </c>
      <c r="C30" s="66">
        <v>5.5</v>
      </c>
      <c r="D30" s="67">
        <v>115000</v>
      </c>
    </row>
    <row r="31" spans="2:4">
      <c r="B31" s="26" t="s">
        <v>531</v>
      </c>
      <c r="C31" s="66">
        <v>7.1</v>
      </c>
      <c r="D31" s="67">
        <v>125000</v>
      </c>
    </row>
    <row r="32" spans="2:4">
      <c r="B32" s="26" t="s">
        <v>532</v>
      </c>
      <c r="C32" s="66">
        <v>15.1</v>
      </c>
      <c r="D32" s="67">
        <v>109000</v>
      </c>
    </row>
    <row r="33" spans="2:4">
      <c r="B33" s="26" t="s">
        <v>533</v>
      </c>
      <c r="C33" s="66">
        <v>15.1</v>
      </c>
      <c r="D33" s="67">
        <v>109000</v>
      </c>
    </row>
    <row r="34" spans="2:4">
      <c r="B34" s="26" t="s">
        <v>534</v>
      </c>
      <c r="C34" s="66">
        <v>25.1</v>
      </c>
      <c r="D34" s="67">
        <v>119000</v>
      </c>
    </row>
    <row r="35" spans="2:4">
      <c r="B35" s="26" t="s">
        <v>535</v>
      </c>
      <c r="C35" s="66">
        <v>25.1</v>
      </c>
      <c r="D35" s="67">
        <v>119000</v>
      </c>
    </row>
    <row r="36" spans="2:4">
      <c r="B36" s="26" t="s">
        <v>536</v>
      </c>
      <c r="C36" s="66">
        <v>14.1</v>
      </c>
      <c r="D36" s="67">
        <v>95300</v>
      </c>
    </row>
    <row r="37" spans="2:4">
      <c r="B37" s="26" t="s">
        <v>537</v>
      </c>
      <c r="C37" s="66">
        <v>19.600000000000001</v>
      </c>
      <c r="D37" s="67">
        <v>54100</v>
      </c>
    </row>
    <row r="38" spans="2:4">
      <c r="B38" s="26" t="s">
        <v>538</v>
      </c>
      <c r="C38" s="66">
        <v>19.600000000000001</v>
      </c>
      <c r="D38" s="67">
        <v>54100</v>
      </c>
    </row>
    <row r="39" spans="2:4">
      <c r="B39" s="26" t="s">
        <v>539</v>
      </c>
      <c r="C39" s="66">
        <v>1.2</v>
      </c>
      <c r="D39" s="67">
        <v>308000</v>
      </c>
    </row>
    <row r="40" spans="2:4">
      <c r="B40" s="26" t="s">
        <v>540</v>
      </c>
      <c r="C40" s="66">
        <v>3.8</v>
      </c>
      <c r="D40" s="67">
        <v>202000</v>
      </c>
    </row>
    <row r="41" spans="2:4">
      <c r="B41" s="26" t="s">
        <v>501</v>
      </c>
      <c r="C41" s="66">
        <v>46.5</v>
      </c>
      <c r="D41" s="67">
        <v>58300</v>
      </c>
    </row>
    <row r="42" spans="2:4" ht="30">
      <c r="B42" s="28" t="s">
        <v>541</v>
      </c>
      <c r="C42" s="66">
        <v>7</v>
      </c>
      <c r="D42" s="67">
        <v>121000</v>
      </c>
    </row>
    <row r="43" spans="2:4">
      <c r="B43" s="26" t="s">
        <v>542</v>
      </c>
      <c r="C43" s="66">
        <v>20.3</v>
      </c>
      <c r="D43" s="67">
        <v>74400</v>
      </c>
    </row>
    <row r="44" spans="2:4">
      <c r="B44" s="26" t="s">
        <v>543</v>
      </c>
      <c r="C44" s="66">
        <v>7.8</v>
      </c>
      <c r="D44" s="67">
        <v>108000</v>
      </c>
    </row>
    <row r="45" spans="2:4">
      <c r="B45" s="26" t="s">
        <v>544</v>
      </c>
      <c r="C45" s="66">
        <v>7.9</v>
      </c>
      <c r="D45" s="67">
        <v>132000</v>
      </c>
    </row>
    <row r="46" spans="2:4">
      <c r="B46" s="26" t="s">
        <v>545</v>
      </c>
      <c r="C46" s="66">
        <v>5.9</v>
      </c>
      <c r="D46" s="67">
        <v>110000</v>
      </c>
    </row>
    <row r="47" spans="2:4">
      <c r="B47" s="26" t="s">
        <v>546</v>
      </c>
      <c r="C47" s="66">
        <v>5.9</v>
      </c>
      <c r="D47" s="67">
        <v>117000</v>
      </c>
    </row>
    <row r="48" spans="2:4">
      <c r="B48" s="26" t="s">
        <v>547</v>
      </c>
      <c r="C48" s="66">
        <v>14.9</v>
      </c>
      <c r="D48" s="67">
        <v>132000</v>
      </c>
    </row>
    <row r="49" spans="2:4">
      <c r="B49" s="26" t="s">
        <v>548</v>
      </c>
      <c r="C49" s="66">
        <v>13.6</v>
      </c>
      <c r="D49" s="67">
        <v>84300</v>
      </c>
    </row>
    <row r="50" spans="2:4">
      <c r="B50" s="26" t="s">
        <v>549</v>
      </c>
      <c r="C50" s="66">
        <v>13.6</v>
      </c>
      <c r="D50" s="67">
        <v>84300</v>
      </c>
    </row>
    <row r="51" spans="2:4">
      <c r="B51" s="26" t="s">
        <v>550</v>
      </c>
      <c r="C51" s="66">
        <v>13.8</v>
      </c>
      <c r="D51" s="67">
        <v>95300</v>
      </c>
    </row>
    <row r="52" spans="2:4">
      <c r="B52" s="26" t="s">
        <v>551</v>
      </c>
      <c r="C52" s="66">
        <v>25.4</v>
      </c>
      <c r="D52" s="67">
        <v>66000</v>
      </c>
    </row>
    <row r="53" spans="2:4">
      <c r="B53" s="26" t="s">
        <v>552</v>
      </c>
      <c r="C53" s="66">
        <v>25.4</v>
      </c>
      <c r="D53" s="67">
        <v>66000</v>
      </c>
    </row>
    <row r="54" spans="2:4">
      <c r="B54" s="26" t="s">
        <v>553</v>
      </c>
      <c r="C54" s="66">
        <v>25.4</v>
      </c>
      <c r="D54" s="67">
        <v>66000</v>
      </c>
    </row>
    <row r="55" spans="2:4">
      <c r="B55" s="26" t="s">
        <v>554</v>
      </c>
      <c r="C55" s="66">
        <v>6.8</v>
      </c>
      <c r="D55" s="67">
        <v>117000</v>
      </c>
    </row>
    <row r="56" spans="2:4" ht="15.75" thickBot="1">
      <c r="B56" s="29" t="s">
        <v>555</v>
      </c>
      <c r="C56" s="68" t="s">
        <v>14</v>
      </c>
      <c r="D56" s="69">
        <v>183000</v>
      </c>
    </row>
  </sheetData>
  <mergeCells count="1">
    <mergeCell ref="B2:D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1" ma:contentTypeDescription="Create a new document." ma:contentTypeScope="" ma:versionID="01a9576f7830710ba69f32f402e20fbd">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2a97e5d917d34dc7936e7c5693002bb7"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FB9175-D132-447E-825F-E20BD02AD269}"/>
</file>

<file path=customXml/itemProps2.xml><?xml version="1.0" encoding="utf-8"?>
<ds:datastoreItem xmlns:ds="http://schemas.openxmlformats.org/officeDocument/2006/customXml" ds:itemID="{005EFB81-4DE7-4013-8AC9-98CF8EF1A7C8}"/>
</file>

<file path=customXml/itemProps3.xml><?xml version="1.0" encoding="utf-8"?>
<ds:datastoreItem xmlns:ds="http://schemas.openxmlformats.org/officeDocument/2006/customXml" ds:itemID="{DA0D542E-1160-4713-AD3A-E49D2C113D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2023-10-03T15:05:01Z</dcterms:created>
  <dcterms:modified xsi:type="dcterms:W3CDTF">2023-11-19T22:59:29Z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