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5"/>
  <workbookPr filterPrivacy="1"/>
  <xr:revisionPtr revIDLastSave="0" documentId="8_{E74A865C-D720-4D90-92C4-B1AC15F95832}" xr6:coauthVersionLast="47" xr6:coauthVersionMax="47" xr10:uidLastSave="{00000000-0000-0000-0000-000000000000}"/>
  <bookViews>
    <workbookView xWindow="-27240" yWindow="-360" windowWidth="30200" windowHeight="19220" firstSheet="4" xr2:uid="{00000000-000D-0000-FFFF-FFFF00000000}"/>
  </bookViews>
  <sheets>
    <sheet name="Waste Disposal_Streamlined" sheetId="1" r:id="rId1"/>
    <sheet name="Emission Factors and Defaults" sheetId="8" r:id="rId2"/>
    <sheet name="Biological Treatment (By Treat)" sheetId="7" r:id="rId3"/>
    <sheet name="Landfilling waste (By Waste)" sheetId="20" r:id="rId4"/>
    <sheet name="Incineration (By Waste)" sheetId="19" r:id="rId5"/>
    <sheet name="Incineration type selection" sheetId="30" r:id="rId6"/>
    <sheet name="Inc waste type Gas (enum)" sheetId="31" r:id="rId7"/>
    <sheet name="Inc Waste Type (enum)" sheetId="26" r:id="rId8"/>
    <sheet name="Inc Waste Sub Type (enum)" sheetId="23" r:id="rId9"/>
    <sheet name="Disposal Type (enum)" sheetId="3" r:id="rId10"/>
    <sheet name="Landfilling facility 2 (enum)" sheetId="27" r:id="rId11"/>
    <sheet name="Landfilling facility (enum)" sheetId="25" r:id="rId12"/>
    <sheet name="Landfilling IWaste type2 (enum)" sheetId="24" r:id="rId13"/>
    <sheet name="Landfilling HWaste type2 (enum)" sheetId="22" r:id="rId14"/>
    <sheet name="Landfilling Waste Type (enum)" sheetId="21" r:id="rId15"/>
    <sheet name="Bio Treat Type (enum)" sheetId="17" r:id="rId16"/>
    <sheet name="Bio Waste basis (enum)" sheetId="18" r:id="rId17"/>
    <sheet name="GHG Type Bio (enum)" sheetId="14" r:id="rId18"/>
    <sheet name="GHG Type Incineration (enum)" sheetId="15" r:id="rId19"/>
    <sheet name="GHG Type Landfilling (enum)" sheetId="16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" i="19" l="1"/>
  <c r="G39" i="19"/>
  <c r="G38" i="19"/>
  <c r="G37" i="19"/>
  <c r="D36" i="19"/>
  <c r="D35" i="19"/>
  <c r="D34" i="19"/>
  <c r="D33" i="19"/>
  <c r="D32" i="19"/>
  <c r="D31" i="19"/>
  <c r="D30" i="19"/>
  <c r="D29" i="19"/>
  <c r="D28" i="19"/>
  <c r="D27" i="19"/>
  <c r="D26" i="19"/>
  <c r="D25" i="19"/>
  <c r="D24" i="19"/>
  <c r="G23" i="19"/>
  <c r="D23" i="19"/>
  <c r="G22" i="19"/>
  <c r="G31" i="19" s="1"/>
  <c r="G32" i="19" s="1"/>
  <c r="D22" i="19"/>
  <c r="D21" i="19"/>
  <c r="D20" i="19"/>
  <c r="D19" i="19"/>
  <c r="D18" i="19"/>
  <c r="D17" i="19"/>
  <c r="D16" i="19"/>
  <c r="G13" i="19"/>
  <c r="G10" i="19"/>
  <c r="D11" i="19" s="1"/>
  <c r="G9" i="19"/>
  <c r="D8" i="19"/>
  <c r="D7" i="19"/>
  <c r="G26" i="20"/>
  <c r="G9" i="20"/>
  <c r="D8" i="20"/>
  <c r="D7" i="20"/>
  <c r="G56" i="1"/>
  <c r="G28" i="1"/>
  <c r="D79" i="1"/>
  <c r="G14" i="19" l="1"/>
  <c r="D12" i="19"/>
  <c r="G26" i="19" a="1"/>
  <c r="G26" i="19" s="1"/>
  <c r="G35" i="19" s="1"/>
  <c r="G25" i="19" a="1"/>
  <c r="G25" i="19" s="1"/>
  <c r="G34" i="19" s="1"/>
  <c r="G24" i="19" a="1"/>
  <c r="G24" i="19" s="1"/>
  <c r="G33" i="19" s="1"/>
  <c r="G21" i="19" a="1"/>
  <c r="G21" i="19" s="1"/>
  <c r="G20" i="19" a="1"/>
  <c r="G20" i="19" s="1"/>
  <c r="G19" i="19" a="1"/>
  <c r="G19" i="19" s="1"/>
  <c r="G18" i="19" a="1"/>
  <c r="G18" i="19" s="1"/>
  <c r="G29" i="19" s="1"/>
  <c r="G17" i="19" a="1"/>
  <c r="G17" i="19" s="1"/>
  <c r="G28" i="19" s="1"/>
  <c r="G16" i="19" a="1"/>
  <c r="G16" i="19" s="1"/>
  <c r="G27" i="19" s="1"/>
  <c r="G20" i="20" a="1"/>
  <c r="G20" i="20" s="1"/>
  <c r="G19" i="20" a="1"/>
  <c r="G19" i="20" s="1"/>
  <c r="G18" i="20" a="1"/>
  <c r="G18" i="20" s="1"/>
  <c r="G17" i="20" a="1"/>
  <c r="G17" i="20" s="1"/>
  <c r="G16" i="20" a="1"/>
  <c r="G16" i="20" s="1"/>
  <c r="G15" i="20" a="1"/>
  <c r="G15" i="20" s="1"/>
  <c r="G21" i="20" s="1"/>
  <c r="G22" i="20" s="1"/>
  <c r="G23" i="20" s="1"/>
  <c r="G24" i="20" s="1"/>
  <c r="D70" i="1"/>
  <c r="G66" i="1"/>
  <c r="G65" i="1"/>
  <c r="G74" i="1" s="1"/>
  <c r="G53" i="1"/>
  <c r="G52" i="1"/>
  <c r="G57" i="1" s="1"/>
  <c r="G17" i="1" a="1"/>
  <c r="G17" i="1" s="1"/>
  <c r="G21" i="1" s="1"/>
  <c r="G16" i="1" a="1"/>
  <c r="G16" i="1" s="1"/>
  <c r="G18" i="1" s="1"/>
  <c r="G30" i="19" l="1"/>
  <c r="G36" i="19"/>
  <c r="G25" i="20"/>
  <c r="G27" i="20" s="1"/>
  <c r="G75" i="1"/>
  <c r="G20" i="1"/>
  <c r="G22" i="1" s="1"/>
  <c r="G19" i="1"/>
  <c r="G15" i="7"/>
  <c r="G14" i="7"/>
  <c r="G11" i="7" a="1"/>
  <c r="G11" i="7" s="1"/>
  <c r="G10" i="7" a="1"/>
  <c r="G10" i="7" s="1"/>
  <c r="G12" i="7" s="1"/>
  <c r="G13" i="7" l="1"/>
  <c r="G16" i="7"/>
  <c r="D55" i="1" l="1"/>
  <c r="D54" i="1"/>
  <c r="D27" i="1" l="1"/>
  <c r="G52" i="19"/>
  <c r="B4" i="30"/>
  <c r="B5" i="30"/>
  <c r="B2" i="30"/>
  <c r="B1" i="30"/>
  <c r="D69" i="1"/>
  <c r="D68" i="1"/>
  <c r="D67" i="1"/>
  <c r="D66" i="1"/>
  <c r="D65" i="1"/>
  <c r="D64" i="1"/>
  <c r="D63" i="1"/>
  <c r="D62" i="1"/>
  <c r="D61" i="1"/>
  <c r="D60" i="1"/>
  <c r="D59" i="1"/>
  <c r="D10" i="1"/>
  <c r="D78" i="1"/>
  <c r="D77" i="1"/>
  <c r="D76" i="1"/>
  <c r="D75" i="1"/>
  <c r="D74" i="1"/>
  <c r="D73" i="1"/>
  <c r="D72" i="1"/>
  <c r="D71" i="1"/>
  <c r="D47" i="1"/>
  <c r="D51" i="1"/>
  <c r="D50" i="1"/>
  <c r="D26" i="1"/>
  <c r="G39" i="1" s="1" a="1"/>
  <c r="G39" i="1" s="1"/>
  <c r="D23" i="1"/>
  <c r="G34" i="1" l="1" a="1"/>
  <c r="G34" i="1" s="1"/>
  <c r="G38" i="1" a="1"/>
  <c r="G38" i="1" s="1"/>
  <c r="G37" i="1" a="1"/>
  <c r="G37" i="1" s="1"/>
  <c r="G36" i="1" a="1"/>
  <c r="G36" i="1" s="1"/>
  <c r="G35" i="1" a="1"/>
  <c r="G35" i="1" s="1"/>
  <c r="G64" i="1" l="1" a="1"/>
  <c r="G64" i="1" s="1"/>
  <c r="G67" i="1" a="1"/>
  <c r="G67" i="1" s="1"/>
  <c r="G76" i="1" s="1"/>
  <c r="G59" i="1" a="1"/>
  <c r="G59" i="1" s="1"/>
  <c r="G70" i="1" s="1"/>
  <c r="G60" i="1" a="1"/>
  <c r="G60" i="1" s="1"/>
  <c r="G71" i="1" s="1"/>
  <c r="G61" i="1" a="1"/>
  <c r="G61" i="1" s="1"/>
  <c r="G63" i="1" a="1"/>
  <c r="G63" i="1" s="1"/>
  <c r="G62" i="1" a="1"/>
  <c r="G62" i="1" s="1"/>
  <c r="G69" i="1" a="1"/>
  <c r="G69" i="1" s="1"/>
  <c r="G78" i="1" s="1"/>
  <c r="G40" i="1"/>
  <c r="G41" i="1" s="1"/>
  <c r="G42" i="1" s="1"/>
  <c r="G43" i="1" s="1"/>
  <c r="G44" i="1" l="1"/>
  <c r="G45" i="1"/>
  <c r="G46" i="1" s="1"/>
  <c r="G72" i="1"/>
  <c r="G80" i="1" s="1"/>
  <c r="G68" i="1" a="1"/>
  <c r="G68" i="1" s="1"/>
  <c r="G77" i="1" s="1"/>
  <c r="G79" i="1" s="1"/>
  <c r="G73" i="1" l="1"/>
  <c r="G6" i="1"/>
  <c r="G81" i="1"/>
  <c r="G82" i="1"/>
  <c r="G83" i="1" l="1"/>
  <c r="G11" i="8" a="1"/>
  <c r="G11" i="8" s="1"/>
  <c r="G8" i="1" l="1"/>
  <c r="G7" i="1" l="1"/>
  <c r="G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tc={2C0CFC82-503B-4302-B778-DAD100100D52}</author>
    <author>tc={8926F3DE-444D-421E-BDF4-25C47C470391}</author>
    <author>tc={97FA01D6-E1AE-4B64-9E51-6E0679DFD7BB}</author>
    <author>tc={98BDDA2A-1F97-477B-8000-4797A0BD7D8C}</author>
    <author>tc={D6C2664F-9688-4584-8DA0-08722A2FF2B7}</author>
    <author>tc={D3A04679-5FA5-478E-945B-ABF33BD9D5FC}</author>
    <author>tc={93A33219-2A79-4D40-9BED-38446B63BE98}</author>
    <author>tc={E901BB03-97BA-4D38-8AD7-F1C9CDF5B985}</author>
    <author>tc={C884F147-6493-4239-A935-323B7A88DA80}</author>
    <author>tc={AE0C1AE1-5777-4111-A089-57DA6D18375A}</author>
    <author>tc={CC2E9519-591A-419E-A3BE-3F6E963D0AF5}</author>
    <author>tc={2DC1321F-75AA-4A51-A9D4-E81A5EB4A3C0}</author>
    <author>tc={18EDD7DD-6BE6-4AD8-A35D-5A66F3C0EF9E}</author>
    <author>tc={3A161879-5496-4A2A-8345-649F60F6FD39}</author>
  </authors>
  <commentList>
    <comment ref="E5" authorId="0" shapeId="0" xr:uid="{2C0CFC82-503B-4302-B778-DAD100100D52}">
      <text>
        <t>[Threaded comment]
Your version of Excel allows you to read this threaded comment; however, any edits to it will get removed if the file is opened in a newer version of Excel. Learn more: https://go.microsoft.com/fwlink/?linkid=870924
Comment:
    In other schemas, “type” is lower case. We should be consistent throughout all schemas. 
Reply:
    Revised</t>
      </text>
    </comment>
    <comment ref="E23" authorId="1" shapeId="0" xr:uid="{8926F3DE-444D-421E-BDF4-25C47C4703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fields under a sub-schema should be grouped, as it is with the  Biological Treatment (By Treat) sub schema above. </t>
      </text>
    </comment>
    <comment ref="B28" authorId="2" shapeId="0" xr:uid="{97FA01D6-E1AE-4B64-9E51-6E0679DFD7B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this be a number field? </t>
      </text>
    </comment>
    <comment ref="G28" authorId="3" shapeId="0" xr:uid="{98BDDA2A-1F97-477B-8000-4797A0BD7D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discuss with technical team whether or not visibility fields can be referenced. </t>
      </text>
    </comment>
    <comment ref="E41" authorId="4" shapeId="0" xr:uid="{D6C2664F-9688-4584-8DA0-08722A2FF2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this be “2 years ago”? 
Reply:
    Question revised </t>
      </text>
    </comment>
    <comment ref="E47" authorId="5" shapeId="0" xr:uid="{D3A04679-5FA5-478E-945B-ABF33BD9D5F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All fields under a sub-schema should be grouped, as it is with the  Biological Treatment (By Treat) sub schema above. </t>
      </text>
    </comment>
    <comment ref="B56" authorId="6" shapeId="0" xr:uid="{93A33219-2A79-4D40-9BED-38446B63BE9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Shouldn’t this be a number? 
Reply:
    revised
</t>
      </text>
    </comment>
    <comment ref="G56" authorId="7" shapeId="0" xr:uid="{E901BB03-97BA-4D38-8AD7-F1C9CDF5B985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discuss with technical team whether or not visibility fields can be referenced.</t>
      </text>
    </comment>
    <comment ref="B57" authorId="8" shapeId="0" xr:uid="{C884F147-6493-4239-A935-323B7A88DA80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this be a number? 
Reply:
    revised</t>
      </text>
    </comment>
    <comment ref="G57" authorId="9" shapeId="0" xr:uid="{AE0C1AE1-5777-4111-A089-57DA6D18375A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discuss with technical team whether or not visibility fields can be referenced.</t>
      </text>
    </comment>
    <comment ref="D80" authorId="10" shapeId="0" xr:uid="{CC2E9519-591A-419E-A3BE-3F6E963D0AF5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waste type. 
Reply:
    yeap, you are right, revised</t>
      </text>
    </comment>
    <comment ref="D81" authorId="11" shapeId="0" xr:uid="{2DC1321F-75AA-4A51-A9D4-E81A5EB4A3C0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waste type.</t>
      </text>
    </comment>
    <comment ref="D82" authorId="12" shapeId="0" xr:uid="{18EDD7DD-6BE6-4AD8-A35D-5A66F3C0EF9E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gaseous waste sub type.</t>
      </text>
    </comment>
    <comment ref="D83" authorId="13" shapeId="0" xr:uid="{3A161879-5496-4A2A-8345-649F60F6FD39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waste type.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tc={E0CE500C-462A-A342-95B3-BFB8C0C55B5E}</author>
    <author>tc={A42B5B14-BD6B-5145-A772-87DD13AC7999}</author>
    <author>tc={6960336B-71BA-C74C-81A6-CA1B9223C17D}</author>
    <author>tc={AEDAD480-1362-1142-8E30-9C1ECBEE686A}</author>
    <author>tc={8381C189-361E-8F49-96D5-89840780E825}</author>
    <author>tc={89BF9903-E313-204C-BDF1-931F996EEA35}</author>
    <author>tc={CAF40006-1EE9-BF49-B9BD-8D55C3C05272}</author>
    <author>tc={828A31C7-D8E6-B44C-9E0B-A277F5DD7861}</author>
    <author>tc={AD025991-64F1-F644-AB29-24A884F3D579}</author>
  </authors>
  <commentList>
    <comment ref="E6" authorId="0" shapeId="0" xr:uid="{E0CE500C-462A-A342-95B3-BFB8C0C55B5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question and the field name in the Enum tab should match 
Reply:
    Done
</t>
      </text>
    </comment>
    <comment ref="E7" authorId="1" shapeId="0" xr:uid="{A42B5B14-BD6B-5145-A772-87DD13AC79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question and the field name in the Enum tab should match 
Reply:
    Done</t>
      </text>
    </comment>
    <comment ref="E10" authorId="2" shapeId="0" xr:uid="{6960336B-71BA-C74C-81A6-CA1B9223C17D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Units say kg/TJ, but should be gCH4/kg-waste 
Reply:
    Revised</t>
      </text>
    </comment>
    <comment ref="E11" authorId="3" shapeId="0" xr:uid="{AEDAD480-1362-1142-8E30-9C1ECBEE68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Units say kg/TJ, but should be gCH4/kg-waste </t>
      </text>
    </comment>
    <comment ref="E12" authorId="4" shapeId="0" xr:uid="{8381C189-361E-8F49-96D5-89840780E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just rename this something like “Methane Emissions (tCH4)” for clarity? 
Reply:
    Done</t>
      </text>
    </comment>
    <comment ref="E13" authorId="5" shapeId="0" xr:uid="{89BF9903-E313-204C-BDF1-931F996EEA3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we rename this something like “Methane Recover Ratio (RA)” for clarity?
Reply:
    Done</t>
      </text>
    </comment>
    <comment ref="E14" authorId="6" shapeId="0" xr:uid="{CAF40006-1EE9-BF49-B9BD-8D55C3C05272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units here should be tons not KG
Reply:
    To avoid using the same name for different fields, lets rename these something like “Bio Treatment Emissions (kg CH4)”, etc. 
Please apply to other applicable fields. 
Reply:
    Unit revised</t>
      </text>
    </comment>
    <comment ref="E15" authorId="7" shapeId="0" xr:uid="{828A31C7-D8E6-B44C-9E0B-A277F5DD7861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units here should be tons not KG</t>
      </text>
    </comment>
    <comment ref="E16" authorId="8" shapeId="0" xr:uid="{AD025991-64F1-F644-AB29-24A884F3D579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the units here should be tons not KG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tc={613FA170-2A38-453E-AFF2-E67912E45BD9}</author>
    <author>tc={DC03D235-3CED-4C69-9408-08FCEAB62B6D}</author>
    <author>tc={4F5A7032-7D69-4AC9-94D2-C8AA99D90F6A}</author>
  </authors>
  <commentList>
    <comment ref="B9" authorId="0" shapeId="0" xr:uid="{613FA170-2A38-453E-AFF2-E67912E45BD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this be a number field? </t>
      </text>
    </comment>
    <comment ref="G9" authorId="1" shapeId="0" xr:uid="{DC03D235-3CED-4C69-9408-08FCEAB62B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 discuss with technical team whether or not visibility fields can be referenced. </t>
      </text>
    </comment>
    <comment ref="E22" authorId="2" shapeId="0" xr:uid="{4F5A7032-7D69-4AC9-94D2-C8AA99D90F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this be “2 years ago”? 
Reply:
    Question revised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tc={93D2E8FB-70CB-4C06-B7FB-9A8AF3CE7C9C}</author>
    <author>tc={6E68F1DF-3A10-440A-8C2F-7F35421DB088}</author>
    <author>tc={18419A59-B3D7-4152-B48E-2F34EBF657EC}</author>
    <author>tc={2DA8D1E4-3874-4F6B-8D42-699B6907C1FA}</author>
    <author>tc={EC7CDC7C-4726-4E24-A47D-F31E76EFA122}</author>
    <author>tc={C6D34C51-1A4D-4917-8DC4-B31384BAF542}</author>
    <author>tc={546564FA-C3DF-4C77-B8D8-6DC28C894218}</author>
    <author>tc={DCD48959-5AF2-4890-86FE-6BE4EAE1914E}</author>
  </authors>
  <commentList>
    <comment ref="B13" authorId="0" shapeId="0" xr:uid="{93D2E8FB-70CB-4C06-B7FB-9A8AF3CE7C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Shouldn’t this be a number? 
Reply:
    revised
</t>
      </text>
    </comment>
    <comment ref="G13" authorId="1" shapeId="0" xr:uid="{6E68F1DF-3A10-440A-8C2F-7F35421DB08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discuss with technical team whether or not visibility fields can be referenced.</t>
      </text>
    </comment>
    <comment ref="B14" authorId="2" shapeId="0" xr:uid="{18419A59-B3D7-4152-B48E-2F34EBF6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Shouldn’t this be a number? 
Reply:
    revised</t>
      </text>
    </comment>
    <comment ref="G14" authorId="3" shapeId="0" xr:uid="{2DA8D1E4-3874-4F6B-8D42-699B6907C1FA}">
      <text>
        <t>[Threaded comment]
Your version of Excel allows you to read this threaded comment; however, any edits to it will get removed if the file is opened in a newer version of Excel. Learn more: https://go.microsoft.com/fwlink/?linkid=870924
Comment:
    To discuss with technical team whether or not visibility fields can be referenced.</t>
      </text>
    </comment>
    <comment ref="D37" authorId="4" shapeId="0" xr:uid="{EC7CDC7C-4726-4E24-A47D-F31E76EFA122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waste type. 
Reply:
    yeap, you are right, revised</t>
      </text>
    </comment>
    <comment ref="D38" authorId="5" shapeId="0" xr:uid="{C6D34C51-1A4D-4917-8DC4-B31384BAF542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waste type.</t>
      </text>
    </comment>
    <comment ref="D39" authorId="6" shapeId="0" xr:uid="{546564FA-C3DF-4C77-B8D8-6DC28C894218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gaseous waste sub type.</t>
      </text>
    </comment>
    <comment ref="D40" authorId="7" shapeId="0" xr:uid="{DCD48959-5AF2-4890-86FE-6BE4EAE1914E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 why this would be conditional based on waste type.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<sst xmlns="http://schemas.openxmlformats.org/spreadsheetml/2006/main" count="1910" uniqueCount="217">
  <si>
    <t>Waste Disposal Schema</t>
    <phoneticPr fontId="8" type="noConversion"/>
  </si>
  <si>
    <t>Description</t>
  </si>
  <si>
    <t>Schema Type</t>
  </si>
  <si>
    <t>Verifiable Credentials</t>
  </si>
  <si>
    <t>Required Field</t>
  </si>
  <si>
    <t>Field Type</t>
  </si>
  <si>
    <t>Parameter</t>
  </si>
  <si>
    <t>Visibility</t>
  </si>
  <si>
    <t>Question</t>
  </si>
  <si>
    <t>Allow Multiple Answers</t>
  </si>
  <si>
    <t>Answer</t>
  </si>
  <si>
    <t>Yes</t>
  </si>
  <si>
    <t>Enum</t>
  </si>
  <si>
    <t>Disposal Type (enum)</t>
  </si>
  <si>
    <t>Waste Disposal type</t>
  </si>
  <si>
    <t>No</t>
    <phoneticPr fontId="8" type="noConversion"/>
  </si>
  <si>
    <t>Incineration</t>
  </si>
  <si>
    <t>No</t>
  </si>
  <si>
    <t>Number</t>
  </si>
  <si>
    <t>Total Emissions from Waste Disposal (kg CO2)</t>
    <phoneticPr fontId="8" type="noConversion"/>
  </si>
  <si>
    <t>Total Emissions from Waste Disposal (kg CH4)</t>
    <phoneticPr fontId="8" type="noConversion"/>
  </si>
  <si>
    <t>Total Emissions from Waste Disposal (kg N2O)</t>
    <phoneticPr fontId="8" type="noConversion"/>
  </si>
  <si>
    <t>Total Emissions from Waste Disposal (kg CO2Eq)</t>
  </si>
  <si>
    <t>Biological Treatment (By Treat)</t>
  </si>
  <si>
    <t>Emissions from biological treatment by treatment type</t>
  </si>
  <si>
    <t>Applicable reporting year</t>
  </si>
  <si>
    <t>Bio Treat Type</t>
  </si>
  <si>
    <t>Disposal Treatment type</t>
  </si>
  <si>
    <t>Composting</t>
  </si>
  <si>
    <t>Bio Waste basis</t>
  </si>
  <si>
    <t>Disposal Waste Basis</t>
    <phoneticPr fontId="8" type="noConversion"/>
  </si>
  <si>
    <t>Dry Basis</t>
  </si>
  <si>
    <t>Waste Mass (ton)</t>
  </si>
  <si>
    <t/>
  </si>
  <si>
    <t>Methane Recovery Amount (tCH4)</t>
  </si>
  <si>
    <t>CH4 Emission Factor (gCH4/kg-Waste)</t>
    <phoneticPr fontId="8" type="noConversion"/>
  </si>
  <si>
    <t>N20 Emission Factor (gN2O/kg-Waste)</t>
    <phoneticPr fontId="8" type="noConversion"/>
  </si>
  <si>
    <t>Methane Emissions (tCH4)</t>
  </si>
  <si>
    <t>Methane Recovery Ratio (RA)</t>
    <phoneticPr fontId="8" type="noConversion"/>
  </si>
  <si>
    <t>Bio Treatment Emissions (tCH4)</t>
    <phoneticPr fontId="8" type="noConversion"/>
  </si>
  <si>
    <t>Bio Treatment Emissions (tN2O)</t>
    <phoneticPr fontId="8" type="noConversion"/>
  </si>
  <si>
    <t>Bio Treatment Emissions (tCO2 eq)</t>
    <phoneticPr fontId="8" type="noConversion"/>
  </si>
  <si>
    <t>Landfilling waste (By Waste)</t>
  </si>
  <si>
    <t>Emissions from landfilling of solid waste by waste type</t>
  </si>
  <si>
    <t>Landfilling Waste Type (enum)</t>
  </si>
  <si>
    <t>Waste type</t>
  </si>
  <si>
    <t>Household Waste</t>
  </si>
  <si>
    <t>Landfilling IWaste type2 (enum)</t>
  </si>
  <si>
    <t xml:space="preserve">Industrial Waste sub type  </t>
  </si>
  <si>
    <t>Other Industrial Waste</t>
  </si>
  <si>
    <t>Landfilling HWaste type2 (enum)</t>
  </si>
  <si>
    <t xml:space="preserve">Household Waste sub type </t>
  </si>
  <si>
    <t>Food Waste</t>
  </si>
  <si>
    <t>String</t>
  </si>
  <si>
    <t>Hidden</t>
  </si>
  <si>
    <t>Waste type 2 selected</t>
  </si>
  <si>
    <t>Landfilling facility (enum)</t>
  </si>
  <si>
    <t>Type of Landfill Facility</t>
  </si>
  <si>
    <t>Unmanaged Landfill - Depth ≥ 5m</t>
  </si>
  <si>
    <t>Landfilling facility 2 (enum)</t>
  </si>
  <si>
    <t>Type of Landfill Facility Sub-Category</t>
    <phoneticPr fontId="8" type="noConversion"/>
  </si>
  <si>
    <t>Others</t>
  </si>
  <si>
    <t>Waste landfilled in previous year (ton)</t>
    <phoneticPr fontId="8" type="noConversion"/>
  </si>
  <si>
    <t>Degradable organic carbon deposited in landfill 2 years ago (tC)</t>
    <phoneticPr fontId="8" type="noConversion"/>
  </si>
  <si>
    <t>Methane recovered this year (tCH4)</t>
    <phoneticPr fontId="8" type="noConversion"/>
  </si>
  <si>
    <t>Degradable organic carbon fraction (DOC)</t>
    <phoneticPr fontId="8" type="noConversion"/>
  </si>
  <si>
    <t>DOC to methane conversion fraction (DOCf)</t>
    <phoneticPr fontId="8" type="noConversion"/>
  </si>
  <si>
    <t>Methane Correction Factor (MCF)</t>
    <phoneticPr fontId="8" type="noConversion"/>
  </si>
  <si>
    <t>Methan generation rate constant (k)</t>
    <phoneticPr fontId="8" type="noConversion"/>
  </si>
  <si>
    <t>Methan fraction in landfill gas (F)</t>
    <phoneticPr fontId="8" type="noConversion"/>
  </si>
  <si>
    <t>Oxidation factor (OX)</t>
    <phoneticPr fontId="8" type="noConversion"/>
  </si>
  <si>
    <t>Degradable organic carbon deposited in landfill in previous year (tC)</t>
    <phoneticPr fontId="8" type="noConversion"/>
  </si>
  <si>
    <t>Accumulated degradable organic carbon up to the end of previous year(tC)</t>
    <phoneticPr fontId="8" type="noConversion"/>
  </si>
  <si>
    <t>Decomposed degradable organic carbon this year (tC)</t>
    <phoneticPr fontId="8" type="noConversion"/>
  </si>
  <si>
    <t>Potential CH4 generation this year (tCH4)</t>
    <phoneticPr fontId="8" type="noConversion"/>
  </si>
  <si>
    <t>hidden</t>
  </si>
  <si>
    <t>Rt / Potential CH4 generated</t>
    <phoneticPr fontId="8" type="noConversion"/>
  </si>
  <si>
    <t>Landing of solid waste emissions (tCH4)</t>
    <phoneticPr fontId="8" type="noConversion"/>
  </si>
  <si>
    <t>Landing of solid waste emissions (tCO2eq)</t>
  </si>
  <si>
    <t>Incineration (By Waste)</t>
    <phoneticPr fontId="8" type="noConversion"/>
  </si>
  <si>
    <t>Emissions from waste incineration</t>
  </si>
  <si>
    <t>Yes</t>
    <phoneticPr fontId="10" type="noConversion"/>
  </si>
  <si>
    <t>Enum</t>
    <phoneticPr fontId="10" type="noConversion"/>
  </si>
  <si>
    <t>Waste Type</t>
    <phoneticPr fontId="10" type="noConversion"/>
  </si>
  <si>
    <t>Solid Waste</t>
  </si>
  <si>
    <t>Sub Waste Type</t>
    <phoneticPr fontId="10" type="noConversion"/>
  </si>
  <si>
    <t>Solid Waste sub type</t>
  </si>
  <si>
    <t>Industrial Waste</t>
  </si>
  <si>
    <t>Inc waste type gas (enum)</t>
  </si>
  <si>
    <t>Gaseous Waste sub type</t>
  </si>
  <si>
    <t>Biogas (Methane)</t>
  </si>
  <si>
    <t>nested-if-condition-industrial-waste</t>
  </si>
  <si>
    <t>nested-if-condition-household-waste</t>
  </si>
  <si>
    <t>Household Waste Type</t>
    <phoneticPr fontId="10" type="noConversion"/>
  </si>
  <si>
    <t>No</t>
    <phoneticPr fontId="10" type="noConversion"/>
  </si>
  <si>
    <t>Textile</t>
  </si>
  <si>
    <t>Industrial Waste Type</t>
    <phoneticPr fontId="10" type="noConversion"/>
  </si>
  <si>
    <t>Paper Waste</t>
  </si>
  <si>
    <t>Waste sub type</t>
    <phoneticPr fontId="10" type="noConversion"/>
  </si>
  <si>
    <t>Waste sub type 2</t>
  </si>
  <si>
    <t>Waste Mass (kg)</t>
    <phoneticPr fontId="10" type="noConversion"/>
  </si>
  <si>
    <t>Solid CH4 Emission Factor (gCH4/t-Waste)</t>
    <phoneticPr fontId="10" type="noConversion"/>
  </si>
  <si>
    <t>Solid N20 Emission Factor (gN2O/t-Waste)</t>
    <phoneticPr fontId="10" type="noConversion"/>
  </si>
  <si>
    <t>Dry Matter Content</t>
    <phoneticPr fontId="10" type="noConversion"/>
  </si>
  <si>
    <t>Carbon Fraction</t>
    <phoneticPr fontId="10" type="noConversion"/>
  </si>
  <si>
    <t>Fossil Carbon Fraction</t>
    <phoneticPr fontId="10" type="noConversion"/>
  </si>
  <si>
    <t>Oxidation Factor</t>
    <phoneticPr fontId="10" type="noConversion"/>
  </si>
  <si>
    <t>Liquid Carbon Fraction</t>
    <phoneticPr fontId="10" type="noConversion"/>
  </si>
  <si>
    <t>Liquid Oxidation Factor</t>
    <phoneticPr fontId="10" type="noConversion"/>
  </si>
  <si>
    <t>Gaseous CH4 Emission Factor (gCH4/t-Waste)</t>
    <phoneticPr fontId="10" type="noConversion"/>
  </si>
  <si>
    <t>Gaseous N20 Emission Factor (gN2O/t-Waste)</t>
    <phoneticPr fontId="10" type="noConversion"/>
  </si>
  <si>
    <t>Gaseous CO2 Emission Factor (tCO2/t-Waste)</t>
    <phoneticPr fontId="10" type="noConversion"/>
  </si>
  <si>
    <t>Number</t>
    <phoneticPr fontId="10" type="noConversion"/>
  </si>
  <si>
    <t xml:space="preserve">Solid Result (kg CH4) </t>
    <phoneticPr fontId="10" type="noConversion"/>
  </si>
  <si>
    <t>Solid Result (kg N2O)</t>
    <phoneticPr fontId="10" type="noConversion"/>
  </si>
  <si>
    <t>Solid Result (kg CO2)</t>
    <phoneticPr fontId="10" type="noConversion"/>
  </si>
  <si>
    <t>Solid Result (kg CO2eq)</t>
    <phoneticPr fontId="10" type="noConversion"/>
  </si>
  <si>
    <t xml:space="preserve">Liquid Result (kg CO2) </t>
    <phoneticPr fontId="10" type="noConversion"/>
  </si>
  <si>
    <t>Liquid Result (kg CO2eq)</t>
    <phoneticPr fontId="10" type="noConversion"/>
  </si>
  <si>
    <t xml:space="preserve">Gaseous Result (kg CH4) </t>
    <phoneticPr fontId="10" type="noConversion"/>
  </si>
  <si>
    <t>Gaseous Result (kg N2O)</t>
    <phoneticPr fontId="10" type="noConversion"/>
  </si>
  <si>
    <t>Gaseous Result (kg CO2)</t>
    <phoneticPr fontId="10" type="noConversion"/>
  </si>
  <si>
    <t>Gaseous Result (kg CO2eq)</t>
    <phoneticPr fontId="10" type="noConversion"/>
  </si>
  <si>
    <t>Incineration emissions (kg CO2)</t>
  </si>
  <si>
    <t>Incineration emissions (kg CH4)</t>
  </si>
  <si>
    <t>Incineration emissions (kg N2O)</t>
  </si>
  <si>
    <t>Incineration emissions (kg CO2eq)</t>
  </si>
  <si>
    <t>Biological treatment of solid waste Emission factor</t>
  </si>
  <si>
    <t>Treatment Type</t>
  </si>
  <si>
    <t>Waste Basis</t>
  </si>
  <si>
    <t>Emission Factor
(gCH4/kg-Waste)</t>
    <phoneticPr fontId="8" type="noConversion"/>
  </si>
  <si>
    <t>CH4</t>
  </si>
  <si>
    <t>Wet Basis</t>
  </si>
  <si>
    <t>Anaerobic Digestion</t>
  </si>
  <si>
    <t>N2O</t>
  </si>
  <si>
    <t>Emission Factor
(gN2O/kg-Waste)</t>
  </si>
  <si>
    <t>Landfilling of solid waste emission factors</t>
  </si>
  <si>
    <t>Waste Type</t>
  </si>
  <si>
    <t>Waste Type 2</t>
  </si>
  <si>
    <t>Type of Landfill Facility 2</t>
  </si>
  <si>
    <t>DOC</t>
  </si>
  <si>
    <t>DOCf</t>
  </si>
  <si>
    <t>MCF</t>
  </si>
  <si>
    <t>k</t>
  </si>
  <si>
    <t>F</t>
  </si>
  <si>
    <t>OX</t>
  </si>
  <si>
    <t>Mixed Waste (bulk)</t>
  </si>
  <si>
    <t>Managed Landfill - Anaerobic</t>
  </si>
  <si>
    <t>Landfills covered with soil, compost, etc</t>
  </si>
  <si>
    <t>Managed Landfill - Semi-aerobic</t>
  </si>
  <si>
    <t>Unmanaged Landfill - Depth &lt; 5m</t>
  </si>
  <si>
    <t>Paper</t>
  </si>
  <si>
    <t>Wood</t>
  </si>
  <si>
    <t>Garden and Park Waste</t>
  </si>
  <si>
    <t>Diapers</t>
  </si>
  <si>
    <t>Rubber and Leather</t>
  </si>
  <si>
    <t>Plastic</t>
  </si>
  <si>
    <t>Metal</t>
  </si>
  <si>
    <t>Glass</t>
  </si>
  <si>
    <t>Other Household Waste</t>
  </si>
  <si>
    <t>Food Waste (food, beverage, tobacco)</t>
  </si>
  <si>
    <t>Textile Waste</t>
  </si>
  <si>
    <t>Wood Waste</t>
  </si>
  <si>
    <t>Petroleum Products, Solvents, Plastics</t>
  </si>
  <si>
    <t>Composite Rubber Waste</t>
  </si>
  <si>
    <t>Construction and Demolition Debris</t>
  </si>
  <si>
    <t>Wastewater Sludge</t>
  </si>
  <si>
    <t>Sewage Sludge</t>
  </si>
  <si>
    <t>Incineration emission factors</t>
  </si>
  <si>
    <t>CH4 Emission Factor
(gCH4/ton-Waste)</t>
    <phoneticPr fontId="8" type="noConversion"/>
  </si>
  <si>
    <t>N2O Emission Factor
(gN2O/ton-Waste)</t>
    <phoneticPr fontId="8" type="noConversion"/>
  </si>
  <si>
    <t>Dry Matter Content</t>
    <phoneticPr fontId="17" type="noConversion"/>
  </si>
  <si>
    <t>Carbon Fraction</t>
    <phoneticPr fontId="17" type="noConversion"/>
  </si>
  <si>
    <t>Fossil Carbon Fraction</t>
    <phoneticPr fontId="17" type="noConversion"/>
  </si>
  <si>
    <t>Oxidation Factor</t>
    <phoneticPr fontId="17" type="noConversion"/>
  </si>
  <si>
    <t>CO2 Emission Factor
(tCO2/ton-Waste)</t>
  </si>
  <si>
    <t>Solid Waste</t>
    <phoneticPr fontId="17" type="noConversion"/>
  </si>
  <si>
    <t>-</t>
  </si>
  <si>
    <t>Waste Wood</t>
  </si>
  <si>
    <t>Medical Waste</t>
  </si>
  <si>
    <t>Liquid Waste</t>
    <phoneticPr fontId="17" type="noConversion"/>
  </si>
  <si>
    <t>Gaseous Waste</t>
    <phoneticPr fontId="17" type="noConversion"/>
  </si>
  <si>
    <t>Off-gas</t>
    <phoneticPr fontId="17" type="noConversion"/>
  </si>
  <si>
    <t>Biogas (Methane)</t>
    <phoneticPr fontId="17" type="noConversion"/>
  </si>
  <si>
    <t>Global Warming Potentials</t>
  </si>
  <si>
    <t>CO2</t>
  </si>
  <si>
    <t>Data to Calculate Biological treatment of solid waste emission by Treatment type</t>
  </si>
  <si>
    <t>Sub-Schema</t>
  </si>
  <si>
    <t>Allow Multiple Answer</t>
  </si>
  <si>
    <t>Disposal Treatment Type</t>
  </si>
  <si>
    <t>Data to Calculate Landfilling of solid waste emission by Waste type</t>
  </si>
  <si>
    <t>Data to Calculate Waste Incineration Emissions by Waste type</t>
    <phoneticPr fontId="10" type="noConversion"/>
  </si>
  <si>
    <t>Solid Waste</t>
    <phoneticPr fontId="10" type="noConversion"/>
  </si>
  <si>
    <t>Gaseous Waste</t>
    <phoneticPr fontId="10" type="noConversion"/>
  </si>
  <si>
    <t>Industrial Waste</t>
    <phoneticPr fontId="10" type="noConversion"/>
  </si>
  <si>
    <t>Household Waste</t>
    <phoneticPr fontId="10" type="noConversion"/>
  </si>
  <si>
    <t>Schema name</t>
    <phoneticPr fontId="10" type="noConversion"/>
  </si>
  <si>
    <t>Waste Disposal Schema</t>
    <phoneticPr fontId="10" type="noConversion"/>
  </si>
  <si>
    <t>Field name</t>
  </si>
  <si>
    <t>Gaseous Waste Sub Type</t>
  </si>
  <si>
    <t>Off-gas</t>
    <phoneticPr fontId="10" type="noConversion"/>
  </si>
  <si>
    <t>Biogas (Methane)</t>
    <phoneticPr fontId="10" type="noConversion"/>
  </si>
  <si>
    <t>Waste type</t>
    <phoneticPr fontId="10" type="noConversion"/>
  </si>
  <si>
    <t>Liquid Waste</t>
    <phoneticPr fontId="10" type="noConversion"/>
  </si>
  <si>
    <t>Solid Waste Sub Type</t>
  </si>
  <si>
    <t>Schema name</t>
  </si>
  <si>
    <t>Waste Disposal Type</t>
  </si>
  <si>
    <t>Biological treatment of solid waste</t>
  </si>
  <si>
    <t>Landfilling of solid waste</t>
  </si>
  <si>
    <t>Type of Landfill Facility Sub-Category</t>
    <phoneticPr fontId="10" type="noConversion"/>
  </si>
  <si>
    <t>Industrial Waste Sub Type</t>
  </si>
  <si>
    <t>Medical Waste</t>
    <phoneticPr fontId="10" type="noConversion"/>
  </si>
  <si>
    <t>Household Waste Sub Type</t>
  </si>
  <si>
    <t>Landfilling waste type</t>
  </si>
  <si>
    <t>Waste Disposal Schema</t>
  </si>
  <si>
    <t>Disposal Waste Basis</t>
  </si>
  <si>
    <t>Disposal Type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</si>
</sst>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"/>
  </numFmts>
  <fonts count="25">
    <font>
      <sz val="11"/>
      <color theme="1"/>
      <name val="맑은 고딕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rgb="FF0000FF"/>
      <name val="Calibri"/>
      <family val="2"/>
    </font>
    <font>
      <sz val="8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2"/>
      <color rgb="FF000000"/>
      <name val="Aptos Narrow"/>
      <family val="2"/>
      <charset val="129"/>
    </font>
    <font>
      <sz val="12"/>
      <color rgb="FF000000"/>
      <name val="Aptos Narrow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ptos Narrow"/>
    </font>
    <font>
      <b/>
      <sz val="12"/>
      <color rgb="FF000000"/>
      <name val="Aptos Narrow"/>
    </font>
    <font>
      <sz val="8"/>
      <name val="맑은 고딕"/>
      <family val="2"/>
      <charset val="129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8E4BC"/>
      </patternFill>
    </fill>
    <fill>
      <patternFill patternType="solid">
        <fgColor rgb="FFFFFFFF"/>
      </patternFill>
    </fill>
    <fill>
      <patternFill patternType="solid">
        <fgColor rgb="FFFABF8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D0D0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4" fillId="0" borderId="0" xfId="0" applyFont="1"/>
    <xf numFmtId="0" fontId="0" fillId="0" borderId="5" xfId="0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6" xfId="0" applyBorder="1"/>
    <xf numFmtId="0" fontId="0" fillId="7" borderId="0" xfId="0" applyFill="1"/>
    <xf numFmtId="0" fontId="2" fillId="5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4" fontId="6" fillId="0" borderId="1" xfId="0" applyNumberFormat="1" applyFont="1" applyBorder="1" applyAlignment="1">
      <alignment horizontal="left" wrapText="1"/>
    </xf>
    <xf numFmtId="4" fontId="2" fillId="6" borderId="1" xfId="0" applyNumberFormat="1" applyFont="1" applyFill="1" applyBorder="1" applyAlignment="1">
      <alignment horizontal="left" wrapText="1"/>
    </xf>
    <xf numFmtId="4" fontId="0" fillId="0" borderId="0" xfId="0" applyNumberFormat="1"/>
    <xf numFmtId="164" fontId="2" fillId="6" borderId="1" xfId="0" applyNumberFormat="1" applyFont="1" applyFill="1" applyBorder="1" applyAlignment="1">
      <alignment horizontal="left" wrapText="1"/>
    </xf>
    <xf numFmtId="0" fontId="6" fillId="5" borderId="1" xfId="0" applyFont="1" applyFill="1" applyBorder="1"/>
    <xf numFmtId="4" fontId="5" fillId="5" borderId="4" xfId="0" applyNumberFormat="1" applyFont="1" applyFill="1" applyBorder="1"/>
    <xf numFmtId="0" fontId="3" fillId="5" borderId="0" xfId="1" applyFill="1"/>
    <xf numFmtId="164" fontId="2" fillId="6" borderId="1" xfId="0" applyNumberFormat="1" applyFont="1" applyFill="1" applyBorder="1" applyAlignment="1">
      <alignment horizontal="left"/>
    </xf>
    <xf numFmtId="4" fontId="2" fillId="5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11" fillId="5" borderId="1" xfId="1" applyFont="1" applyFill="1" applyBorder="1" applyAlignment="1">
      <alignment wrapText="1"/>
    </xf>
    <xf numFmtId="0" fontId="12" fillId="0" borderId="8" xfId="0" applyFont="1" applyBorder="1"/>
    <xf numFmtId="0" fontId="12" fillId="0" borderId="9" xfId="0" applyFont="1" applyBorder="1"/>
    <xf numFmtId="0" fontId="12" fillId="0" borderId="9" xfId="0" applyFont="1" applyBorder="1" applyAlignment="1">
      <alignment wrapText="1"/>
    </xf>
    <xf numFmtId="0" fontId="13" fillId="0" borderId="10" xfId="0" applyFont="1" applyBorder="1"/>
    <xf numFmtId="0" fontId="13" fillId="0" borderId="11" xfId="0" applyFont="1" applyBorder="1"/>
    <xf numFmtId="0" fontId="13" fillId="8" borderId="11" xfId="0" applyFont="1" applyFill="1" applyBorder="1"/>
    <xf numFmtId="0" fontId="0" fillId="0" borderId="0" xfId="0" applyAlignment="1">
      <alignment horizontal="center" vertical="center"/>
    </xf>
    <xf numFmtId="0" fontId="13" fillId="0" borderId="10" xfId="0" applyFont="1" applyBorder="1" applyAlignment="1">
      <alignment wrapText="1"/>
    </xf>
    <xf numFmtId="0" fontId="13" fillId="0" borderId="8" xfId="0" applyFont="1" applyBorder="1"/>
    <xf numFmtId="0" fontId="3" fillId="0" borderId="1" xfId="1" applyBorder="1" applyAlignment="1">
      <alignment wrapText="1"/>
    </xf>
    <xf numFmtId="165" fontId="2" fillId="6" borderId="1" xfId="0" applyNumberFormat="1" applyFont="1" applyFill="1" applyBorder="1" applyAlignment="1">
      <alignment horizontal="left" wrapText="1"/>
    </xf>
    <xf numFmtId="0" fontId="14" fillId="0" borderId="1" xfId="1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5" fillId="0" borderId="8" xfId="0" applyFont="1" applyBorder="1"/>
    <xf numFmtId="0" fontId="15" fillId="0" borderId="10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0" fontId="13" fillId="0" borderId="13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3" fillId="0" borderId="15" xfId="0" applyFont="1" applyBorder="1" applyAlignment="1">
      <alignment wrapText="1"/>
    </xf>
    <xf numFmtId="0" fontId="15" fillId="8" borderId="16" xfId="0" applyFont="1" applyFill="1" applyBorder="1"/>
    <xf numFmtId="0" fontId="15" fillId="8" borderId="9" xfId="0" applyFont="1" applyFill="1" applyBorder="1"/>
    <xf numFmtId="0" fontId="15" fillId="0" borderId="11" xfId="0" applyFont="1" applyBorder="1" applyAlignment="1">
      <alignment wrapText="1"/>
    </xf>
    <xf numFmtId="0" fontId="15" fillId="8" borderId="11" xfId="0" applyFont="1" applyFill="1" applyBorder="1"/>
    <xf numFmtId="0" fontId="15" fillId="0" borderId="9" xfId="0" applyFont="1" applyBorder="1" applyAlignment="1">
      <alignment wrapText="1"/>
    </xf>
    <xf numFmtId="0" fontId="15" fillId="0" borderId="12" xfId="0" applyFont="1" applyBorder="1"/>
    <xf numFmtId="0" fontId="15" fillId="0" borderId="14" xfId="0" applyFont="1" applyBorder="1" applyAlignment="1">
      <alignment wrapText="1"/>
    </xf>
    <xf numFmtId="0" fontId="15" fillId="0" borderId="15" xfId="0" applyFont="1" applyBorder="1" applyAlignment="1">
      <alignment wrapText="1"/>
    </xf>
    <xf numFmtId="0" fontId="15" fillId="0" borderId="14" xfId="0" applyFont="1" applyBorder="1"/>
    <xf numFmtId="0" fontId="15" fillId="0" borderId="16" xfId="0" applyFont="1" applyBorder="1"/>
    <xf numFmtId="0" fontId="15" fillId="0" borderId="13" xfId="0" applyFont="1" applyBorder="1" applyAlignment="1">
      <alignment wrapText="1"/>
    </xf>
    <xf numFmtId="0" fontId="16" fillId="0" borderId="8" xfId="0" applyFont="1" applyBorder="1"/>
    <xf numFmtId="0" fontId="16" fillId="0" borderId="9" xfId="0" applyFont="1" applyBorder="1"/>
    <xf numFmtId="0" fontId="15" fillId="8" borderId="12" xfId="0" applyFont="1" applyFill="1" applyBorder="1"/>
    <xf numFmtId="0" fontId="16" fillId="0" borderId="9" xfId="0" applyFont="1" applyBorder="1" applyAlignment="1">
      <alignment wrapText="1"/>
    </xf>
    <xf numFmtId="0" fontId="15" fillId="0" borderId="17" xfId="0" applyFont="1" applyBorder="1" applyAlignment="1">
      <alignment wrapText="1"/>
    </xf>
    <xf numFmtId="0" fontId="0" fillId="0" borderId="19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21" xfId="0" applyFont="1" applyBorder="1"/>
    <xf numFmtId="0" fontId="19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/>
    </xf>
    <xf numFmtId="0" fontId="0" fillId="9" borderId="8" xfId="0" applyFill="1" applyBorder="1"/>
    <xf numFmtId="166" fontId="0" fillId="0" borderId="19" xfId="0" applyNumberFormat="1" applyBorder="1" applyAlignment="1">
      <alignment horizontal="center" vertical="center"/>
    </xf>
    <xf numFmtId="0" fontId="0" fillId="0" borderId="0" xfId="0" quotePrefix="1" applyAlignment="1">
      <alignment wrapText="1"/>
    </xf>
    <xf numFmtId="0" fontId="2" fillId="10" borderId="2" xfId="0" applyFont="1" applyFill="1" applyBorder="1"/>
    <xf numFmtId="4" fontId="2" fillId="10" borderId="2" xfId="0" applyNumberFormat="1" applyFont="1" applyFill="1" applyBorder="1" applyAlignment="1">
      <alignment horizontal="left"/>
    </xf>
    <xf numFmtId="0" fontId="2" fillId="10" borderId="22" xfId="0" applyFont="1" applyFill="1" applyBorder="1"/>
    <xf numFmtId="0" fontId="2" fillId="0" borderId="23" xfId="0" applyFont="1" applyBorder="1" applyAlignment="1">
      <alignment wrapText="1"/>
    </xf>
    <xf numFmtId="0" fontId="3" fillId="10" borderId="8" xfId="1" applyFill="1" applyBorder="1"/>
    <xf numFmtId="0" fontId="24" fillId="0" borderId="1" xfId="0" applyFont="1" applyBorder="1"/>
    <xf numFmtId="0" fontId="24" fillId="0" borderId="20" xfId="0" applyFont="1" applyBorder="1"/>
    <xf numFmtId="0" fontId="24" fillId="0" borderId="20" xfId="0" applyFont="1" applyBorder="1" applyAlignment="1">
      <alignment wrapText="1"/>
    </xf>
    <xf numFmtId="0" fontId="0" fillId="11" borderId="0" xfId="0" applyFill="1"/>
    <xf numFmtId="164" fontId="2" fillId="12" borderId="2" xfId="0" applyNumberFormat="1" applyFont="1" applyFill="1" applyBorder="1" applyAlignment="1">
      <alignment horizontal="left" wrapText="1"/>
    </xf>
    <xf numFmtId="0" fontId="24" fillId="0" borderId="0" xfId="0" applyFont="1"/>
    <xf numFmtId="0" fontId="0" fillId="0" borderId="8" xfId="0" applyBorder="1"/>
    <xf numFmtId="4" fontId="0" fillId="0" borderId="8" xfId="0" applyNumberFormat="1" applyBorder="1"/>
    <xf numFmtId="4" fontId="5" fillId="0" borderId="1" xfId="0" applyNumberFormat="1" applyFont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wrapText="1"/>
    </xf>
    <xf numFmtId="0" fontId="13" fillId="11" borderId="14" xfId="0" applyFont="1" applyFill="1" applyBorder="1" applyAlignment="1">
      <alignment wrapText="1"/>
    </xf>
    <xf numFmtId="3" fontId="6" fillId="0" borderId="1" xfId="0" applyNumberFormat="1" applyFont="1" applyBorder="1" applyAlignment="1">
      <alignment horizontal="left" wrapText="1"/>
    </xf>
    <xf numFmtId="0" fontId="6" fillId="0" borderId="22" xfId="0" applyFont="1" applyBorder="1" applyAlignment="1">
      <alignment wrapText="1"/>
    </xf>
    <xf numFmtId="0" fontId="6" fillId="0" borderId="0" xfId="0" applyFont="1" applyAlignment="1">
      <alignment wrapText="1"/>
    </xf>
    <xf numFmtId="0" fontId="14" fillId="0" borderId="2" xfId="1" applyFont="1" applyBorder="1" applyAlignment="1">
      <alignment wrapText="1"/>
    </xf>
    <xf numFmtId="0" fontId="6" fillId="0" borderId="2" xfId="0" applyFont="1" applyBorder="1" applyAlignment="1">
      <alignment wrapText="1"/>
    </xf>
    <xf numFmtId="1" fontId="6" fillId="0" borderId="2" xfId="0" applyNumberFormat="1" applyFont="1" applyBorder="1" applyAlignment="1">
      <alignment horizontal="left" wrapText="1"/>
    </xf>
    <xf numFmtId="1" fontId="6" fillId="0" borderId="1" xfId="0" applyNumberFormat="1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18" fillId="11" borderId="0" xfId="0" applyFont="1" applyFill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58A631DF-B91D-4D76-9AB6-77052B47ABD5}" userId="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5-08-26T20:13:22.43" personId="{00000000-0000-0000-0000-000000000000}" id="{2C0CFC82-503B-4302-B778-DAD100100D52}">
    <text xml:space="preserve">In other schemas, “type” is lower case. We should be consistent throughout all schemas. </text>
  </threadedComment>
  <threadedComment ref="E5" dT="2025-08-27T01:57:55.19" personId="{00000000-0000-0000-0000-000000000000}" id="{0058184A-8766-6247-84A7-71DD99C30EA3}" parentId="{2C0CFC82-503B-4302-B778-DAD100100D52}">
    <text>Revised</text>
  </threadedComment>
  <threadedComment ref="E23" dT="2025-08-26T20:21:19.15" personId="{00000000-0000-0000-0000-000000000000}" id="{8926F3DE-444D-421E-BDF4-25C47C470391}">
    <text xml:space="preserve">All fields under a sub-schema should be grouped, as it is with the  Biological Treatment (By Treat) sub schema above. </text>
  </threadedComment>
  <threadedComment ref="B28" dT="2025-08-26T20:45:35.88" personId="{00000000-0000-0000-0000-000000000000}" id="{97FA01D6-E1AE-4B64-9E51-6E0679DFD7BB}">
    <text xml:space="preserve">Should this be a number field? </text>
  </threadedComment>
  <threadedComment ref="G28" dT="2025-08-26T20:46:41.33" personId="{00000000-0000-0000-0000-000000000000}" id="{98BDDA2A-1F97-477B-8000-4797A0BD7D8C}">
    <text xml:space="preserve">To discuss with technical team whether or not visibility fields can be referenced. </text>
  </threadedComment>
  <threadedComment ref="E41" dT="2025-08-26T21:06:26.40" personId="{00000000-0000-0000-0000-000000000000}" id="{D6C2664F-9688-4584-8DA0-08722A2FF2B7}">
    <text xml:space="preserve">Should this be “2 years ago”? </text>
  </threadedComment>
  <threadedComment ref="E41" dT="2025-08-27T01:55:31.07" personId="{00000000-0000-0000-0000-000000000000}" id="{BB36979C-37C4-EE48-959E-329D30195065}" parentId="{D6C2664F-9688-4584-8DA0-08722A2FF2B7}">
    <text xml:space="preserve">Question revised </text>
  </threadedComment>
  <threadedComment ref="E47" dT="2025-08-26T21:14:44.43" personId="{00000000-0000-0000-0000-000000000000}" id="{D3A04679-5FA5-478E-945B-ABF33BD9D5FC}">
    <text xml:space="preserve">All fields under a sub-schema should be grouped, as it is with the  Biological Treatment (By Treat) sub schema above. </text>
  </threadedComment>
  <threadedComment ref="B56" dT="2025-08-26T21:24:21.36" personId="{00000000-0000-0000-0000-000000000000}" id="{93A33219-2A79-4D40-9BED-38446B63BE98}">
    <text xml:space="preserve">Shouldn’t this be a number? </text>
  </threadedComment>
  <threadedComment ref="B56" dT="2025-08-28T00:40:49.00" personId="{58A631DF-B91D-4D76-9AB6-77052B47ABD5}" id="{21C02BA2-5050-47FE-B567-AE6AA2428477}" parentId="{93A33219-2A79-4D40-9BED-38446B63BE98}">
    <text xml:space="preserve">revised
</text>
  </threadedComment>
  <threadedComment ref="G56" dT="2025-08-26T21:23:20.16" personId="{00000000-0000-0000-0000-000000000000}" id="{E901BB03-97BA-4D38-8AD7-F1C9CDF5B985}">
    <text>To discuss with technical team whether or not visibility fields can be referenced.</text>
  </threadedComment>
  <threadedComment ref="B57" dT="2025-08-26T21:24:39.98" personId="{00000000-0000-0000-0000-000000000000}" id="{C884F147-6493-4239-A935-323B7A88DA80}">
    <text xml:space="preserve">Shouldn’t this be a number? </text>
  </threadedComment>
  <threadedComment ref="B57" dT="2025-08-28T00:40:53.56" personId="{58A631DF-B91D-4D76-9AB6-77052B47ABD5}" id="{FF81A828-B6DF-4681-BE14-C2B3A94927EB}" parentId="{C884F147-6493-4239-A935-323B7A88DA80}">
    <text>revised</text>
  </threadedComment>
  <threadedComment ref="G57" dT="2025-08-26T21:23:27.65" personId="{00000000-0000-0000-0000-000000000000}" id="{AE0C1AE1-5777-4111-A089-57DA6D18375A}">
    <text>To discuss with technical team whether or not visibility fields can be referenced.</text>
  </threadedComment>
  <threadedComment ref="D80" dT="2025-08-26T22:04:00.36" personId="{00000000-0000-0000-0000-000000000000}" id="{CC2E9519-591A-419E-A3BE-3F6E963D0AF5}">
    <text xml:space="preserve">I am not sure why this would be conditional based on waste type. </text>
  </threadedComment>
  <threadedComment ref="D80" dT="2025-08-27T01:41:25.88" personId="{00000000-0000-0000-0000-000000000000}" id="{3558BF6C-B6BE-4B68-9F5B-CADFE205B065}" parentId="{CC2E9519-591A-419E-A3BE-3F6E963D0AF5}">
    <text>yeap, you are right, revised</text>
  </threadedComment>
  <threadedComment ref="D81" dT="2025-08-13T14:48:39.20" personId="{00000000-0000-0000-0000-000000000000}" id="{2DC1321F-75AA-4A51-A9D4-E81A5EB4A3C0}">
    <text>I am not sure why this would be conditional based on waste type.</text>
  </threadedComment>
  <threadedComment ref="D82" dT="2025-08-13T14:48:50.83" personId="{00000000-0000-0000-0000-000000000000}" id="{18EDD7DD-6BE6-4AD8-A35D-5A66F3C0EF9E}">
    <text>I am not sure why this would be conditional based on gaseous waste sub type.</text>
  </threadedComment>
  <threadedComment ref="D83" dT="2025-08-13T14:48:58.15" personId="{00000000-0000-0000-0000-000000000000}" id="{3A161879-5496-4A2A-8345-649F60F6FD39}">
    <text>I am not sure why this would be conditional based on waste type.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6" dT="2025-08-13T14:24:02.47" personId="{00000000-0000-0000-0000-000000000000}" id="{E0CE500C-462A-A342-95B3-BFB8C0C55B5E}">
    <text xml:space="preserve">The question and the field name in the Enum tab should match </text>
  </threadedComment>
  <threadedComment ref="E6" dT="2025-08-18T02:26:17.45" personId="{00000000-0000-0000-0000-000000000000}" id="{CB3D31E2-E988-7142-98A8-5CEF57CB801F}" parentId="{E0CE500C-462A-A342-95B3-BFB8C0C55B5E}">
    <text xml:space="preserve">Done
</text>
  </threadedComment>
  <threadedComment ref="E7" dT="2025-08-13T14:24:21.43" personId="{00000000-0000-0000-0000-000000000000}" id="{A42B5B14-BD6B-5145-A772-87DD13AC7999}">
    <text xml:space="preserve">The question and the field name in the Enum tab should match </text>
  </threadedComment>
  <threadedComment ref="E7" dT="2025-08-18T02:26:10.70" personId="{00000000-0000-0000-0000-000000000000}" id="{0B5C6667-F3E6-2A4E-A457-5BF629980050}" parentId="{A42B5B14-BD6B-5145-A772-87DD13AC7999}">
    <text>Done</text>
  </threadedComment>
  <threadedComment ref="E10" dT="2025-08-13T14:24:46.90" personId="{00000000-0000-0000-0000-000000000000}" id="{6960336B-71BA-C74C-81A6-CA1B9223C17D}">
    <text xml:space="preserve">Units say kg/TJ, but should be gCH4/kg-waste </text>
  </threadedComment>
  <threadedComment ref="E10" dT="2025-08-20T05:02:16.05" personId="{00000000-0000-0000-0000-000000000000}" id="{6D2A7102-D932-5B4E-A491-5C0548A8C735}" parentId="{6960336B-71BA-C74C-81A6-CA1B9223C17D}">
    <text>Revised</text>
  </threadedComment>
  <threadedComment ref="E11" dT="2025-08-13T14:24:55.90" personId="{00000000-0000-0000-0000-000000000000}" id="{AEDAD480-1362-1142-8E30-9C1ECBEE686A}">
    <text xml:space="preserve">Units say kg/TJ, but should be gCH4/kg-waste </text>
  </threadedComment>
  <threadedComment ref="E12" dT="2025-08-13T14:25:27.81" personId="{00000000-0000-0000-0000-000000000000}" id="{8381C189-361E-8F49-96D5-89840780E825}">
    <text xml:space="preserve">Should we just rename this something like “Methane Emissions (tCH4)” for clarity? </text>
  </threadedComment>
  <threadedComment ref="E12" dT="2025-08-18T03:23:31.45" personId="{00000000-0000-0000-0000-000000000000}" id="{9C0AB0E0-261E-E14B-A5B9-95648096D011}" parentId="{8381C189-361E-8F49-96D5-89840780E825}">
    <text>Done</text>
  </threadedComment>
  <threadedComment ref="E13" dT="2025-08-13T14:25:55.55" personId="{00000000-0000-0000-0000-000000000000}" id="{89BF9903-E313-204C-BDF1-931F996EEA35}">
    <text>Should we rename this something like “Methane Recover Ratio (RA)” for clarity?</text>
  </threadedComment>
  <threadedComment ref="E13" dT="2025-08-18T03:22:36.15" personId="{00000000-0000-0000-0000-000000000000}" id="{818E4E00-AF8D-1542-9C4B-7379F7EB315A}" parentId="{89BF9903-E313-204C-BDF1-931F996EEA35}">
    <text>Done</text>
  </threadedComment>
  <threadedComment ref="E14" dT="2025-08-13T14:26:26.04" personId="{00000000-0000-0000-0000-000000000000}" id="{CAF40006-1EE9-BF49-B9BD-8D55C3C05272}">
    <text>I think the units here should be tons not KG</text>
  </threadedComment>
  <threadedComment ref="E14" dT="2025-08-13T14:49:56.91" personId="{00000000-0000-0000-0000-000000000000}" id="{433E03F9-AC85-A14B-B6B5-3B09796D41B2}" parentId="{CAF40006-1EE9-BF49-B9BD-8D55C3C05272}">
    <text xml:space="preserve">To avoid using the same name for different fields, lets rename these something like “Bio Treatment Emissions (kg CH4)”, etc. 
Please apply to other applicable fields. </text>
  </threadedComment>
  <threadedComment ref="E14" dT="2025-08-20T05:03:08.63" personId="{00000000-0000-0000-0000-000000000000}" id="{054B3103-D9F5-0246-B410-CD681B564DF0}" parentId="{CAF40006-1EE9-BF49-B9BD-8D55C3C05272}">
    <text>Unit revised</text>
  </threadedComment>
  <threadedComment ref="E15" dT="2025-08-13T14:26:37.16" personId="{00000000-0000-0000-0000-000000000000}" id="{828A31C7-D8E6-B44C-9E0B-A277F5DD7861}">
    <text>I think the units here should be tons not KG</text>
  </threadedComment>
  <threadedComment ref="E16" dT="2025-08-13T14:26:48.51" personId="{00000000-0000-0000-0000-000000000000}" id="{AD025991-64F1-F644-AB29-24A884F3D579}">
    <text>I think the units here should be tons not KG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9" dT="2025-08-26T20:45:35.88" personId="{00000000-0000-0000-0000-000000000000}" id="{613FA170-2A38-453E-AFF2-E67912E45BD9}">
    <text xml:space="preserve">Should this be a number field? </text>
  </threadedComment>
  <threadedComment ref="G9" dT="2025-08-26T20:46:41.33" personId="{00000000-0000-0000-0000-000000000000}" id="{DC03D235-3CED-4C69-9408-08FCEAB62B6D}">
    <text xml:space="preserve">To discuss with technical team whether or not visibility fields can be referenced. </text>
  </threadedComment>
  <threadedComment ref="E22" dT="2025-08-26T21:06:26.40" personId="{00000000-0000-0000-0000-000000000000}" id="{4F5A7032-7D69-4AC9-94D2-C8AA99D90F6A}">
    <text xml:space="preserve">Should this be “2 years ago”? </text>
  </threadedComment>
  <threadedComment ref="E22" dT="2025-08-27T01:55:31.07" personId="{00000000-0000-0000-0000-000000000000}" id="{10361D55-A39C-4356-BF99-EB39B3B5511E}" parentId="{4F5A7032-7D69-4AC9-94D2-C8AA99D90F6A}">
    <text xml:space="preserve">Question revised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3" dT="2025-08-26T21:24:21.36" personId="{00000000-0000-0000-0000-000000000000}" id="{93D2E8FB-70CB-4C06-B7FB-9A8AF3CE7C9C}">
    <text xml:space="preserve">Shouldn’t this be a number? </text>
  </threadedComment>
  <threadedComment ref="B13" dT="2025-08-28T00:40:49.00" personId="{58A631DF-B91D-4D76-9AB6-77052B47ABD5}" id="{467D17D9-DDFF-49D6-A725-9F707B50D1D6}" parentId="{93D2E8FB-70CB-4C06-B7FB-9A8AF3CE7C9C}">
    <text xml:space="preserve">revised
</text>
  </threadedComment>
  <threadedComment ref="G13" dT="2025-08-26T21:23:20.16" personId="{00000000-0000-0000-0000-000000000000}" id="{6E68F1DF-3A10-440A-8C2F-7F35421DB088}">
    <text>To discuss with technical team whether or not visibility fields can be referenced.</text>
  </threadedComment>
  <threadedComment ref="B14" dT="2025-08-26T21:24:39.98" personId="{00000000-0000-0000-0000-000000000000}" id="{18419A59-B3D7-4152-B48E-2F34EBF657EC}">
    <text xml:space="preserve">Shouldn’t this be a number? </text>
  </threadedComment>
  <threadedComment ref="B14" dT="2025-08-28T00:40:53.56" personId="{58A631DF-B91D-4D76-9AB6-77052B47ABD5}" id="{5321F527-7B70-4D3D-BF84-160FDB93463F}" parentId="{18419A59-B3D7-4152-B48E-2F34EBF657EC}">
    <text>revised</text>
  </threadedComment>
  <threadedComment ref="G14" dT="2025-08-26T21:23:27.65" personId="{00000000-0000-0000-0000-000000000000}" id="{2DA8D1E4-3874-4F6B-8D42-699B6907C1FA}">
    <text>To discuss with technical team whether or not visibility fields can be referenced.</text>
  </threadedComment>
  <threadedComment ref="D37" dT="2025-08-26T22:04:00.36" personId="{00000000-0000-0000-0000-000000000000}" id="{EC7CDC7C-4726-4E24-A47D-F31E76EFA122}">
    <text xml:space="preserve">I am not sure why this would be conditional based on waste type. </text>
  </threadedComment>
  <threadedComment ref="D37" dT="2025-08-27T01:41:25.88" personId="{00000000-0000-0000-0000-000000000000}" id="{9E5F0061-003A-43D9-A42E-E251640FA2E2}" parentId="{EC7CDC7C-4726-4E24-A47D-F31E76EFA122}">
    <text>yeap, you are right, revised</text>
  </threadedComment>
  <threadedComment ref="D38" dT="2025-08-13T14:48:39.20" personId="{00000000-0000-0000-0000-000000000000}" id="{C6D34C51-1A4D-4917-8DC4-B31384BAF542}">
    <text>I am not sure why this would be conditional based on waste type.</text>
  </threadedComment>
  <threadedComment ref="D39" dT="2025-08-13T14:48:50.83" personId="{00000000-0000-0000-0000-000000000000}" id="{546564FA-C3DF-4C77-B8D8-6DC28C894218}">
    <text>I am not sure why this would be conditional based on gaseous waste sub type.</text>
  </threadedComment>
  <threadedComment ref="D40" dT="2025-08-13T14:48:58.15" personId="{00000000-0000-0000-0000-000000000000}" id="{DCD48959-5AF2-4890-86FE-6BE4EAE1914E}">
    <text>I am not sure why this would be conditional based on waste type.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3"/>
  <sheetViews>
    <sheetView tabSelected="1" workbookViewId="0">
      <selection activeCell="B47" sqref="B47"/>
    </sheetView>
  </sheetViews>
  <sheetFormatPr defaultColWidth="8.875" defaultRowHeight="17.100000000000001" outlineLevelRow="1"/>
  <cols>
    <col min="1" max="1" width="20" customWidth="1"/>
    <col min="2" max="2" width="40" customWidth="1"/>
    <col min="3" max="4" width="20" customWidth="1"/>
    <col min="5" max="5" width="64.5" customWidth="1"/>
    <col min="6" max="6" width="30" customWidth="1"/>
    <col min="7" max="7" width="50" style="17" customWidth="1"/>
    <col min="8" max="8" width="10" bestFit="1" customWidth="1"/>
  </cols>
  <sheetData>
    <row r="1" spans="1:8" ht="18.95">
      <c r="A1" s="107" t="s">
        <v>0</v>
      </c>
      <c r="B1" s="107"/>
      <c r="C1" s="107"/>
      <c r="D1" s="107"/>
      <c r="E1" s="107"/>
      <c r="F1" s="107"/>
      <c r="G1" s="107"/>
    </row>
    <row r="2" spans="1:8" ht="18.95">
      <c r="A2" s="1" t="s">
        <v>1</v>
      </c>
      <c r="B2" s="108"/>
      <c r="C2" s="108"/>
      <c r="D2" s="108"/>
      <c r="E2" s="108"/>
      <c r="F2" s="108"/>
      <c r="G2" s="108"/>
    </row>
    <row r="3" spans="1:8" ht="18.95">
      <c r="A3" s="1" t="s">
        <v>2</v>
      </c>
      <c r="B3" s="108" t="s">
        <v>3</v>
      </c>
      <c r="C3" s="108"/>
      <c r="D3" s="108"/>
      <c r="E3" s="108"/>
      <c r="F3" s="108"/>
      <c r="G3" s="108"/>
    </row>
    <row r="4" spans="1:8" ht="18.95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14" t="s">
        <v>10</v>
      </c>
    </row>
    <row r="5" spans="1:8" s="5" customFormat="1" ht="18">
      <c r="A5" s="19" t="s">
        <v>11</v>
      </c>
      <c r="B5" s="19" t="s">
        <v>12</v>
      </c>
      <c r="C5" s="26" t="s">
        <v>13</v>
      </c>
      <c r="D5" s="19"/>
      <c r="E5" s="19" t="s">
        <v>14</v>
      </c>
      <c r="F5" s="19" t="s">
        <v>15</v>
      </c>
      <c r="G5" s="20" t="s">
        <v>16</v>
      </c>
    </row>
    <row r="6" spans="1:8" ht="30" customHeight="1">
      <c r="A6" s="13" t="s">
        <v>17</v>
      </c>
      <c r="B6" s="13" t="s">
        <v>18</v>
      </c>
      <c r="C6" s="13"/>
      <c r="D6" s="19"/>
      <c r="E6" s="13" t="s">
        <v>19</v>
      </c>
      <c r="F6" s="13" t="s">
        <v>17</v>
      </c>
      <c r="G6" s="16">
        <f>SUM(G80)</f>
        <v>13.520160000000001</v>
      </c>
      <c r="H6" s="5"/>
    </row>
    <row r="7" spans="1:8">
      <c r="A7" s="13" t="s">
        <v>17</v>
      </c>
      <c r="B7" s="13" t="s">
        <v>18</v>
      </c>
      <c r="C7" s="13"/>
      <c r="D7" s="19"/>
      <c r="E7" s="13" t="s">
        <v>20</v>
      </c>
      <c r="F7" s="13" t="s">
        <v>17</v>
      </c>
      <c r="G7" s="22">
        <f>SUM(G20,G45,G81)</f>
        <v>1.3899999999999999E-2</v>
      </c>
      <c r="H7" s="5"/>
    </row>
    <row r="8" spans="1:8">
      <c r="A8" s="13" t="s">
        <v>17</v>
      </c>
      <c r="B8" s="13" t="s">
        <v>18</v>
      </c>
      <c r="C8" s="13"/>
      <c r="D8" s="19"/>
      <c r="E8" s="13" t="s">
        <v>21</v>
      </c>
      <c r="F8" s="13" t="s">
        <v>17</v>
      </c>
      <c r="G8" s="22">
        <f>SUM(G21,G82)</f>
        <v>0.12969999999999998</v>
      </c>
      <c r="H8" s="5"/>
    </row>
    <row r="9" spans="1:8">
      <c r="A9" s="13" t="s">
        <v>17</v>
      </c>
      <c r="B9" s="96" t="s">
        <v>18</v>
      </c>
      <c r="C9" s="13"/>
      <c r="D9" s="19"/>
      <c r="E9" s="13" t="s">
        <v>22</v>
      </c>
      <c r="F9" s="13" t="s">
        <v>17</v>
      </c>
      <c r="G9" s="22">
        <f>SUM(G22,G46,G83)</f>
        <v>54.019059999999996</v>
      </c>
      <c r="H9" s="5"/>
    </row>
    <row r="10" spans="1:8">
      <c r="A10" s="13" t="s">
        <v>17</v>
      </c>
      <c r="B10" s="21" t="s">
        <v>23</v>
      </c>
      <c r="C10" s="13"/>
      <c r="D10" s="13" t="b">
        <f>EXACT(G5,"Biological treatment of solid waste")</f>
        <v>0</v>
      </c>
      <c r="E10" s="13" t="s">
        <v>24</v>
      </c>
      <c r="F10" s="13" t="s">
        <v>11</v>
      </c>
      <c r="G10" s="23"/>
      <c r="H10" s="5"/>
    </row>
    <row r="11" spans="1:8" s="5" customFormat="1" outlineLevel="1">
      <c r="A11" s="7" t="s">
        <v>11</v>
      </c>
      <c r="B11" s="101" t="s">
        <v>18</v>
      </c>
      <c r="C11" s="38"/>
      <c r="D11" s="7"/>
      <c r="E11" s="7" t="s">
        <v>25</v>
      </c>
      <c r="F11" s="7" t="s">
        <v>17</v>
      </c>
      <c r="G11" s="105">
        <v>2002</v>
      </c>
    </row>
    <row r="12" spans="1:8" s="5" customFormat="1" ht="18" outlineLevel="1">
      <c r="A12" s="7" t="s">
        <v>11</v>
      </c>
      <c r="B12" s="7" t="s">
        <v>12</v>
      </c>
      <c r="C12" s="38" t="s">
        <v>26</v>
      </c>
      <c r="D12" s="7"/>
      <c r="E12" s="7" t="s">
        <v>27</v>
      </c>
      <c r="F12" s="7" t="s">
        <v>17</v>
      </c>
      <c r="G12" s="15" t="s">
        <v>28</v>
      </c>
    </row>
    <row r="13" spans="1:8" s="5" customFormat="1" ht="18" outlineLevel="1">
      <c r="A13" s="7" t="s">
        <v>11</v>
      </c>
      <c r="B13" s="7" t="s">
        <v>12</v>
      </c>
      <c r="C13" s="38" t="s">
        <v>29</v>
      </c>
      <c r="D13" s="7"/>
      <c r="E13" s="7" t="s">
        <v>30</v>
      </c>
      <c r="F13" s="7" t="s">
        <v>17</v>
      </c>
      <c r="G13" s="15" t="s">
        <v>31</v>
      </c>
    </row>
    <row r="14" spans="1:8" outlineLevel="1">
      <c r="A14" s="7" t="s">
        <v>11</v>
      </c>
      <c r="B14" s="7" t="s">
        <v>18</v>
      </c>
      <c r="C14" s="8"/>
      <c r="D14" s="7"/>
      <c r="E14" s="7" t="s">
        <v>32</v>
      </c>
      <c r="F14" s="7" t="s">
        <v>17</v>
      </c>
      <c r="G14" s="15">
        <v>1000</v>
      </c>
      <c r="H14" s="5"/>
    </row>
    <row r="15" spans="1:8" outlineLevel="1">
      <c r="A15" s="7" t="s">
        <v>11</v>
      </c>
      <c r="B15" s="7" t="s">
        <v>18</v>
      </c>
      <c r="C15" s="7" t="s">
        <v>33</v>
      </c>
      <c r="D15" s="7"/>
      <c r="E15" s="7" t="s">
        <v>34</v>
      </c>
      <c r="F15" s="7" t="s">
        <v>17</v>
      </c>
      <c r="G15" s="15">
        <v>0</v>
      </c>
      <c r="H15" s="5"/>
    </row>
    <row r="16" spans="1:8" outlineLevel="1">
      <c r="A16" s="9" t="s">
        <v>17</v>
      </c>
      <c r="B16" s="9" t="s">
        <v>18</v>
      </c>
      <c r="C16" s="9"/>
      <c r="D16" s="9"/>
      <c r="E16" s="9" t="s">
        <v>35</v>
      </c>
      <c r="F16" s="9" t="s">
        <v>17</v>
      </c>
      <c r="G16" s="16" cm="1">
        <f t="array" ref="G16">IFERROR(INDEX('Emission Factors and Defaults'!D$3:D$6, MATCH(1, (G12='Emission Factors and Defaults'!B$3:B$6) * (G13='Emission Factors and Defaults'!C$3:C$6), 0)), "Not found")</f>
        <v>10</v>
      </c>
      <c r="H16" s="5"/>
    </row>
    <row r="17" spans="1:8" outlineLevel="1">
      <c r="A17" s="9" t="s">
        <v>17</v>
      </c>
      <c r="B17" s="9" t="s">
        <v>18</v>
      </c>
      <c r="C17" s="9"/>
      <c r="D17" s="9"/>
      <c r="E17" s="9" t="s">
        <v>36</v>
      </c>
      <c r="F17" s="9" t="s">
        <v>17</v>
      </c>
      <c r="G17" s="37" cm="1">
        <f t="array" ref="G17">IFERROR(INDEX('Emission Factors and Defaults'!D$8:D$11, MATCH(1, (G12='Emission Factors and Defaults'!B$8:B$11) * (G13='Emission Factors and Defaults'!C$8:C$11), 0)), "Not found")</f>
        <v>0.6</v>
      </c>
      <c r="H17" s="5"/>
    </row>
    <row r="18" spans="1:8" outlineLevel="1">
      <c r="A18" s="9" t="s">
        <v>17</v>
      </c>
      <c r="B18" s="9" t="s">
        <v>18</v>
      </c>
      <c r="C18" s="9"/>
      <c r="D18" s="9"/>
      <c r="E18" s="9" t="s">
        <v>37</v>
      </c>
      <c r="F18" s="9" t="s">
        <v>17</v>
      </c>
      <c r="G18" s="37">
        <f>(G14*G16)/1000</f>
        <v>10</v>
      </c>
      <c r="H18" s="5"/>
    </row>
    <row r="19" spans="1:8" outlineLevel="1">
      <c r="A19" s="9" t="s">
        <v>17</v>
      </c>
      <c r="B19" s="9" t="s">
        <v>18</v>
      </c>
      <c r="C19" s="9"/>
      <c r="D19" s="9"/>
      <c r="E19" s="9" t="s">
        <v>38</v>
      </c>
      <c r="F19" s="9" t="s">
        <v>17</v>
      </c>
      <c r="G19" s="37">
        <f>G15/G18</f>
        <v>0</v>
      </c>
      <c r="H19" s="5"/>
    </row>
    <row r="20" spans="1:8" outlineLevel="1">
      <c r="A20" s="9" t="s">
        <v>17</v>
      </c>
      <c r="B20" s="9" t="s">
        <v>18</v>
      </c>
      <c r="C20" s="9" t="s">
        <v>33</v>
      </c>
      <c r="D20" s="9"/>
      <c r="E20" s="9" t="s">
        <v>39</v>
      </c>
      <c r="F20" s="9" t="s">
        <v>17</v>
      </c>
      <c r="G20" s="18">
        <f>EXACT(G5,"Biological treatment of solid waste")*((G18-G15) * (G19&lt;=0.95) + (G18*0.05) * (G19&gt;0.95))</f>
        <v>0</v>
      </c>
      <c r="H20" s="5"/>
    </row>
    <row r="21" spans="1:8" outlineLevel="1">
      <c r="A21" s="9" t="s">
        <v>17</v>
      </c>
      <c r="B21" s="9" t="s">
        <v>18</v>
      </c>
      <c r="C21" s="9" t="s">
        <v>33</v>
      </c>
      <c r="D21" s="9"/>
      <c r="E21" s="9" t="s">
        <v>40</v>
      </c>
      <c r="F21" s="9" t="s">
        <v>17</v>
      </c>
      <c r="G21" s="18">
        <f>IFERROR(EXACT(G5,"Biological treatment of solid waste")*((G14*G17)/1000),0)</f>
        <v>0</v>
      </c>
      <c r="H21" s="5"/>
    </row>
    <row r="22" spans="1:8" outlineLevel="1">
      <c r="A22" s="9" t="s">
        <v>17</v>
      </c>
      <c r="B22" s="9" t="s">
        <v>18</v>
      </c>
      <c r="C22" s="9" t="s">
        <v>33</v>
      </c>
      <c r="D22" s="9"/>
      <c r="E22" s="9" t="s">
        <v>41</v>
      </c>
      <c r="F22" s="9" t="s">
        <v>17</v>
      </c>
      <c r="G22" s="18">
        <f>IFERROR((G20*'Emission Factors and Defaults'!B$280)+(G21*'Emission Factors and Defaults'!B$281),0)</f>
        <v>0</v>
      </c>
      <c r="H22" s="5"/>
    </row>
    <row r="23" spans="1:8">
      <c r="A23" s="13" t="s">
        <v>17</v>
      </c>
      <c r="B23" s="21" t="s">
        <v>42</v>
      </c>
      <c r="C23" s="13"/>
      <c r="D23" s="97" t="b">
        <f>EXACT(G5,"Landfilling of solid waste")</f>
        <v>0</v>
      </c>
      <c r="E23" s="13" t="s">
        <v>43</v>
      </c>
      <c r="F23" s="13" t="s">
        <v>11</v>
      </c>
      <c r="G23" s="23"/>
      <c r="H23" s="5"/>
    </row>
    <row r="24" spans="1:8" ht="33" customHeight="1">
      <c r="A24" s="7" t="s">
        <v>11</v>
      </c>
      <c r="B24" s="101" t="s">
        <v>18</v>
      </c>
      <c r="C24" s="36"/>
      <c r="D24" s="7"/>
      <c r="E24" s="7" t="s">
        <v>25</v>
      </c>
      <c r="F24" s="7" t="s">
        <v>17</v>
      </c>
      <c r="G24" s="105">
        <v>2020</v>
      </c>
      <c r="H24" s="5"/>
    </row>
    <row r="25" spans="1:8" ht="33" customHeight="1">
      <c r="A25" s="7" t="s">
        <v>11</v>
      </c>
      <c r="B25" s="7" t="s">
        <v>12</v>
      </c>
      <c r="C25" s="36" t="s">
        <v>44</v>
      </c>
      <c r="D25" s="7"/>
      <c r="E25" s="7" t="s">
        <v>45</v>
      </c>
      <c r="F25" s="7" t="s">
        <v>17</v>
      </c>
      <c r="G25" s="15" t="s">
        <v>46</v>
      </c>
      <c r="H25" s="5"/>
    </row>
    <row r="26" spans="1:8" ht="36">
      <c r="A26" s="7" t="s">
        <v>17</v>
      </c>
      <c r="B26" s="7" t="s">
        <v>12</v>
      </c>
      <c r="C26" s="36" t="s">
        <v>47</v>
      </c>
      <c r="D26" s="7" t="b">
        <f>EXACT(G25,"Industrial Waste")</f>
        <v>0</v>
      </c>
      <c r="E26" s="7" t="s">
        <v>48</v>
      </c>
      <c r="F26" s="7" t="s">
        <v>17</v>
      </c>
      <c r="G26" s="15" t="s">
        <v>49</v>
      </c>
      <c r="H26" s="5"/>
    </row>
    <row r="27" spans="1:8" ht="36">
      <c r="A27" s="7" t="s">
        <v>17</v>
      </c>
      <c r="B27" s="7" t="s">
        <v>12</v>
      </c>
      <c r="C27" s="36" t="s">
        <v>50</v>
      </c>
      <c r="D27" s="7" t="b">
        <f>EXACT(G25,"Household Waste")</f>
        <v>1</v>
      </c>
      <c r="E27" s="7" t="s">
        <v>51</v>
      </c>
      <c r="F27" s="7" t="s">
        <v>17</v>
      </c>
      <c r="G27" s="15" t="s">
        <v>52</v>
      </c>
      <c r="H27" s="5"/>
    </row>
    <row r="28" spans="1:8">
      <c r="A28" s="7" t="s">
        <v>17</v>
      </c>
      <c r="B28" s="7" t="s">
        <v>53</v>
      </c>
      <c r="C28" s="36"/>
      <c r="D28" s="7" t="s">
        <v>54</v>
      </c>
      <c r="E28" s="7" t="s">
        <v>55</v>
      </c>
      <c r="F28" s="7" t="s">
        <v>17</v>
      </c>
      <c r="G28" s="15" t="str">
        <f>IF(G25="Household Waste",G27,"") &amp; IF(G25="Industrial Waste",G26,"")</f>
        <v>Food Waste</v>
      </c>
      <c r="H28" s="5"/>
    </row>
    <row r="29" spans="1:8" ht="36">
      <c r="A29" s="7" t="s">
        <v>11</v>
      </c>
      <c r="B29" s="7" t="s">
        <v>12</v>
      </c>
      <c r="C29" s="36" t="s">
        <v>56</v>
      </c>
      <c r="D29" s="7"/>
      <c r="E29" s="7" t="s">
        <v>57</v>
      </c>
      <c r="F29" s="7" t="s">
        <v>17</v>
      </c>
      <c r="G29" s="15" t="s">
        <v>58</v>
      </c>
      <c r="H29" s="5"/>
    </row>
    <row r="30" spans="1:8" ht="36">
      <c r="A30" s="7" t="s">
        <v>11</v>
      </c>
      <c r="B30" s="7" t="s">
        <v>12</v>
      </c>
      <c r="C30" s="36" t="s">
        <v>59</v>
      </c>
      <c r="D30" s="7"/>
      <c r="E30" s="7" t="s">
        <v>60</v>
      </c>
      <c r="F30" s="7" t="s">
        <v>17</v>
      </c>
      <c r="G30" s="15" t="s">
        <v>61</v>
      </c>
      <c r="H30" s="5"/>
    </row>
    <row r="31" spans="1:8">
      <c r="A31" s="7" t="s">
        <v>11</v>
      </c>
      <c r="B31" s="7" t="s">
        <v>18</v>
      </c>
      <c r="C31" s="8"/>
      <c r="D31" s="7"/>
      <c r="E31" s="7" t="s">
        <v>62</v>
      </c>
      <c r="F31" s="7" t="s">
        <v>17</v>
      </c>
      <c r="G31" s="15">
        <v>1000</v>
      </c>
      <c r="H31" s="5"/>
    </row>
    <row r="32" spans="1:8">
      <c r="A32" s="7" t="s">
        <v>11</v>
      </c>
      <c r="B32" s="7" t="s">
        <v>18</v>
      </c>
      <c r="C32" s="7" t="s">
        <v>33</v>
      </c>
      <c r="D32" s="7"/>
      <c r="E32" s="7" t="s">
        <v>63</v>
      </c>
      <c r="F32" s="7" t="s">
        <v>17</v>
      </c>
      <c r="G32" s="15">
        <v>80</v>
      </c>
      <c r="H32" s="5"/>
    </row>
    <row r="33" spans="1:8">
      <c r="A33" s="7" t="s">
        <v>11</v>
      </c>
      <c r="B33" s="7" t="s">
        <v>18</v>
      </c>
      <c r="C33" s="7"/>
      <c r="D33" s="7"/>
      <c r="E33" s="7" t="s">
        <v>64</v>
      </c>
      <c r="F33" s="7" t="s">
        <v>17</v>
      </c>
      <c r="G33" s="15">
        <v>5.5</v>
      </c>
      <c r="H33" s="5"/>
    </row>
    <row r="34" spans="1:8">
      <c r="A34" s="9" t="s">
        <v>17</v>
      </c>
      <c r="B34" s="9" t="s">
        <v>18</v>
      </c>
      <c r="C34" s="9"/>
      <c r="D34" s="9"/>
      <c r="E34" s="9" t="s">
        <v>65</v>
      </c>
      <c r="F34" s="9" t="s">
        <v>17</v>
      </c>
      <c r="G34" s="16" cm="1">
        <f t="array" ref="G34">IFERROR(INDEX('Emission Factors and Defaults'!E$15:E$244, MATCH(1, (G25='Emission Factors and Defaults'!A$15:A$244) * (G28='Emission Factors and Defaults'!B$15:B$244) * (G29='Emission Factors and Defaults'!C$15:C$244)* (G30='Emission Factors and Defaults'!D$15:D$244), 0)), "Not found")</f>
        <v>0.15</v>
      </c>
      <c r="H34" s="5"/>
    </row>
    <row r="35" spans="1:8">
      <c r="A35" s="9" t="s">
        <v>17</v>
      </c>
      <c r="B35" s="9" t="s">
        <v>18</v>
      </c>
      <c r="C35" s="9"/>
      <c r="D35" s="9"/>
      <c r="E35" s="9" t="s">
        <v>66</v>
      </c>
      <c r="F35" s="9" t="s">
        <v>17</v>
      </c>
      <c r="G35" s="37" cm="1">
        <f t="array" ref="G35">IFERROR(INDEX('Emission Factors and Defaults'!F$15:F$244, MATCH(1, (G25='Emission Factors and Defaults'!A$15:A$244) * (G28='Emission Factors and Defaults'!B$15:B$244) * (G29='Emission Factors and Defaults'!C$15:C$244)* (G30='Emission Factors and Defaults'!D$15:D$244), 0)), "Not found")</f>
        <v>0.5</v>
      </c>
      <c r="H35" s="5"/>
    </row>
    <row r="36" spans="1:8">
      <c r="A36" s="9" t="s">
        <v>17</v>
      </c>
      <c r="B36" s="9" t="s">
        <v>18</v>
      </c>
      <c r="C36" s="9"/>
      <c r="D36" s="9"/>
      <c r="E36" s="9" t="s">
        <v>67</v>
      </c>
      <c r="F36" s="9" t="s">
        <v>17</v>
      </c>
      <c r="G36" s="37" cm="1">
        <f t="array" ref="G36">IFERROR(INDEX('Emission Factors and Defaults'!G$15:G$244, MATCH(1, (G25='Emission Factors and Defaults'!A$15:A$244) * (G28='Emission Factors and Defaults'!B$15:B$244) * (G29='Emission Factors and Defaults'!C$15:C$244)* (G30='Emission Factors and Defaults'!D$15:D$244), 0)), "Not found")</f>
        <v>0.8</v>
      </c>
      <c r="H36" s="5"/>
    </row>
    <row r="37" spans="1:8">
      <c r="A37" s="9" t="s">
        <v>17</v>
      </c>
      <c r="B37" s="9" t="s">
        <v>18</v>
      </c>
      <c r="C37" s="9"/>
      <c r="D37" s="9"/>
      <c r="E37" s="9" t="s">
        <v>68</v>
      </c>
      <c r="F37" s="9" t="s">
        <v>17</v>
      </c>
      <c r="G37" s="37" cm="1">
        <f t="array" ref="G37">IFERROR(INDEX('Emission Factors and Defaults'!H$15:H$244, MATCH(1, (G25='Emission Factors and Defaults'!A$15:A$244) * (G28='Emission Factors and Defaults'!B$15:B$244) * (G29='Emission Factors and Defaults'!C$15:C$244)* (G30='Emission Factors and Defaults'!D$15:D$244), 0)), "Not found")</f>
        <v>0.185</v>
      </c>
      <c r="H37" s="5"/>
    </row>
    <row r="38" spans="1:8">
      <c r="A38" s="9" t="s">
        <v>17</v>
      </c>
      <c r="B38" s="9" t="s">
        <v>18</v>
      </c>
      <c r="C38" s="9"/>
      <c r="D38" s="9"/>
      <c r="E38" s="9" t="s">
        <v>69</v>
      </c>
      <c r="F38" s="9" t="s">
        <v>17</v>
      </c>
      <c r="G38" s="37" cm="1">
        <f t="array" ref="G38">IFERROR(INDEX('Emission Factors and Defaults'!I$15:I$244, MATCH(1, (G25='Emission Factors and Defaults'!A$15:A$244) * (G28='Emission Factors and Defaults'!B$15:B$244) * (G29='Emission Factors and Defaults'!C$15:C$244)* (G30='Emission Factors and Defaults'!D$15:D$244), 0)), "Not found")</f>
        <v>0.5</v>
      </c>
      <c r="H38" s="5"/>
    </row>
    <row r="39" spans="1:8">
      <c r="A39" s="9" t="s">
        <v>17</v>
      </c>
      <c r="B39" s="9" t="s">
        <v>18</v>
      </c>
      <c r="C39" s="9"/>
      <c r="D39" s="9"/>
      <c r="E39" s="9" t="s">
        <v>70</v>
      </c>
      <c r="F39" s="9" t="s">
        <v>17</v>
      </c>
      <c r="G39" s="37" cm="1">
        <f t="array" ref="G39">IFERROR(INDEX('Emission Factors and Defaults'!J$15:J$244, MATCH(1, (G25='Emission Factors and Defaults'!A$15:A$244) * (G28='Emission Factors and Defaults'!B$15:B$244) * (G29='Emission Factors and Defaults'!C$15:C$244)* (G30='Emission Factors and Defaults'!D$15:D$244), 0)), "Not found")</f>
        <v>0</v>
      </c>
      <c r="H39" s="5"/>
    </row>
    <row r="40" spans="1:8">
      <c r="A40" s="9" t="s">
        <v>17</v>
      </c>
      <c r="B40" s="9" t="s">
        <v>18</v>
      </c>
      <c r="C40" s="9"/>
      <c r="D40" s="9"/>
      <c r="E40" s="9" t="s">
        <v>71</v>
      </c>
      <c r="F40" s="9" t="s">
        <v>17</v>
      </c>
      <c r="G40" s="37">
        <f>G31*G34*G35*G36</f>
        <v>60</v>
      </c>
      <c r="H40" s="5"/>
    </row>
    <row r="41" spans="1:8">
      <c r="A41" s="9" t="s">
        <v>17</v>
      </c>
      <c r="B41" s="9" t="s">
        <v>18</v>
      </c>
      <c r="C41" s="9"/>
      <c r="D41" s="9"/>
      <c r="E41" s="9" t="s">
        <v>72</v>
      </c>
      <c r="F41" s="9" t="s">
        <v>17</v>
      </c>
      <c r="G41" s="37">
        <f>G40+(G32*EXP(-G37))</f>
        <v>126.48834270817005</v>
      </c>
      <c r="H41" s="5"/>
    </row>
    <row r="42" spans="1:8">
      <c r="A42" s="9" t="s">
        <v>17</v>
      </c>
      <c r="B42" s="9" t="s">
        <v>18</v>
      </c>
      <c r="C42" s="9"/>
      <c r="D42" s="9"/>
      <c r="E42" s="9" t="s">
        <v>73</v>
      </c>
      <c r="F42" s="9" t="s">
        <v>17</v>
      </c>
      <c r="G42" s="37">
        <f>G41*(1-EXP(-G37))</f>
        <v>21.363339226054141</v>
      </c>
      <c r="H42" s="5"/>
    </row>
    <row r="43" spans="1:8">
      <c r="A43" s="9" t="s">
        <v>17</v>
      </c>
      <c r="B43" s="9" t="s">
        <v>18</v>
      </c>
      <c r="C43" s="9"/>
      <c r="D43" s="9"/>
      <c r="E43" s="9" t="s">
        <v>74</v>
      </c>
      <c r="F43" s="9" t="s">
        <v>17</v>
      </c>
      <c r="G43" s="37">
        <f>G42*G38*1.336</f>
        <v>14.270710603004167</v>
      </c>
      <c r="H43" s="5"/>
    </row>
    <row r="44" spans="1:8">
      <c r="A44" s="9" t="s">
        <v>17</v>
      </c>
      <c r="B44" s="9" t="s">
        <v>18</v>
      </c>
      <c r="C44" s="9"/>
      <c r="D44" s="7" t="s">
        <v>75</v>
      </c>
      <c r="E44" s="9" t="s">
        <v>76</v>
      </c>
      <c r="F44" s="9" t="s">
        <v>17</v>
      </c>
      <c r="G44" s="37">
        <f>G33/G43</f>
        <v>0.38540477436646914</v>
      </c>
      <c r="H44" s="5"/>
    </row>
    <row r="45" spans="1:8">
      <c r="A45" s="9" t="s">
        <v>17</v>
      </c>
      <c r="B45" s="85" t="s">
        <v>18</v>
      </c>
      <c r="C45" s="9" t="s">
        <v>33</v>
      </c>
      <c r="D45" s="9"/>
      <c r="E45" s="9" t="s">
        <v>77</v>
      </c>
      <c r="F45" s="9" t="s">
        <v>17</v>
      </c>
      <c r="G45" s="18">
        <f>IFERROR(EXACT(G5,"Landfilling of solid waste")*(((G43-G33)*(1-G39)) * (G44&lt;=0.75) + (G33*(1/0.75)) * (G44&gt;0.75)),0)</f>
        <v>0</v>
      </c>
      <c r="H45" s="5"/>
    </row>
    <row r="46" spans="1:8">
      <c r="A46" s="9" t="s">
        <v>17</v>
      </c>
      <c r="B46" s="4" t="s">
        <v>18</v>
      </c>
      <c r="C46" s="4"/>
      <c r="D46" s="4"/>
      <c r="E46" s="4" t="s">
        <v>78</v>
      </c>
      <c r="F46" s="4" t="s">
        <v>17</v>
      </c>
      <c r="G46" s="91">
        <f>IFERROR((G45*'Emission Factors and Defaults'!B$280),0)</f>
        <v>0</v>
      </c>
      <c r="H46" s="5"/>
    </row>
    <row r="47" spans="1:8">
      <c r="A47" s="84" t="s">
        <v>17</v>
      </c>
      <c r="B47" s="86" t="s">
        <v>79</v>
      </c>
      <c r="C47" s="82"/>
      <c r="D47" s="82" t="b">
        <f>EXACT(G5,"Incineration")</f>
        <v>1</v>
      </c>
      <c r="E47" s="82" t="s">
        <v>80</v>
      </c>
      <c r="F47" s="82" t="s">
        <v>11</v>
      </c>
      <c r="G47" s="83"/>
      <c r="H47" s="5"/>
    </row>
    <row r="48" spans="1:8">
      <c r="A48" s="100" t="s">
        <v>11</v>
      </c>
      <c r="B48" s="101" t="s">
        <v>18</v>
      </c>
      <c r="C48" s="102"/>
      <c r="D48" s="103"/>
      <c r="E48" s="103" t="s">
        <v>25</v>
      </c>
      <c r="F48" s="103" t="s">
        <v>17</v>
      </c>
      <c r="G48" s="104">
        <v>2020</v>
      </c>
      <c r="H48" s="5"/>
    </row>
    <row r="49" spans="1:8" ht="16.5">
      <c r="A49" s="7" t="s">
        <v>81</v>
      </c>
      <c r="B49" s="7" t="s">
        <v>82</v>
      </c>
      <c r="C49" s="38" t="s">
        <v>83</v>
      </c>
      <c r="D49" s="7"/>
      <c r="E49" s="7" t="s">
        <v>45</v>
      </c>
      <c r="F49" s="7" t="s">
        <v>17</v>
      </c>
      <c r="G49" s="15" t="s">
        <v>84</v>
      </c>
      <c r="H49" s="5"/>
    </row>
    <row r="50" spans="1:8" ht="16.5">
      <c r="A50" s="7" t="s">
        <v>17</v>
      </c>
      <c r="B50" s="7" t="s">
        <v>12</v>
      </c>
      <c r="C50" s="38" t="s">
        <v>85</v>
      </c>
      <c r="D50" s="9" t="b">
        <f>EXACT(G49,"Solid Waste")</f>
        <v>1</v>
      </c>
      <c r="E50" s="7" t="s">
        <v>86</v>
      </c>
      <c r="F50" s="7" t="s">
        <v>17</v>
      </c>
      <c r="G50" s="15" t="s">
        <v>87</v>
      </c>
      <c r="H50" s="5"/>
    </row>
    <row r="51" spans="1:8" ht="33">
      <c r="A51" s="7" t="s">
        <v>17</v>
      </c>
      <c r="B51" s="7" t="s">
        <v>12</v>
      </c>
      <c r="C51" s="36" t="s">
        <v>88</v>
      </c>
      <c r="D51" s="9" t="b">
        <f>EXACT(G49,"Gaseous Waste")</f>
        <v>0</v>
      </c>
      <c r="E51" s="7" t="s">
        <v>89</v>
      </c>
      <c r="F51" s="7" t="s">
        <v>17</v>
      </c>
      <c r="G51" s="15" t="s">
        <v>90</v>
      </c>
      <c r="H51" s="5"/>
    </row>
    <row r="52" spans="1:8">
      <c r="A52" s="7" t="s">
        <v>17</v>
      </c>
      <c r="B52" s="7" t="s">
        <v>18</v>
      </c>
      <c r="C52" s="36"/>
      <c r="D52" s="9" t="s">
        <v>75</v>
      </c>
      <c r="E52" s="7" t="s">
        <v>91</v>
      </c>
      <c r="F52" s="7" t="s">
        <v>17</v>
      </c>
      <c r="G52" s="99">
        <f>EXACT(G50,"Industrial Waste") * EXACT(G49,"Solid Waste")</f>
        <v>1</v>
      </c>
      <c r="H52" s="5"/>
    </row>
    <row r="53" spans="1:8">
      <c r="A53" s="7" t="s">
        <v>17</v>
      </c>
      <c r="B53" s="7" t="s">
        <v>18</v>
      </c>
      <c r="C53" s="36"/>
      <c r="D53" s="9" t="s">
        <v>75</v>
      </c>
      <c r="E53" s="7" t="s">
        <v>92</v>
      </c>
      <c r="F53" s="7" t="s">
        <v>17</v>
      </c>
      <c r="G53" s="99">
        <f>EXACT(G50,"Household Waste") * EXACT(G49,"Solid Waste")</f>
        <v>0</v>
      </c>
      <c r="H53" s="5"/>
    </row>
    <row r="54" spans="1:8" ht="33">
      <c r="A54" s="7" t="s">
        <v>17</v>
      </c>
      <c r="B54" s="7" t="s">
        <v>82</v>
      </c>
      <c r="C54" s="36" t="s">
        <v>93</v>
      </c>
      <c r="D54" s="9" t="b">
        <f>EXACT(G53,1)</f>
        <v>0</v>
      </c>
      <c r="E54" s="7" t="s">
        <v>51</v>
      </c>
      <c r="F54" s="7" t="s">
        <v>94</v>
      </c>
      <c r="G54" s="15" t="s">
        <v>95</v>
      </c>
      <c r="H54" s="5"/>
    </row>
    <row r="55" spans="1:8" ht="18">
      <c r="A55" s="7" t="s">
        <v>17</v>
      </c>
      <c r="B55" s="7" t="s">
        <v>12</v>
      </c>
      <c r="C55" s="36" t="s">
        <v>96</v>
      </c>
      <c r="D55" s="9" t="b">
        <f>EXACT(G52,1)</f>
        <v>1</v>
      </c>
      <c r="E55" s="7" t="s">
        <v>48</v>
      </c>
      <c r="F55" s="7" t="s">
        <v>94</v>
      </c>
      <c r="G55" s="15" t="s">
        <v>97</v>
      </c>
      <c r="H55" s="5"/>
    </row>
    <row r="56" spans="1:8" ht="16.5">
      <c r="A56" s="7" t="s">
        <v>17</v>
      </c>
      <c r="B56" s="7" t="s">
        <v>18</v>
      </c>
      <c r="C56" s="36"/>
      <c r="D56" s="9" t="s">
        <v>75</v>
      </c>
      <c r="E56" s="7" t="s">
        <v>98</v>
      </c>
      <c r="F56" s="7" t="s">
        <v>17</v>
      </c>
      <c r="G56" s="15" t="str">
        <f>IF(G49="Gaseous Waste",G51,"")&amp;IF(G49="Solid Waste",G50,"")</f>
        <v>Industrial Waste</v>
      </c>
      <c r="H56" s="5"/>
    </row>
    <row r="57" spans="1:8" ht="16.5">
      <c r="A57" s="7" t="s">
        <v>17</v>
      </c>
      <c r="B57" s="7" t="s">
        <v>18</v>
      </c>
      <c r="C57" s="36"/>
      <c r="D57" s="9" t="s">
        <v>75</v>
      </c>
      <c r="E57" s="7" t="s">
        <v>99</v>
      </c>
      <c r="F57" s="7" t="s">
        <v>17</v>
      </c>
      <c r="G57" s="95" t="str">
        <f>IF(G52=1,G55,"")&amp; IF(G53=1,G54,"")</f>
        <v>Paper Waste</v>
      </c>
      <c r="H57" s="5"/>
    </row>
    <row r="58" spans="1:8">
      <c r="A58" s="7" t="s">
        <v>11</v>
      </c>
      <c r="B58" s="7" t="s">
        <v>18</v>
      </c>
      <c r="C58" s="8"/>
      <c r="D58" s="7"/>
      <c r="E58" s="7" t="s">
        <v>100</v>
      </c>
      <c r="F58" s="7" t="s">
        <v>17</v>
      </c>
      <c r="G58" s="15">
        <v>1000</v>
      </c>
      <c r="H58" s="5"/>
    </row>
    <row r="59" spans="1:8">
      <c r="A59" s="9" t="s">
        <v>94</v>
      </c>
      <c r="B59" s="9" t="s">
        <v>18</v>
      </c>
      <c r="C59" s="9"/>
      <c r="D59" s="9" t="b">
        <f>EXACT(G49,"Solid Waste")</f>
        <v>1</v>
      </c>
      <c r="E59" s="9" t="s">
        <v>101</v>
      </c>
      <c r="F59" s="9" t="s">
        <v>17</v>
      </c>
      <c r="G59" s="16" cm="1">
        <f t="array" ref="G59">IFERROR(INDEX('Emission Factors and Defaults'!D$251:D$272, MATCH(1, (G49='Emission Factors and Defaults'!A$251:A$272) * (G56='Emission Factors and Defaults'!B$251:B$272) * (G57='Emission Factors and Defaults'!C$251:C$272), 0)), 0)</f>
        <v>13.9</v>
      </c>
      <c r="H59" s="5"/>
    </row>
    <row r="60" spans="1:8">
      <c r="A60" s="9" t="s">
        <v>17</v>
      </c>
      <c r="B60" s="9" t="s">
        <v>18</v>
      </c>
      <c r="C60" s="9"/>
      <c r="D60" s="9" t="b">
        <f>EXACT(G49,"Solid Waste")</f>
        <v>1</v>
      </c>
      <c r="E60" s="9" t="s">
        <v>102</v>
      </c>
      <c r="F60" s="9" t="s">
        <v>17</v>
      </c>
      <c r="G60" s="37" cm="1">
        <f t="array" ref="G60">IFERROR(INDEX('Emission Factors and Defaults'!E$251:E$272, MATCH(1, (G49='Emission Factors and Defaults'!A$251:A$272) * (G56='Emission Factors and Defaults'!B$251:B$272) * (G57='Emission Factors and Defaults'!C$251:C$272), 0)), 0)</f>
        <v>129.69999999999999</v>
      </c>
      <c r="H60" s="5"/>
    </row>
    <row r="61" spans="1:8">
      <c r="A61" s="9" t="s">
        <v>17</v>
      </c>
      <c r="B61" s="9" t="s">
        <v>18</v>
      </c>
      <c r="C61" s="9"/>
      <c r="D61" s="9" t="b">
        <f>EXACT(G49,"Solid Waste")</f>
        <v>1</v>
      </c>
      <c r="E61" s="9" t="s">
        <v>103</v>
      </c>
      <c r="F61" s="9" t="s">
        <v>17</v>
      </c>
      <c r="G61" s="37" cm="1">
        <f t="array" ref="G61">IFERROR(INDEX('Emission Factors and Defaults'!F$251:F$272, MATCH(1, (G49='Emission Factors and Defaults'!A$251:A$272) * (G56='Emission Factors and Defaults'!B$251:B$272) * (G57='Emission Factors and Defaults'!C$251:C$272), 0)), 0)</f>
        <v>0.9</v>
      </c>
      <c r="H61" s="5"/>
    </row>
    <row r="62" spans="1:8">
      <c r="A62" s="9" t="s">
        <v>17</v>
      </c>
      <c r="B62" s="9" t="s">
        <v>18</v>
      </c>
      <c r="C62" s="9" t="s">
        <v>33</v>
      </c>
      <c r="D62" s="9" t="b">
        <f>EXACT(G49,"Solid Waste")</f>
        <v>1</v>
      </c>
      <c r="E62" s="9" t="s">
        <v>104</v>
      </c>
      <c r="F62" s="9" t="s">
        <v>17</v>
      </c>
      <c r="G62" s="18" cm="1">
        <f t="array" ref="G62">IFERROR(INDEX('Emission Factors and Defaults'!G$251:G$272, MATCH(1, (G49='Emission Factors and Defaults'!A$251:A$272) * (G56='Emission Factors and Defaults'!B$251:B$272) * (G57='Emission Factors and Defaults'!C$251:C$272), 0)), 0)</f>
        <v>0.41</v>
      </c>
      <c r="H62" s="5"/>
    </row>
    <row r="63" spans="1:8">
      <c r="A63" s="9" t="s">
        <v>17</v>
      </c>
      <c r="B63" s="9" t="s">
        <v>18</v>
      </c>
      <c r="C63" s="9" t="s">
        <v>33</v>
      </c>
      <c r="D63" s="9" t="b">
        <f>EXACT(G49,"Solid Waste")</f>
        <v>1</v>
      </c>
      <c r="E63" s="9" t="s">
        <v>105</v>
      </c>
      <c r="F63" s="9" t="s">
        <v>17</v>
      </c>
      <c r="G63" s="18" cm="1">
        <f t="array" ref="G63">IFERROR(INDEX('Emission Factors and Defaults'!H$251:H$275, MATCH(1, (G49='Emission Factors and Defaults'!A$251:A$275) * (G56='Emission Factors and Defaults'!B$251:B$275) * (G57='Emission Factors and Defaults'!C$251:C$275), 0)), 0)</f>
        <v>0.01</v>
      </c>
      <c r="H63" s="5"/>
    </row>
    <row r="64" spans="1:8">
      <c r="A64" s="9" t="s">
        <v>17</v>
      </c>
      <c r="B64" s="9" t="s">
        <v>18</v>
      </c>
      <c r="C64" s="9" t="s">
        <v>33</v>
      </c>
      <c r="D64" s="9" t="b">
        <f>EXACT(G49,"Solid Waste")</f>
        <v>1</v>
      </c>
      <c r="E64" s="9" t="s">
        <v>106</v>
      </c>
      <c r="F64" s="9" t="s">
        <v>17</v>
      </c>
      <c r="G64" s="18" cm="1">
        <f t="array" ref="G64">IFERROR(INDEX('Emission Factors and Defaults'!I$251:I$275, MATCH(1, (G49='Emission Factors and Defaults'!A$251:A$275) * (G56='Emission Factors and Defaults'!B$251:B$275) * (G57='Emission Factors and Defaults'!C$251:C$275), 0)), 0)</f>
        <v>1</v>
      </c>
      <c r="H64" s="5"/>
    </row>
    <row r="65" spans="1:8">
      <c r="A65" s="9" t="s">
        <v>17</v>
      </c>
      <c r="B65" s="9" t="s">
        <v>18</v>
      </c>
      <c r="C65" s="9"/>
      <c r="D65" s="9" t="b">
        <f>EXACT(G49,"Liquid Waste")</f>
        <v>0</v>
      </c>
      <c r="E65" s="9" t="s">
        <v>107</v>
      </c>
      <c r="F65" s="9" t="s">
        <v>17</v>
      </c>
      <c r="G65" s="18">
        <f>IF(G49="Liquid Waste", 0.8, 0)</f>
        <v>0</v>
      </c>
      <c r="H65" s="5"/>
    </row>
    <row r="66" spans="1:8">
      <c r="A66" s="9" t="s">
        <v>17</v>
      </c>
      <c r="B66" s="9" t="s">
        <v>18</v>
      </c>
      <c r="C66" s="9"/>
      <c r="D66" s="9" t="b">
        <f>EXACT(G49,"Liquid Waste")</f>
        <v>0</v>
      </c>
      <c r="E66" s="9" t="s">
        <v>108</v>
      </c>
      <c r="F66" s="9" t="s">
        <v>17</v>
      </c>
      <c r="G66" s="18">
        <f>IF(G49="Liquid Waste", 1, 0)</f>
        <v>0</v>
      </c>
      <c r="H66" s="5"/>
    </row>
    <row r="67" spans="1:8">
      <c r="A67" s="9" t="s">
        <v>17</v>
      </c>
      <c r="B67" s="9" t="s">
        <v>18</v>
      </c>
      <c r="C67" s="9"/>
      <c r="D67" s="9" t="b">
        <f>EXACT(G49,"Gaseous Waste")</f>
        <v>0</v>
      </c>
      <c r="E67" s="9" t="s">
        <v>109</v>
      </c>
      <c r="F67" s="9" t="s">
        <v>17</v>
      </c>
      <c r="G67" s="18" cm="1">
        <f t="array" ref="G67">IFERROR(INDEX('Emission Factors and Defaults'!D$274:D$275, MATCH(1, (G49='Emission Factors and Defaults'!A$274:A$275) * (G56='Emission Factors and Defaults'!B$274:B$275), 0)), 0)</f>
        <v>0</v>
      </c>
      <c r="H67" s="5"/>
    </row>
    <row r="68" spans="1:8">
      <c r="A68" s="9" t="s">
        <v>17</v>
      </c>
      <c r="B68" s="9" t="s">
        <v>18</v>
      </c>
      <c r="C68" s="9"/>
      <c r="D68" s="9" t="b">
        <f>EXACT(G49,"Gaseous Waste")</f>
        <v>0</v>
      </c>
      <c r="E68" s="9" t="s">
        <v>110</v>
      </c>
      <c r="F68" s="9" t="s">
        <v>17</v>
      </c>
      <c r="G68" s="18" cm="1">
        <f t="array" ref="G68">IFERROR(INDEX('Emission Factors and Defaults'!E$274:E$275, MATCH(1, (G49='Emission Factors and Defaults'!A$274:A$275) * (G56='Emission Factors and Defaults'!B$274:B$275), 0)),0)</f>
        <v>0</v>
      </c>
      <c r="H68" s="5"/>
    </row>
    <row r="69" spans="1:8">
      <c r="A69" s="9" t="s">
        <v>17</v>
      </c>
      <c r="B69" s="9" t="s">
        <v>18</v>
      </c>
      <c r="C69" s="9" t="s">
        <v>33</v>
      </c>
      <c r="D69" s="9" t="b">
        <f>EXACT(G49,"Gaseous Waste")</f>
        <v>0</v>
      </c>
      <c r="E69" s="9" t="s">
        <v>111</v>
      </c>
      <c r="F69" s="9" t="s">
        <v>17</v>
      </c>
      <c r="G69" s="18" cm="1">
        <f t="array" ref="G69">IFERROR(INDEX('Emission Factors and Defaults'!J$274:J$275, MATCH(1, (G49='Emission Factors and Defaults'!A$274:A$275) * (G56='Emission Factors and Defaults'!B$274:B$275), 0)), 0)</f>
        <v>0</v>
      </c>
      <c r="H69" s="5"/>
    </row>
    <row r="70" spans="1:8">
      <c r="A70" s="9" t="s">
        <v>94</v>
      </c>
      <c r="B70" s="9" t="s">
        <v>112</v>
      </c>
      <c r="C70" s="9" t="s">
        <v>33</v>
      </c>
      <c r="D70" s="9" t="b">
        <f>EXACT(G49,"Solid Waste")</f>
        <v>1</v>
      </c>
      <c r="E70" s="9" t="s">
        <v>113</v>
      </c>
      <c r="F70" s="9" t="s">
        <v>17</v>
      </c>
      <c r="G70" s="18">
        <f>IFERROR(EXACT(G49, "Solid Waste")*(G58*G59/1000000),0)</f>
        <v>1.3899999999999999E-2</v>
      </c>
      <c r="H70" s="5"/>
    </row>
    <row r="71" spans="1:8">
      <c r="A71" s="9" t="s">
        <v>17</v>
      </c>
      <c r="B71" s="9" t="s">
        <v>18</v>
      </c>
      <c r="C71" s="9" t="s">
        <v>33</v>
      </c>
      <c r="D71" s="9" t="b">
        <f>EXACT(G49,"Solid Waste")</f>
        <v>1</v>
      </c>
      <c r="E71" s="9" t="s">
        <v>114</v>
      </c>
      <c r="F71" s="9" t="s">
        <v>17</v>
      </c>
      <c r="G71" s="18">
        <f>IFERROR(EXACT(G49, "Solid Waste")*(G58*G60/1000000),0)</f>
        <v>0.12969999999999998</v>
      </c>
      <c r="H71" s="5"/>
    </row>
    <row r="72" spans="1:8">
      <c r="A72" s="9" t="s">
        <v>17</v>
      </c>
      <c r="B72" s="9" t="s">
        <v>18</v>
      </c>
      <c r="C72" s="9" t="s">
        <v>33</v>
      </c>
      <c r="D72" s="9" t="b">
        <f>EXACT(G49,"Solid Waste")</f>
        <v>1</v>
      </c>
      <c r="E72" s="9" t="s">
        <v>115</v>
      </c>
      <c r="F72" s="9" t="s">
        <v>17</v>
      </c>
      <c r="G72" s="18">
        <f>IFERROR(EXACT(G49, "Solid Waste")*(G58*G61*G62*G63*G64*3.664),0)</f>
        <v>13.520160000000001</v>
      </c>
      <c r="H72" s="5"/>
    </row>
    <row r="73" spans="1:8">
      <c r="A73" s="9" t="s">
        <v>17</v>
      </c>
      <c r="B73" s="9" t="s">
        <v>18</v>
      </c>
      <c r="C73" s="9"/>
      <c r="D73" s="9" t="b">
        <f>EXACT(G49,"Solid Waste")</f>
        <v>1</v>
      </c>
      <c r="E73" s="9" t="s">
        <v>116</v>
      </c>
      <c r="F73" s="9" t="s">
        <v>17</v>
      </c>
      <c r="G73" s="18">
        <f>G72+(G70*'Emission Factors and Defaults'!B$280)+(G71*'Emission Factors and Defaults'!B$281)</f>
        <v>54.019059999999996</v>
      </c>
      <c r="H73" s="5"/>
    </row>
    <row r="74" spans="1:8">
      <c r="A74" s="9" t="s">
        <v>17</v>
      </c>
      <c r="B74" s="9" t="s">
        <v>112</v>
      </c>
      <c r="C74" s="9" t="s">
        <v>33</v>
      </c>
      <c r="D74" s="9" t="b">
        <f>EXACT(G49,"Liquid Waste")</f>
        <v>0</v>
      </c>
      <c r="E74" s="9" t="s">
        <v>117</v>
      </c>
      <c r="F74" s="9" t="s">
        <v>17</v>
      </c>
      <c r="G74" s="18">
        <f>IFERROR(EXACT(G49, "Liquid Waste")*(G58*G65*G66*3.664),0)</f>
        <v>0</v>
      </c>
      <c r="H74" s="5"/>
    </row>
    <row r="75" spans="1:8">
      <c r="A75" s="9" t="s">
        <v>17</v>
      </c>
      <c r="B75" s="9" t="s">
        <v>18</v>
      </c>
      <c r="C75" s="9" t="s">
        <v>33</v>
      </c>
      <c r="D75" s="9" t="b">
        <f>EXACT(G49,"Liquid Waste")</f>
        <v>0</v>
      </c>
      <c r="E75" s="9" t="s">
        <v>118</v>
      </c>
      <c r="F75" s="9" t="s">
        <v>17</v>
      </c>
      <c r="G75" s="18">
        <f>G74</f>
        <v>0</v>
      </c>
      <c r="H75" s="5"/>
    </row>
    <row r="76" spans="1:8">
      <c r="A76" s="9" t="s">
        <v>17</v>
      </c>
      <c r="B76" s="9" t="s">
        <v>112</v>
      </c>
      <c r="C76" s="9" t="s">
        <v>33</v>
      </c>
      <c r="D76" s="9" t="b">
        <f>EXACT(G49,"Gaseous Waste")</f>
        <v>0</v>
      </c>
      <c r="E76" s="9" t="s">
        <v>119</v>
      </c>
      <c r="F76" s="9" t="s">
        <v>17</v>
      </c>
      <c r="G76" s="18">
        <f>IFERROR(EXACT(G49,"Gaseous Waste")*(G58*G67/1000000),0)</f>
        <v>0</v>
      </c>
      <c r="H76" s="5"/>
    </row>
    <row r="77" spans="1:8">
      <c r="A77" s="9" t="s">
        <v>17</v>
      </c>
      <c r="B77" s="9" t="s">
        <v>18</v>
      </c>
      <c r="C77" s="9" t="s">
        <v>33</v>
      </c>
      <c r="D77" s="9" t="b">
        <f>EXACT(G49,"Gaseous Waste")</f>
        <v>0</v>
      </c>
      <c r="E77" s="9" t="s">
        <v>120</v>
      </c>
      <c r="F77" s="9" t="s">
        <v>17</v>
      </c>
      <c r="G77" s="18">
        <f>IFERROR(EXACT(G49,"Gaseous Waste")*(G58*G68/1000000),0)</f>
        <v>0</v>
      </c>
      <c r="H77" s="5"/>
    </row>
    <row r="78" spans="1:8">
      <c r="A78" s="9" t="s">
        <v>17</v>
      </c>
      <c r="B78" s="9" t="s">
        <v>18</v>
      </c>
      <c r="C78" s="9" t="s">
        <v>33</v>
      </c>
      <c r="D78" s="9" t="b">
        <f>EXACT(G49,"Gaseous Waste")</f>
        <v>0</v>
      </c>
      <c r="E78" s="9" t="s">
        <v>121</v>
      </c>
      <c r="F78" s="9" t="s">
        <v>17</v>
      </c>
      <c r="G78" s="18">
        <f>IFERROR(EXACT(G49,"Gaseous Waste")*(G58*G69),0)</f>
        <v>0</v>
      </c>
      <c r="H78" s="5"/>
    </row>
    <row r="79" spans="1:8">
      <c r="A79" s="9" t="s">
        <v>17</v>
      </c>
      <c r="B79" s="9" t="s">
        <v>18</v>
      </c>
      <c r="C79" s="9" t="s">
        <v>33</v>
      </c>
      <c r="D79" s="9" t="b">
        <f>EXACT(G49,"Gaseous Waste")</f>
        <v>0</v>
      </c>
      <c r="E79" s="9" t="s">
        <v>122</v>
      </c>
      <c r="F79" s="9" t="s">
        <v>17</v>
      </c>
      <c r="G79" s="18">
        <f>G78+(G76*'Emission Factors and Defaults'!B$280)+(G77*'Emission Factors and Defaults'!B$281)</f>
        <v>0</v>
      </c>
      <c r="H79" s="5"/>
    </row>
    <row r="80" spans="1:8">
      <c r="A80" s="9" t="s">
        <v>17</v>
      </c>
      <c r="B80" s="9" t="s">
        <v>18</v>
      </c>
      <c r="C80" s="9" t="s">
        <v>33</v>
      </c>
      <c r="D80" s="9"/>
      <c r="E80" s="9" t="s">
        <v>123</v>
      </c>
      <c r="F80" s="9" t="s">
        <v>17</v>
      </c>
      <c r="G80" s="18">
        <f>IFERROR(EXACT(G5,"Incineration")*SUM(G72,G74,G78),0)</f>
        <v>13.520160000000001</v>
      </c>
      <c r="H80" s="5"/>
    </row>
    <row r="81" spans="1:8">
      <c r="A81" s="9" t="s">
        <v>17</v>
      </c>
      <c r="B81" s="9" t="s">
        <v>18</v>
      </c>
      <c r="C81" s="9" t="s">
        <v>33</v>
      </c>
      <c r="D81" s="9"/>
      <c r="E81" s="9" t="s">
        <v>124</v>
      </c>
      <c r="F81" s="9" t="s">
        <v>17</v>
      </c>
      <c r="G81" s="18">
        <f>IFERROR(EXACT(G5,"Incineration")*SUM(G70,G76),0)</f>
        <v>1.3899999999999999E-2</v>
      </c>
      <c r="H81" s="5"/>
    </row>
    <row r="82" spans="1:8">
      <c r="A82" s="9" t="s">
        <v>17</v>
      </c>
      <c r="B82" s="9" t="s">
        <v>18</v>
      </c>
      <c r="C82" s="9" t="s">
        <v>33</v>
      </c>
      <c r="D82" s="9"/>
      <c r="E82" s="9" t="s">
        <v>125</v>
      </c>
      <c r="F82" s="9" t="s">
        <v>17</v>
      </c>
      <c r="G82" s="18">
        <f>IFERROR(EXACT(G5,"Incineration")*SUM(G71,G77),0)</f>
        <v>0.12969999999999998</v>
      </c>
      <c r="H82" s="5"/>
    </row>
    <row r="83" spans="1:8">
      <c r="A83" s="9" t="s">
        <v>17</v>
      </c>
      <c r="B83" s="9" t="s">
        <v>18</v>
      </c>
      <c r="C83" s="9" t="s">
        <v>33</v>
      </c>
      <c r="D83" s="9"/>
      <c r="E83" s="9" t="s">
        <v>126</v>
      </c>
      <c r="F83" s="9" t="s">
        <v>17</v>
      </c>
      <c r="G83" s="18">
        <f>IFERROR(EXACT(G5,"Incineration")*SUM(G73,G75,G79),0)</f>
        <v>54.019059999999996</v>
      </c>
      <c r="H83" s="5"/>
    </row>
  </sheetData>
  <mergeCells count="3">
    <mergeCell ref="A1:G1"/>
    <mergeCell ref="B2:G2"/>
    <mergeCell ref="B3:G3"/>
  </mergeCells>
  <phoneticPr fontId="8" type="noConversion"/>
  <dataValidations count="2">
    <dataValidation type="list" allowBlank="1" showInputMessage="1" showErrorMessage="1" sqref="B3:G3" xr:uid="{40106AE4-AD27-4E23-A7D8-D218553B574E}">
      <formula1>"Verifiable Credentials,Encrypted Verifiable Credential,Sub-Schema"</formula1>
    </dataValidation>
    <dataValidation allowBlank="1" sqref="G14 G31 G56:G58 G28 G48 G24 G11 G52:G53" xr:uid="{276E3695-2459-4981-B7F3-FBADE5527ADB}"/>
  </dataValidations>
  <hyperlinks>
    <hyperlink ref="B10" location="'Biological Treatment (By Treat)'!A1" display="Biological Treatment (By Treat)" xr:uid="{8415CD5E-C128-4E7B-B739-299250BCB36E}"/>
    <hyperlink ref="C5" location="'Disposal Type (enum)'!A1" display="Business Type (enum)" xr:uid="{8F608EC9-0D1F-4001-8145-D2A31A68AED3}"/>
    <hyperlink ref="C12" location="'Bio Treat Type (enum)'!A1" display="Bio Treat Type" xr:uid="{E61E9A03-3DE6-46C8-92A6-9B058E424C64}"/>
    <hyperlink ref="C13" location="'Bio Waste basis (enum)'!A1" display="Bio Waste basis" xr:uid="{A7CAC72A-80F6-440C-A3F6-A7B9169EFBA4}"/>
    <hyperlink ref="B23" location="'Landfilling waste (By Waste)'!A1" display="Landfilling waste (By Waste)" xr:uid="{F9B8297F-FA87-42EE-A647-A0A5BD3E8E07}"/>
    <hyperlink ref="C25" location="'Landfilling Waste Type (enum)'!A1" display="Landfilling Waste Type (enum)" xr:uid="{CB06837E-09F6-43FD-81A6-343ACDC55BC8}"/>
    <hyperlink ref="C26" location="'Landfilling IWaste type2 (enum)'!A1" display="Landfilling IWaste type2 (enum)" xr:uid="{EF4F0DA6-C229-4A24-805E-F471E08FC9E2}"/>
    <hyperlink ref="C27" location="'Landfilling HWaste type2 (enum)'!A1" display="Landfilling HWaste type2 (enum)" xr:uid="{CE002107-7243-428D-8EF9-B7EA246B7155}"/>
    <hyperlink ref="C29" location="'Landfilling facility (enum)'!A1" display="Landfilling facility (enum)" xr:uid="{6BEB631F-6745-4C1E-860F-4773F1251B8B}"/>
    <hyperlink ref="C30" location="'Landfilling facility 2 (enum)'!A1" display="Landfilling facility 2 (enum)" xr:uid="{53D76603-ED35-4886-93C7-6BA6226B026E}"/>
    <hyperlink ref="B47" location="'Incineration (By Waste)'!A1" display="Incineration (By Waste)" xr:uid="{40117A0A-0354-304F-96CD-76438EEF44C0}"/>
    <hyperlink ref="C49" location="'Inc Waste Type (enum)'!A1" display="Waste Type" xr:uid="{58D00F3D-4F0E-4432-9FF1-D29155566762}"/>
    <hyperlink ref="C50" location="'Inc Waste Sub Type (enum)'!A1" display="Sub Waste Type" xr:uid="{311C09FC-31C7-4D55-B7F2-DD0615FD7567}"/>
    <hyperlink ref="C51" location="'Inc waste type Gas (enum)'!A1" display="Inc waste type gas (enum)" xr:uid="{006F9512-B72B-4B89-BF8B-B32184AC8EF8}"/>
    <hyperlink ref="C54" location="'Landfilling HWaste type2 (enum)'!A1" display="Sub Waste Type 2" xr:uid="{48987925-E6AB-4E4A-BD99-988EE1574880}"/>
    <hyperlink ref="C55" location="'Landfilling IWaste type2 (enum)'!A1" display="Sub Waste Type 2" xr:uid="{722EEA70-9B02-4216-B0EE-F99C6577FAB8}"/>
  </hyperlinks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83A20B7-37F2-4540-B49B-03D576564697}">
          <x14:formula1>
            <xm:f>'Disposal Type (enum)'!$A$3:$A$5</xm:f>
          </x14:formula1>
          <xm:sqref>G5</xm:sqref>
        </x14:dataValidation>
        <x14:dataValidation type="list" allowBlank="1" xr:uid="{45CDB8AB-F54C-4F72-80BF-3385976696D5}">
          <x14:formula1>
            <xm:f>'Bio Waste basis (enum)'!$A$3:$A$4</xm:f>
          </x14:formula1>
          <xm:sqref>G13</xm:sqref>
        </x14:dataValidation>
        <x14:dataValidation type="list" allowBlank="1" xr:uid="{036E546F-FD0A-4F34-8B5E-E5C1B1F78B12}">
          <x14:formula1>
            <xm:f>'Bio Treat Type (enum)'!$A$3:$A$4</xm:f>
          </x14:formula1>
          <xm:sqref>G12</xm:sqref>
        </x14:dataValidation>
        <x14:dataValidation type="list" allowBlank="1" xr:uid="{1C4B5E3F-F980-448F-B647-C3DAAD1035F4}">
          <x14:formula1>
            <xm:f>'Landfilling facility (enum)'!$A$3:$A$7</xm:f>
          </x14:formula1>
          <xm:sqref>G29</xm:sqref>
        </x14:dataValidation>
        <x14:dataValidation type="list" allowBlank="1" xr:uid="{E6FE64B5-C926-4884-8134-4180D3BF8B0A}">
          <x14:formula1>
            <xm:f>'Landfilling HWaste type2 (enum)'!$A$3:$A$14</xm:f>
          </x14:formula1>
          <xm:sqref>G27</xm:sqref>
        </x14:dataValidation>
        <x14:dataValidation type="list" allowBlank="1" xr:uid="{8F1EFCB4-2CB3-4BED-992D-5D903EB13B37}">
          <x14:formula1>
            <xm:f>'Landfilling IWaste type2 (enum)'!$A$3:$A$14</xm:f>
          </x14:formula1>
          <xm:sqref>G26</xm:sqref>
        </x14:dataValidation>
        <x14:dataValidation type="list" allowBlank="1" xr:uid="{EBB9BB62-780C-4F51-8225-7F37ADE3B27C}">
          <x14:formula1>
            <xm:f>'Landfilling Waste Type (enum)'!$A$3:$A$4</xm:f>
          </x14:formula1>
          <xm:sqref>G25</xm:sqref>
        </x14:dataValidation>
        <x14:dataValidation type="list" allowBlank="1" xr:uid="{57A7118D-9370-4A95-BA98-9385BCDB8253}">
          <x14:formula1>
            <xm:f>'Landfilling facility 2 (enum)'!$A$3:$A$4</xm:f>
          </x14:formula1>
          <xm:sqref>G30</xm:sqref>
        </x14:dataValidation>
        <x14:dataValidation type="list" allowBlank="1" xr:uid="{50AC217D-BC60-403A-B839-068BEC210990}">
          <x14:formula1>
            <xm:f>'Landfilling IWaste type2 (enum)'!$A$4:$A$15</xm:f>
          </x14:formula1>
          <xm:sqref>G55</xm:sqref>
        </x14:dataValidation>
        <x14:dataValidation type="list" allowBlank="1" xr:uid="{A494861C-A71D-4938-8766-33AD09EAC1D3}">
          <x14:formula1>
            <xm:f>'Landfilling HWaste type2 (enum)'!$A$4:$A$12</xm:f>
          </x14:formula1>
          <xm:sqref>G54</xm:sqref>
        </x14:dataValidation>
        <x14:dataValidation type="list" allowBlank="1" xr:uid="{2D6118B5-2D71-49E1-892A-05FEA09D953F}">
          <x14:formula1>
            <xm:f>'Inc Waste Sub Type (enum)'!$A$3:$A$4</xm:f>
          </x14:formula1>
          <xm:sqref>G50</xm:sqref>
        </x14:dataValidation>
        <x14:dataValidation type="list" allowBlank="1" xr:uid="{E23D5758-9093-411D-8588-D263D8575DF5}">
          <x14:formula1>
            <xm:f>'Inc Waste Type (enum)'!$A$3:$A$5</xm:f>
          </x14:formula1>
          <xm:sqref>G49</xm:sqref>
        </x14:dataValidation>
        <x14:dataValidation type="list" allowBlank="1" xr:uid="{7D4072C6-905D-4A68-AEB2-C4FF9962EDD5}">
          <x14:formula1>
            <xm:f>'Inc waste type Gas (enum)'!$A$3:$A$4</xm:f>
          </x14:formula1>
          <xm:sqref>G51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D1C3-CB5D-4FDC-BCDA-4747FCC1CCB9}">
  <dimension ref="A1:J281"/>
  <sheetViews>
    <sheetView topLeftCell="A250" workbookViewId="0">
      <selection activeCell="J251" sqref="J251"/>
    </sheetView>
  </sheetViews>
  <sheetFormatPr defaultColWidth="8.875" defaultRowHeight="16.5" customHeight="1"/>
  <cols>
    <col min="1" max="1" width="25.625" customWidth="1"/>
    <col min="2" max="2" width="34.625" customWidth="1"/>
    <col min="3" max="3" width="30.875" customWidth="1"/>
    <col min="4" max="4" width="22.625" customWidth="1"/>
    <col min="5" max="5" width="19" bestFit="1" customWidth="1"/>
    <col min="6" max="10" width="19" customWidth="1"/>
    <col min="11" max="11" width="18" bestFit="1" customWidth="1"/>
    <col min="12" max="12" width="13.375" bestFit="1" customWidth="1"/>
    <col min="13" max="13" width="17.125" bestFit="1" customWidth="1"/>
    <col min="14" max="14" width="8.875" bestFit="1" customWidth="1"/>
    <col min="15" max="15" width="19.5" bestFit="1" customWidth="1"/>
    <col min="16" max="16" width="8.875" bestFit="1" customWidth="1"/>
    <col min="18" max="18" width="20.125" bestFit="1" customWidth="1"/>
    <col min="19" max="20" width="21.625" bestFit="1" customWidth="1"/>
    <col min="21" max="21" width="8.875" bestFit="1" customWidth="1"/>
  </cols>
  <sheetData>
    <row r="1" spans="1:10" ht="20.100000000000001">
      <c r="A1" s="109" t="s">
        <v>127</v>
      </c>
      <c r="B1" s="109"/>
      <c r="C1" s="109"/>
    </row>
    <row r="2" spans="1:10" s="5" customFormat="1" ht="35.1">
      <c r="A2" s="106"/>
      <c r="B2" s="27" t="s">
        <v>128</v>
      </c>
      <c r="C2" s="28" t="s">
        <v>129</v>
      </c>
      <c r="D2" s="29" t="s">
        <v>130</v>
      </c>
    </row>
    <row r="3" spans="1:10" ht="17.100000000000001">
      <c r="A3" s="111" t="s">
        <v>131</v>
      </c>
      <c r="B3" s="30" t="s">
        <v>28</v>
      </c>
      <c r="C3" s="31" t="s">
        <v>31</v>
      </c>
      <c r="D3" s="32">
        <v>10</v>
      </c>
    </row>
    <row r="4" spans="1:10" ht="17.100000000000001">
      <c r="A4" s="111"/>
      <c r="B4" s="30" t="s">
        <v>28</v>
      </c>
      <c r="C4" s="31" t="s">
        <v>132</v>
      </c>
      <c r="D4" s="32">
        <v>4</v>
      </c>
    </row>
    <row r="5" spans="1:10" ht="17.100000000000001">
      <c r="A5" s="112"/>
      <c r="B5" s="30" t="s">
        <v>133</v>
      </c>
      <c r="C5" s="31" t="s">
        <v>31</v>
      </c>
      <c r="D5" s="32">
        <v>2</v>
      </c>
    </row>
    <row r="6" spans="1:10" ht="17.100000000000001">
      <c r="A6" s="33"/>
      <c r="B6" s="30" t="s">
        <v>133</v>
      </c>
      <c r="C6" s="31" t="s">
        <v>132</v>
      </c>
      <c r="D6" s="32">
        <v>1</v>
      </c>
    </row>
    <row r="7" spans="1:10" s="6" customFormat="1" ht="35.1">
      <c r="A7" s="113" t="s">
        <v>134</v>
      </c>
      <c r="B7" s="27" t="s">
        <v>128</v>
      </c>
      <c r="C7" s="28" t="s">
        <v>129</v>
      </c>
      <c r="D7" s="29" t="s">
        <v>135</v>
      </c>
    </row>
    <row r="8" spans="1:10" ht="17.100000000000001">
      <c r="A8" s="114"/>
      <c r="B8" s="30" t="s">
        <v>28</v>
      </c>
      <c r="C8" s="31" t="s">
        <v>31</v>
      </c>
      <c r="D8" s="32">
        <v>0.6</v>
      </c>
    </row>
    <row r="9" spans="1:10" ht="17.100000000000001">
      <c r="A9" s="114"/>
      <c r="B9" s="30" t="s">
        <v>28</v>
      </c>
      <c r="C9" s="31" t="s">
        <v>132</v>
      </c>
      <c r="D9" s="32">
        <v>0.3</v>
      </c>
    </row>
    <row r="10" spans="1:10" ht="17.100000000000001">
      <c r="A10" s="114"/>
      <c r="B10" s="30" t="s">
        <v>133</v>
      </c>
      <c r="C10" s="31" t="s">
        <v>31</v>
      </c>
      <c r="D10" s="32">
        <v>0</v>
      </c>
    </row>
    <row r="11" spans="1:10" ht="17.100000000000001">
      <c r="A11" s="114"/>
      <c r="B11" s="30" t="s">
        <v>133</v>
      </c>
      <c r="C11" s="31" t="s">
        <v>132</v>
      </c>
      <c r="D11" s="32">
        <v>0</v>
      </c>
      <c r="G11" t="str" cm="1">
        <f t="array" ref="G11">IFERROR(INDEX('Emission Factors and Defaults'!D251:D275, MATCH(1, (G5='Emission Factors and Defaults'!A251:A275) * (G6='Emission Factors and Defaults'!B75:B251) * (G8='Emission Factors and Defaults'!C251:C275), 0)), "Not found")</f>
        <v>Not found</v>
      </c>
    </row>
    <row r="12" spans="1:10" s="12" customFormat="1" ht="17.100000000000001"/>
    <row r="13" spans="1:10" ht="20.100000000000001">
      <c r="A13" s="109" t="s">
        <v>136</v>
      </c>
      <c r="B13" s="109"/>
      <c r="C13" s="109"/>
    </row>
    <row r="14" spans="1:10" ht="69.75" customHeight="1">
      <c r="A14" s="60" t="s">
        <v>137</v>
      </c>
      <c r="B14" s="61" t="s">
        <v>138</v>
      </c>
      <c r="C14" s="61" t="s">
        <v>57</v>
      </c>
      <c r="D14" s="63" t="s">
        <v>139</v>
      </c>
      <c r="E14" s="61" t="s">
        <v>140</v>
      </c>
      <c r="F14" s="61" t="s">
        <v>141</v>
      </c>
      <c r="G14" s="61" t="s">
        <v>142</v>
      </c>
      <c r="H14" s="61" t="s">
        <v>143</v>
      </c>
      <c r="I14" s="61" t="s">
        <v>144</v>
      </c>
      <c r="J14" s="61" t="s">
        <v>145</v>
      </c>
    </row>
    <row r="15" spans="1:10" ht="18" customHeight="1">
      <c r="A15" s="55" t="s">
        <v>46</v>
      </c>
      <c r="B15" s="54" t="s">
        <v>146</v>
      </c>
      <c r="C15" s="55" t="s">
        <v>147</v>
      </c>
      <c r="D15" s="51" t="s">
        <v>148</v>
      </c>
      <c r="E15" s="62">
        <v>0.14000000000000001</v>
      </c>
      <c r="F15" s="52">
        <v>0.5</v>
      </c>
      <c r="G15" s="52">
        <v>1</v>
      </c>
      <c r="H15" s="52">
        <v>0.09</v>
      </c>
      <c r="I15" s="52">
        <v>0.5</v>
      </c>
      <c r="J15" s="52">
        <v>0.1</v>
      </c>
    </row>
    <row r="16" spans="1:10" ht="34.5" customHeight="1">
      <c r="A16" s="55" t="s">
        <v>46</v>
      </c>
      <c r="B16" s="54" t="s">
        <v>146</v>
      </c>
      <c r="C16" s="55" t="s">
        <v>147</v>
      </c>
      <c r="D16" s="51" t="s">
        <v>61</v>
      </c>
      <c r="E16" s="49">
        <v>0.14000000000000001</v>
      </c>
      <c r="F16" s="52">
        <v>0.5</v>
      </c>
      <c r="G16" s="52">
        <v>1</v>
      </c>
      <c r="H16" s="52">
        <v>0.09</v>
      </c>
      <c r="I16" s="52">
        <v>0.5</v>
      </c>
      <c r="J16" s="52">
        <v>0</v>
      </c>
    </row>
    <row r="17" spans="1:10" ht="18" customHeight="1">
      <c r="A17" s="55" t="s">
        <v>46</v>
      </c>
      <c r="B17" s="54" t="s">
        <v>146</v>
      </c>
      <c r="C17" s="55" t="s">
        <v>149</v>
      </c>
      <c r="D17" s="51" t="s">
        <v>148</v>
      </c>
      <c r="E17" s="49">
        <v>0.14000000000000001</v>
      </c>
      <c r="F17" s="52">
        <v>0.5</v>
      </c>
      <c r="G17" s="52">
        <v>0.5</v>
      </c>
      <c r="H17" s="52">
        <v>0.09</v>
      </c>
      <c r="I17" s="52">
        <v>0.5</v>
      </c>
      <c r="J17" s="52">
        <v>0.1</v>
      </c>
    </row>
    <row r="18" spans="1:10" s="6" customFormat="1" ht="34.5" customHeight="1">
      <c r="A18" s="55" t="s">
        <v>46</v>
      </c>
      <c r="B18" s="54" t="s">
        <v>146</v>
      </c>
      <c r="C18" s="55" t="s">
        <v>149</v>
      </c>
      <c r="D18" s="51" t="s">
        <v>61</v>
      </c>
      <c r="E18" s="49">
        <v>0.14000000000000001</v>
      </c>
      <c r="F18" s="52">
        <v>0.5</v>
      </c>
      <c r="G18" s="52">
        <v>0.5</v>
      </c>
      <c r="H18" s="52">
        <v>0.09</v>
      </c>
      <c r="I18" s="52">
        <v>0.5</v>
      </c>
      <c r="J18" s="52">
        <v>0</v>
      </c>
    </row>
    <row r="19" spans="1:10" ht="18" customHeight="1">
      <c r="A19" s="55" t="s">
        <v>46</v>
      </c>
      <c r="B19" s="54" t="s">
        <v>146</v>
      </c>
      <c r="C19" s="55" t="s">
        <v>58</v>
      </c>
      <c r="D19" s="51" t="s">
        <v>148</v>
      </c>
      <c r="E19" s="49">
        <v>0.14000000000000001</v>
      </c>
      <c r="F19" s="52">
        <v>0.5</v>
      </c>
      <c r="G19" s="52">
        <v>0.8</v>
      </c>
      <c r="H19" s="52">
        <v>0.09</v>
      </c>
      <c r="I19" s="52">
        <v>0.5</v>
      </c>
      <c r="J19" s="52">
        <v>0.1</v>
      </c>
    </row>
    <row r="20" spans="1:10" ht="34.5" customHeight="1">
      <c r="A20" s="55" t="s">
        <v>46</v>
      </c>
      <c r="B20" s="54" t="s">
        <v>146</v>
      </c>
      <c r="C20" s="55" t="s">
        <v>58</v>
      </c>
      <c r="D20" s="51" t="s">
        <v>61</v>
      </c>
      <c r="E20" s="49">
        <v>0.14000000000000001</v>
      </c>
      <c r="F20" s="52">
        <v>0.5</v>
      </c>
      <c r="G20" s="52">
        <v>0.8</v>
      </c>
      <c r="H20" s="52">
        <v>0.09</v>
      </c>
      <c r="I20" s="52">
        <v>0.5</v>
      </c>
      <c r="J20" s="52">
        <v>0</v>
      </c>
    </row>
    <row r="21" spans="1:10" ht="18" customHeight="1">
      <c r="A21" s="55" t="s">
        <v>46</v>
      </c>
      <c r="B21" s="54" t="s">
        <v>146</v>
      </c>
      <c r="C21" s="55" t="s">
        <v>150</v>
      </c>
      <c r="D21" s="51" t="s">
        <v>148</v>
      </c>
      <c r="E21" s="49">
        <v>0.14000000000000001</v>
      </c>
      <c r="F21" s="52">
        <v>0.5</v>
      </c>
      <c r="G21" s="52">
        <v>0.4</v>
      </c>
      <c r="H21" s="52">
        <v>0.09</v>
      </c>
      <c r="I21" s="52">
        <v>0.5</v>
      </c>
      <c r="J21" s="52">
        <v>0.1</v>
      </c>
    </row>
    <row r="22" spans="1:10" ht="18" customHeight="1">
      <c r="A22" s="55" t="s">
        <v>46</v>
      </c>
      <c r="B22" s="54" t="s">
        <v>146</v>
      </c>
      <c r="C22" s="55" t="s">
        <v>150</v>
      </c>
      <c r="D22" s="51" t="s">
        <v>61</v>
      </c>
      <c r="E22" s="49">
        <v>0.14000000000000001</v>
      </c>
      <c r="F22" s="52">
        <v>0.5</v>
      </c>
      <c r="G22" s="52">
        <v>0.4</v>
      </c>
      <c r="H22" s="52">
        <v>0.09</v>
      </c>
      <c r="I22" s="52">
        <v>0.5</v>
      </c>
      <c r="J22" s="52">
        <v>0</v>
      </c>
    </row>
    <row r="23" spans="1:10" ht="18" customHeight="1">
      <c r="A23" s="55" t="s">
        <v>46</v>
      </c>
      <c r="B23" s="54" t="s">
        <v>146</v>
      </c>
      <c r="C23" s="55" t="s">
        <v>61</v>
      </c>
      <c r="D23" s="51" t="s">
        <v>148</v>
      </c>
      <c r="E23" s="49">
        <v>0.14000000000000001</v>
      </c>
      <c r="F23" s="52">
        <v>0.5</v>
      </c>
      <c r="G23" s="52">
        <v>0.6</v>
      </c>
      <c r="H23" s="52">
        <v>0.09</v>
      </c>
      <c r="I23" s="52">
        <v>0.5</v>
      </c>
      <c r="J23" s="52">
        <v>0.1</v>
      </c>
    </row>
    <row r="24" spans="1:10" ht="34.5" customHeight="1">
      <c r="A24" s="55" t="s">
        <v>46</v>
      </c>
      <c r="B24" s="54" t="s">
        <v>146</v>
      </c>
      <c r="C24" s="55" t="s">
        <v>61</v>
      </c>
      <c r="D24" s="51" t="s">
        <v>61</v>
      </c>
      <c r="E24" s="49">
        <v>0.14000000000000001</v>
      </c>
      <c r="F24" s="52">
        <v>0.5</v>
      </c>
      <c r="G24" s="52">
        <v>0.6</v>
      </c>
      <c r="H24" s="52">
        <v>0.09</v>
      </c>
      <c r="I24" s="52">
        <v>0.5</v>
      </c>
      <c r="J24" s="52">
        <v>0</v>
      </c>
    </row>
    <row r="25" spans="1:10" ht="18" customHeight="1">
      <c r="A25" s="55" t="s">
        <v>46</v>
      </c>
      <c r="B25" s="57" t="s">
        <v>151</v>
      </c>
      <c r="C25" s="55" t="s">
        <v>147</v>
      </c>
      <c r="D25" s="51" t="s">
        <v>148</v>
      </c>
      <c r="E25" s="49">
        <v>0.4</v>
      </c>
      <c r="F25" s="52">
        <v>0.5</v>
      </c>
      <c r="G25" s="52">
        <v>1</v>
      </c>
      <c r="H25" s="52">
        <v>0.06</v>
      </c>
      <c r="I25" s="52">
        <v>0.5</v>
      </c>
      <c r="J25" s="52">
        <v>0.1</v>
      </c>
    </row>
    <row r="26" spans="1:10" ht="34.5" customHeight="1">
      <c r="A26" s="55" t="s">
        <v>46</v>
      </c>
      <c r="B26" s="57" t="s">
        <v>151</v>
      </c>
      <c r="C26" s="55" t="s">
        <v>147</v>
      </c>
      <c r="D26" s="51" t="s">
        <v>61</v>
      </c>
      <c r="E26" s="49">
        <v>0.4</v>
      </c>
      <c r="F26" s="52">
        <v>0.5</v>
      </c>
      <c r="G26" s="52">
        <v>1</v>
      </c>
      <c r="H26" s="52">
        <v>0.06</v>
      </c>
      <c r="I26" s="52">
        <v>0.5</v>
      </c>
      <c r="J26" s="52">
        <v>0</v>
      </c>
    </row>
    <row r="27" spans="1:10" ht="18" customHeight="1">
      <c r="A27" s="55" t="s">
        <v>46</v>
      </c>
      <c r="B27" s="57" t="s">
        <v>151</v>
      </c>
      <c r="C27" s="55" t="s">
        <v>149</v>
      </c>
      <c r="D27" s="51" t="s">
        <v>148</v>
      </c>
      <c r="E27" s="49">
        <v>0.4</v>
      </c>
      <c r="F27" s="52">
        <v>0.5</v>
      </c>
      <c r="G27" s="52">
        <v>0.5</v>
      </c>
      <c r="H27" s="52">
        <v>0.06</v>
      </c>
      <c r="I27" s="52">
        <v>0.5</v>
      </c>
      <c r="J27" s="52">
        <v>0.1</v>
      </c>
    </row>
    <row r="28" spans="1:10" ht="34.5" customHeight="1">
      <c r="A28" s="55" t="s">
        <v>46</v>
      </c>
      <c r="B28" s="57" t="s">
        <v>151</v>
      </c>
      <c r="C28" s="55" t="s">
        <v>149</v>
      </c>
      <c r="D28" s="51" t="s">
        <v>61</v>
      </c>
      <c r="E28" s="49">
        <v>0.4</v>
      </c>
      <c r="F28" s="52">
        <v>0.5</v>
      </c>
      <c r="G28" s="52">
        <v>0.5</v>
      </c>
      <c r="H28" s="52">
        <v>0.06</v>
      </c>
      <c r="I28" s="52">
        <v>0.5</v>
      </c>
      <c r="J28" s="52">
        <v>0</v>
      </c>
    </row>
    <row r="29" spans="1:10" ht="18" customHeight="1">
      <c r="A29" s="55" t="s">
        <v>46</v>
      </c>
      <c r="B29" s="57" t="s">
        <v>151</v>
      </c>
      <c r="C29" s="55" t="s">
        <v>58</v>
      </c>
      <c r="D29" s="51" t="s">
        <v>148</v>
      </c>
      <c r="E29" s="49">
        <v>0.4</v>
      </c>
      <c r="F29" s="52">
        <v>0.5</v>
      </c>
      <c r="G29" s="52">
        <v>0.8</v>
      </c>
      <c r="H29" s="52">
        <v>0.06</v>
      </c>
      <c r="I29" s="52">
        <v>0.5</v>
      </c>
      <c r="J29" s="52">
        <v>0.1</v>
      </c>
    </row>
    <row r="30" spans="1:10" ht="34.5" customHeight="1">
      <c r="A30" s="55" t="s">
        <v>46</v>
      </c>
      <c r="B30" s="57" t="s">
        <v>151</v>
      </c>
      <c r="C30" s="55" t="s">
        <v>58</v>
      </c>
      <c r="D30" s="51" t="s">
        <v>61</v>
      </c>
      <c r="E30" s="49">
        <v>0.4</v>
      </c>
      <c r="F30" s="52">
        <v>0.5</v>
      </c>
      <c r="G30" s="52">
        <v>0.8</v>
      </c>
      <c r="H30" s="52">
        <v>0.06</v>
      </c>
      <c r="I30" s="52">
        <v>0.5</v>
      </c>
      <c r="J30" s="52">
        <v>0</v>
      </c>
    </row>
    <row r="31" spans="1:10" ht="18" customHeight="1">
      <c r="A31" s="55" t="s">
        <v>46</v>
      </c>
      <c r="B31" s="57" t="s">
        <v>151</v>
      </c>
      <c r="C31" s="55" t="s">
        <v>150</v>
      </c>
      <c r="D31" s="51" t="s">
        <v>148</v>
      </c>
      <c r="E31" s="49">
        <v>0.4</v>
      </c>
      <c r="F31" s="52">
        <v>0.5</v>
      </c>
      <c r="G31" s="52">
        <v>0.4</v>
      </c>
      <c r="H31" s="52">
        <v>0.06</v>
      </c>
      <c r="I31" s="52">
        <v>0.5</v>
      </c>
      <c r="J31" s="52">
        <v>0.1</v>
      </c>
    </row>
    <row r="32" spans="1:10" ht="18" customHeight="1">
      <c r="A32" s="55" t="s">
        <v>46</v>
      </c>
      <c r="B32" s="57" t="s">
        <v>151</v>
      </c>
      <c r="C32" s="55" t="s">
        <v>150</v>
      </c>
      <c r="D32" s="51" t="s">
        <v>61</v>
      </c>
      <c r="E32" s="49">
        <v>0.4</v>
      </c>
      <c r="F32" s="52">
        <v>0.5</v>
      </c>
      <c r="G32" s="52">
        <v>0.4</v>
      </c>
      <c r="H32" s="52">
        <v>0.06</v>
      </c>
      <c r="I32" s="52">
        <v>0.5</v>
      </c>
      <c r="J32" s="52">
        <v>0</v>
      </c>
    </row>
    <row r="33" spans="1:10" ht="18" customHeight="1">
      <c r="A33" s="55" t="s">
        <v>46</v>
      </c>
      <c r="B33" s="57" t="s">
        <v>151</v>
      </c>
      <c r="C33" s="55" t="s">
        <v>61</v>
      </c>
      <c r="D33" s="51" t="s">
        <v>148</v>
      </c>
      <c r="E33" s="49">
        <v>0.4</v>
      </c>
      <c r="F33" s="52">
        <v>0.5</v>
      </c>
      <c r="G33" s="52">
        <v>0.6</v>
      </c>
      <c r="H33" s="52">
        <v>0.06</v>
      </c>
      <c r="I33" s="52">
        <v>0.5</v>
      </c>
      <c r="J33" s="52">
        <v>0.1</v>
      </c>
    </row>
    <row r="34" spans="1:10" s="6" customFormat="1" ht="34.5" customHeight="1">
      <c r="A34" s="55" t="s">
        <v>46</v>
      </c>
      <c r="B34" s="57" t="s">
        <v>151</v>
      </c>
      <c r="C34" s="55" t="s">
        <v>61</v>
      </c>
      <c r="D34" s="51" t="s">
        <v>61</v>
      </c>
      <c r="E34" s="49">
        <v>0.4</v>
      </c>
      <c r="F34" s="52">
        <v>0.5</v>
      </c>
      <c r="G34" s="52">
        <v>0.6</v>
      </c>
      <c r="H34" s="52">
        <v>0.06</v>
      </c>
      <c r="I34" s="52">
        <v>0.5</v>
      </c>
      <c r="J34" s="52">
        <v>0</v>
      </c>
    </row>
    <row r="35" spans="1:10" ht="18" customHeight="1">
      <c r="A35" s="55" t="s">
        <v>46</v>
      </c>
      <c r="B35" s="57" t="s">
        <v>95</v>
      </c>
      <c r="C35" s="55" t="s">
        <v>147</v>
      </c>
      <c r="D35" s="51" t="s">
        <v>148</v>
      </c>
      <c r="E35" s="49">
        <v>0.24</v>
      </c>
      <c r="F35" s="52">
        <v>0.5</v>
      </c>
      <c r="G35" s="52">
        <v>1</v>
      </c>
      <c r="H35" s="52">
        <v>0.06</v>
      </c>
      <c r="I35" s="52">
        <v>0.5</v>
      </c>
      <c r="J35" s="52">
        <v>0.1</v>
      </c>
    </row>
    <row r="36" spans="1:10" ht="34.5" customHeight="1">
      <c r="A36" s="55" t="s">
        <v>46</v>
      </c>
      <c r="B36" s="57" t="s">
        <v>95</v>
      </c>
      <c r="C36" s="55" t="s">
        <v>147</v>
      </c>
      <c r="D36" s="51" t="s">
        <v>61</v>
      </c>
      <c r="E36" s="49">
        <v>0.24</v>
      </c>
      <c r="F36" s="52">
        <v>0.5</v>
      </c>
      <c r="G36" s="52">
        <v>1</v>
      </c>
      <c r="H36" s="52">
        <v>0.06</v>
      </c>
      <c r="I36" s="52">
        <v>0.5</v>
      </c>
      <c r="J36" s="52">
        <v>0</v>
      </c>
    </row>
    <row r="37" spans="1:10" ht="18" customHeight="1">
      <c r="A37" s="55" t="s">
        <v>46</v>
      </c>
      <c r="B37" s="57" t="s">
        <v>95</v>
      </c>
      <c r="C37" s="55" t="s">
        <v>149</v>
      </c>
      <c r="D37" s="51" t="s">
        <v>148</v>
      </c>
      <c r="E37" s="49">
        <v>0.24</v>
      </c>
      <c r="F37" s="52">
        <v>0.5</v>
      </c>
      <c r="G37" s="52">
        <v>0.5</v>
      </c>
      <c r="H37" s="52">
        <v>0.06</v>
      </c>
      <c r="I37" s="52">
        <v>0.5</v>
      </c>
      <c r="J37" s="52">
        <v>0.1</v>
      </c>
    </row>
    <row r="38" spans="1:10" ht="34.5" customHeight="1">
      <c r="A38" s="55" t="s">
        <v>46</v>
      </c>
      <c r="B38" s="57" t="s">
        <v>95</v>
      </c>
      <c r="C38" s="55" t="s">
        <v>149</v>
      </c>
      <c r="D38" s="51" t="s">
        <v>61</v>
      </c>
      <c r="E38" s="49">
        <v>0.24</v>
      </c>
      <c r="F38" s="52">
        <v>0.5</v>
      </c>
      <c r="G38" s="52">
        <v>0.5</v>
      </c>
      <c r="H38" s="52">
        <v>0.06</v>
      </c>
      <c r="I38" s="52">
        <v>0.5</v>
      </c>
      <c r="J38" s="52">
        <v>0</v>
      </c>
    </row>
    <row r="39" spans="1:10" ht="18" customHeight="1">
      <c r="A39" s="55" t="s">
        <v>46</v>
      </c>
      <c r="B39" s="57" t="s">
        <v>95</v>
      </c>
      <c r="C39" s="55" t="s">
        <v>58</v>
      </c>
      <c r="D39" s="51" t="s">
        <v>148</v>
      </c>
      <c r="E39" s="49">
        <v>0.24</v>
      </c>
      <c r="F39" s="52">
        <v>0.5</v>
      </c>
      <c r="G39" s="52">
        <v>0.8</v>
      </c>
      <c r="H39" s="52">
        <v>0.06</v>
      </c>
      <c r="I39" s="52">
        <v>0.5</v>
      </c>
      <c r="J39" s="52">
        <v>0.1</v>
      </c>
    </row>
    <row r="40" spans="1:10" s="12" customFormat="1" ht="35.1" customHeight="1">
      <c r="A40" s="55" t="s">
        <v>46</v>
      </c>
      <c r="B40" s="57" t="s">
        <v>95</v>
      </c>
      <c r="C40" s="55" t="s">
        <v>58</v>
      </c>
      <c r="D40" s="51" t="s">
        <v>61</v>
      </c>
      <c r="E40" s="49">
        <v>0.24</v>
      </c>
      <c r="F40" s="52">
        <v>0.5</v>
      </c>
      <c r="G40" s="52">
        <v>0.8</v>
      </c>
      <c r="H40" s="52">
        <v>0.06</v>
      </c>
      <c r="I40" s="52">
        <v>0.5</v>
      </c>
      <c r="J40" s="52">
        <v>0</v>
      </c>
    </row>
    <row r="41" spans="1:10" ht="20.100000000000001" customHeight="1">
      <c r="A41" s="55" t="s">
        <v>46</v>
      </c>
      <c r="B41" s="57" t="s">
        <v>95</v>
      </c>
      <c r="C41" s="55" t="s">
        <v>150</v>
      </c>
      <c r="D41" s="51" t="s">
        <v>148</v>
      </c>
      <c r="E41" s="49">
        <v>0.24</v>
      </c>
      <c r="F41" s="52">
        <v>0.5</v>
      </c>
      <c r="G41" s="52">
        <v>0.4</v>
      </c>
      <c r="H41" s="52">
        <v>0.06</v>
      </c>
      <c r="I41" s="52">
        <v>0.5</v>
      </c>
      <c r="J41" s="52">
        <v>0.1</v>
      </c>
    </row>
    <row r="42" spans="1:10" ht="35.1" customHeight="1">
      <c r="A42" s="55" t="s">
        <v>46</v>
      </c>
      <c r="B42" s="57" t="s">
        <v>95</v>
      </c>
      <c r="C42" s="55" t="s">
        <v>150</v>
      </c>
      <c r="D42" s="51" t="s">
        <v>61</v>
      </c>
      <c r="E42" s="49">
        <v>0.24</v>
      </c>
      <c r="F42" s="52">
        <v>0.5</v>
      </c>
      <c r="G42" s="52">
        <v>0.4</v>
      </c>
      <c r="H42" s="52">
        <v>0.06</v>
      </c>
      <c r="I42" s="52">
        <v>0.5</v>
      </c>
      <c r="J42" s="52">
        <v>0</v>
      </c>
    </row>
    <row r="43" spans="1:10" ht="18" customHeight="1">
      <c r="A43" s="55" t="s">
        <v>46</v>
      </c>
      <c r="B43" s="57" t="s">
        <v>95</v>
      </c>
      <c r="C43" s="55" t="s">
        <v>61</v>
      </c>
      <c r="D43" s="51" t="s">
        <v>148</v>
      </c>
      <c r="E43" s="49">
        <v>0.24</v>
      </c>
      <c r="F43" s="52">
        <v>0.5</v>
      </c>
      <c r="G43" s="52">
        <v>0.6</v>
      </c>
      <c r="H43" s="52">
        <v>0.06</v>
      </c>
      <c r="I43" s="52">
        <v>0.5</v>
      </c>
      <c r="J43" s="52">
        <v>0.1</v>
      </c>
    </row>
    <row r="44" spans="1:10" ht="35.1" customHeight="1">
      <c r="A44" s="55" t="s">
        <v>46</v>
      </c>
      <c r="B44" s="57" t="s">
        <v>95</v>
      </c>
      <c r="C44" s="55" t="s">
        <v>61</v>
      </c>
      <c r="D44" s="51" t="s">
        <v>61</v>
      </c>
      <c r="E44" s="49">
        <v>0.24</v>
      </c>
      <c r="F44" s="52">
        <v>0.5</v>
      </c>
      <c r="G44" s="52">
        <v>0.6</v>
      </c>
      <c r="H44" s="52">
        <v>0.06</v>
      </c>
      <c r="I44" s="52">
        <v>0.5</v>
      </c>
      <c r="J44" s="52">
        <v>0</v>
      </c>
    </row>
    <row r="45" spans="1:10" ht="18" customHeight="1">
      <c r="A45" s="55" t="s">
        <v>46</v>
      </c>
      <c r="B45" s="57" t="s">
        <v>52</v>
      </c>
      <c r="C45" s="55" t="s">
        <v>147</v>
      </c>
      <c r="D45" s="51" t="s">
        <v>148</v>
      </c>
      <c r="E45" s="49">
        <v>0.15</v>
      </c>
      <c r="F45" s="52">
        <v>0.5</v>
      </c>
      <c r="G45" s="52">
        <v>1</v>
      </c>
      <c r="H45" s="52">
        <v>0.185</v>
      </c>
      <c r="I45" s="52">
        <v>0.5</v>
      </c>
      <c r="J45" s="52">
        <v>0.1</v>
      </c>
    </row>
    <row r="46" spans="1:10" s="6" customFormat="1" ht="35.1" customHeight="1">
      <c r="A46" s="55" t="s">
        <v>46</v>
      </c>
      <c r="B46" s="57" t="s">
        <v>52</v>
      </c>
      <c r="C46" s="55" t="s">
        <v>147</v>
      </c>
      <c r="D46" s="51" t="s">
        <v>61</v>
      </c>
      <c r="E46" s="49">
        <v>0.15</v>
      </c>
      <c r="F46" s="52">
        <v>0.5</v>
      </c>
      <c r="G46" s="52">
        <v>1</v>
      </c>
      <c r="H46" s="52">
        <v>0.185</v>
      </c>
      <c r="I46" s="52">
        <v>0.5</v>
      </c>
      <c r="J46" s="52">
        <v>0</v>
      </c>
    </row>
    <row r="47" spans="1:10" ht="18" customHeight="1">
      <c r="A47" s="55" t="s">
        <v>46</v>
      </c>
      <c r="B47" s="57" t="s">
        <v>52</v>
      </c>
      <c r="C47" s="55" t="s">
        <v>149</v>
      </c>
      <c r="D47" s="51" t="s">
        <v>148</v>
      </c>
      <c r="E47" s="49">
        <v>0.15</v>
      </c>
      <c r="F47" s="52">
        <v>0.5</v>
      </c>
      <c r="G47" s="52">
        <v>0.5</v>
      </c>
      <c r="H47" s="52">
        <v>0.185</v>
      </c>
      <c r="I47" s="52">
        <v>0.5</v>
      </c>
      <c r="J47" s="52">
        <v>0.1</v>
      </c>
    </row>
    <row r="48" spans="1:10" ht="35.1" customHeight="1">
      <c r="A48" s="55" t="s">
        <v>46</v>
      </c>
      <c r="B48" s="57" t="s">
        <v>52</v>
      </c>
      <c r="C48" s="55" t="s">
        <v>149</v>
      </c>
      <c r="D48" s="51" t="s">
        <v>61</v>
      </c>
      <c r="E48" s="49">
        <v>0.15</v>
      </c>
      <c r="F48" s="52">
        <v>0.5</v>
      </c>
      <c r="G48" s="52">
        <v>0.5</v>
      </c>
      <c r="H48" s="52">
        <v>0.185</v>
      </c>
      <c r="I48" s="52">
        <v>0.5</v>
      </c>
      <c r="J48" s="52">
        <v>0</v>
      </c>
    </row>
    <row r="49" spans="1:10" ht="18" customHeight="1">
      <c r="A49" s="55" t="s">
        <v>46</v>
      </c>
      <c r="B49" s="57" t="s">
        <v>52</v>
      </c>
      <c r="C49" s="55" t="s">
        <v>58</v>
      </c>
      <c r="D49" s="51" t="s">
        <v>148</v>
      </c>
      <c r="E49" s="49">
        <v>0.15</v>
      </c>
      <c r="F49" s="52">
        <v>0.5</v>
      </c>
      <c r="G49" s="52">
        <v>0.8</v>
      </c>
      <c r="H49" s="52">
        <v>0.185</v>
      </c>
      <c r="I49" s="52">
        <v>0.5</v>
      </c>
      <c r="J49" s="52">
        <v>0.1</v>
      </c>
    </row>
    <row r="50" spans="1:10" ht="35.1" customHeight="1">
      <c r="A50" s="55" t="s">
        <v>46</v>
      </c>
      <c r="B50" s="57" t="s">
        <v>52</v>
      </c>
      <c r="C50" s="55" t="s">
        <v>58</v>
      </c>
      <c r="D50" s="51" t="s">
        <v>61</v>
      </c>
      <c r="E50" s="49">
        <v>0.15</v>
      </c>
      <c r="F50" s="52">
        <v>0.5</v>
      </c>
      <c r="G50" s="52">
        <v>0.8</v>
      </c>
      <c r="H50" s="52">
        <v>0.185</v>
      </c>
      <c r="I50" s="52">
        <v>0.5</v>
      </c>
      <c r="J50" s="52">
        <v>0</v>
      </c>
    </row>
    <row r="51" spans="1:10" ht="18" customHeight="1">
      <c r="A51" s="55" t="s">
        <v>46</v>
      </c>
      <c r="B51" s="57" t="s">
        <v>52</v>
      </c>
      <c r="C51" s="55" t="s">
        <v>150</v>
      </c>
      <c r="D51" s="51" t="s">
        <v>148</v>
      </c>
      <c r="E51" s="49">
        <v>0.15</v>
      </c>
      <c r="F51" s="52">
        <v>0.5</v>
      </c>
      <c r="G51" s="52">
        <v>0.4</v>
      </c>
      <c r="H51" s="52">
        <v>0.185</v>
      </c>
      <c r="I51" s="52">
        <v>0.5</v>
      </c>
      <c r="J51" s="52">
        <v>0.1</v>
      </c>
    </row>
    <row r="52" spans="1:10" ht="35.1" customHeight="1">
      <c r="A52" s="55" t="s">
        <v>46</v>
      </c>
      <c r="B52" s="57" t="s">
        <v>52</v>
      </c>
      <c r="C52" s="55" t="s">
        <v>150</v>
      </c>
      <c r="D52" s="51" t="s">
        <v>61</v>
      </c>
      <c r="E52" s="49">
        <v>0.15</v>
      </c>
      <c r="F52" s="52">
        <v>0.5</v>
      </c>
      <c r="G52" s="52">
        <v>0.4</v>
      </c>
      <c r="H52" s="52">
        <v>0.185</v>
      </c>
      <c r="I52" s="52">
        <v>0.5</v>
      </c>
      <c r="J52" s="52">
        <v>0</v>
      </c>
    </row>
    <row r="53" spans="1:10" ht="18" customHeight="1">
      <c r="A53" s="55" t="s">
        <v>46</v>
      </c>
      <c r="B53" s="57" t="s">
        <v>52</v>
      </c>
      <c r="C53" s="55" t="s">
        <v>61</v>
      </c>
      <c r="D53" s="51" t="s">
        <v>148</v>
      </c>
      <c r="E53" s="49">
        <v>0.15</v>
      </c>
      <c r="F53" s="52">
        <v>0.5</v>
      </c>
      <c r="G53" s="52">
        <v>0.6</v>
      </c>
      <c r="H53" s="52">
        <v>0.185</v>
      </c>
      <c r="I53" s="52">
        <v>0.5</v>
      </c>
      <c r="J53" s="52">
        <v>0.1</v>
      </c>
    </row>
    <row r="54" spans="1:10" ht="35.1" customHeight="1">
      <c r="A54" s="55" t="s">
        <v>46</v>
      </c>
      <c r="B54" s="57" t="s">
        <v>52</v>
      </c>
      <c r="C54" s="55" t="s">
        <v>61</v>
      </c>
      <c r="D54" s="51" t="s">
        <v>61</v>
      </c>
      <c r="E54" s="49">
        <v>0.15</v>
      </c>
      <c r="F54" s="52">
        <v>0.5</v>
      </c>
      <c r="G54" s="52">
        <v>0.6</v>
      </c>
      <c r="H54" s="52">
        <v>0.185</v>
      </c>
      <c r="I54" s="52">
        <v>0.5</v>
      </c>
      <c r="J54" s="52">
        <v>0</v>
      </c>
    </row>
    <row r="55" spans="1:10" ht="18" customHeight="1">
      <c r="A55" s="55" t="s">
        <v>46</v>
      </c>
      <c r="B55" s="57" t="s">
        <v>152</v>
      </c>
      <c r="C55" s="55" t="s">
        <v>147</v>
      </c>
      <c r="D55" s="51" t="s">
        <v>148</v>
      </c>
      <c r="E55" s="49">
        <v>0.43</v>
      </c>
      <c r="F55" s="52">
        <v>0.5</v>
      </c>
      <c r="G55" s="52">
        <v>1</v>
      </c>
      <c r="H55" s="52">
        <v>0.03</v>
      </c>
      <c r="I55" s="52">
        <v>0.5</v>
      </c>
      <c r="J55" s="52">
        <v>0.1</v>
      </c>
    </row>
    <row r="56" spans="1:10" ht="35.1" customHeight="1">
      <c r="A56" s="55" t="s">
        <v>46</v>
      </c>
      <c r="B56" s="57" t="s">
        <v>152</v>
      </c>
      <c r="C56" s="55" t="s">
        <v>147</v>
      </c>
      <c r="D56" s="51" t="s">
        <v>61</v>
      </c>
      <c r="E56" s="49">
        <v>0.43</v>
      </c>
      <c r="F56" s="52">
        <v>0.5</v>
      </c>
      <c r="G56" s="52">
        <v>1</v>
      </c>
      <c r="H56" s="52">
        <v>0.03</v>
      </c>
      <c r="I56" s="52">
        <v>0.5</v>
      </c>
      <c r="J56" s="52">
        <v>0</v>
      </c>
    </row>
    <row r="57" spans="1:10" ht="18" customHeight="1">
      <c r="A57" s="55" t="s">
        <v>46</v>
      </c>
      <c r="B57" s="57" t="s">
        <v>152</v>
      </c>
      <c r="C57" s="55" t="s">
        <v>149</v>
      </c>
      <c r="D57" s="51" t="s">
        <v>148</v>
      </c>
      <c r="E57" s="49">
        <v>0.43</v>
      </c>
      <c r="F57" s="52">
        <v>0.5</v>
      </c>
      <c r="G57" s="52">
        <v>0.5</v>
      </c>
      <c r="H57" s="52">
        <v>0.03</v>
      </c>
      <c r="I57" s="52">
        <v>0.5</v>
      </c>
      <c r="J57" s="52">
        <v>0.1</v>
      </c>
    </row>
    <row r="58" spans="1:10" ht="35.1" customHeight="1">
      <c r="A58" s="55" t="s">
        <v>46</v>
      </c>
      <c r="B58" s="57" t="s">
        <v>152</v>
      </c>
      <c r="C58" s="55" t="s">
        <v>149</v>
      </c>
      <c r="D58" s="51" t="s">
        <v>61</v>
      </c>
      <c r="E58" s="49">
        <v>0.43</v>
      </c>
      <c r="F58" s="52">
        <v>0.5</v>
      </c>
      <c r="G58" s="52">
        <v>0.5</v>
      </c>
      <c r="H58" s="52">
        <v>0.03</v>
      </c>
      <c r="I58" s="52">
        <v>0.5</v>
      </c>
      <c r="J58" s="52">
        <v>0</v>
      </c>
    </row>
    <row r="59" spans="1:10" ht="18" customHeight="1">
      <c r="A59" s="55" t="s">
        <v>46</v>
      </c>
      <c r="B59" s="57" t="s">
        <v>152</v>
      </c>
      <c r="C59" s="55" t="s">
        <v>58</v>
      </c>
      <c r="D59" s="51" t="s">
        <v>148</v>
      </c>
      <c r="E59" s="49">
        <v>0.43</v>
      </c>
      <c r="F59" s="52">
        <v>0.5</v>
      </c>
      <c r="G59" s="52">
        <v>0.8</v>
      </c>
      <c r="H59" s="52">
        <v>0.03</v>
      </c>
      <c r="I59" s="52">
        <v>0.5</v>
      </c>
      <c r="J59" s="52">
        <v>0.1</v>
      </c>
    </row>
    <row r="60" spans="1:10" ht="35.1" customHeight="1">
      <c r="A60" s="55" t="s">
        <v>46</v>
      </c>
      <c r="B60" s="57" t="s">
        <v>152</v>
      </c>
      <c r="C60" s="55" t="s">
        <v>58</v>
      </c>
      <c r="D60" s="51" t="s">
        <v>61</v>
      </c>
      <c r="E60" s="49">
        <v>0.43</v>
      </c>
      <c r="F60" s="52">
        <v>0.5</v>
      </c>
      <c r="G60" s="52">
        <v>0.8</v>
      </c>
      <c r="H60" s="52">
        <v>0.03</v>
      </c>
      <c r="I60" s="52">
        <v>0.5</v>
      </c>
      <c r="J60" s="52">
        <v>0</v>
      </c>
    </row>
    <row r="61" spans="1:10" ht="18" customHeight="1">
      <c r="A61" s="55" t="s">
        <v>46</v>
      </c>
      <c r="B61" s="57" t="s">
        <v>152</v>
      </c>
      <c r="C61" s="55" t="s">
        <v>150</v>
      </c>
      <c r="D61" s="51" t="s">
        <v>148</v>
      </c>
      <c r="E61" s="49">
        <v>0.43</v>
      </c>
      <c r="F61" s="52">
        <v>0.5</v>
      </c>
      <c r="G61" s="52">
        <v>0.4</v>
      </c>
      <c r="H61" s="52">
        <v>0.03</v>
      </c>
      <c r="I61" s="52">
        <v>0.5</v>
      </c>
      <c r="J61" s="52">
        <v>0.1</v>
      </c>
    </row>
    <row r="62" spans="1:10" s="6" customFormat="1" ht="35.1" customHeight="1">
      <c r="A62" s="55" t="s">
        <v>46</v>
      </c>
      <c r="B62" s="57" t="s">
        <v>152</v>
      </c>
      <c r="C62" s="55" t="s">
        <v>150</v>
      </c>
      <c r="D62" s="51" t="s">
        <v>61</v>
      </c>
      <c r="E62" s="49">
        <v>0.43</v>
      </c>
      <c r="F62" s="52">
        <v>0.5</v>
      </c>
      <c r="G62" s="52">
        <v>0.4</v>
      </c>
      <c r="H62" s="52">
        <v>0.03</v>
      </c>
      <c r="I62" s="52">
        <v>0.5</v>
      </c>
      <c r="J62" s="52">
        <v>0</v>
      </c>
    </row>
    <row r="63" spans="1:10" ht="18" customHeight="1">
      <c r="A63" s="55" t="s">
        <v>46</v>
      </c>
      <c r="B63" s="57" t="s">
        <v>152</v>
      </c>
      <c r="C63" s="55" t="s">
        <v>61</v>
      </c>
      <c r="D63" s="51" t="s">
        <v>148</v>
      </c>
      <c r="E63" s="49">
        <v>0.43</v>
      </c>
      <c r="F63" s="52">
        <v>0.5</v>
      </c>
      <c r="G63" s="52">
        <v>0.6</v>
      </c>
      <c r="H63" s="52">
        <v>0.03</v>
      </c>
      <c r="I63" s="52">
        <v>0.5</v>
      </c>
      <c r="J63" s="52">
        <v>0.1</v>
      </c>
    </row>
    <row r="64" spans="1:10" ht="35.1" customHeight="1">
      <c r="A64" s="55" t="s">
        <v>46</v>
      </c>
      <c r="B64" s="57" t="s">
        <v>152</v>
      </c>
      <c r="C64" s="55" t="s">
        <v>61</v>
      </c>
      <c r="D64" s="51" t="s">
        <v>61</v>
      </c>
      <c r="E64" s="49">
        <v>0.43</v>
      </c>
      <c r="F64" s="52">
        <v>0.5</v>
      </c>
      <c r="G64" s="52">
        <v>0.6</v>
      </c>
      <c r="H64" s="52">
        <v>0.03</v>
      </c>
      <c r="I64" s="52">
        <v>0.5</v>
      </c>
      <c r="J64" s="52">
        <v>0</v>
      </c>
    </row>
    <row r="65" spans="1:10" ht="18" customHeight="1">
      <c r="A65" s="55" t="s">
        <v>46</v>
      </c>
      <c r="B65" s="57" t="s">
        <v>153</v>
      </c>
      <c r="C65" s="55" t="s">
        <v>147</v>
      </c>
      <c r="D65" s="51" t="s">
        <v>148</v>
      </c>
      <c r="E65" s="49">
        <v>0.2</v>
      </c>
      <c r="F65" s="52">
        <v>0.5</v>
      </c>
      <c r="G65" s="52">
        <v>1</v>
      </c>
      <c r="H65" s="52">
        <v>0.1</v>
      </c>
      <c r="I65" s="52">
        <v>0.5</v>
      </c>
      <c r="J65" s="52">
        <v>0.1</v>
      </c>
    </row>
    <row r="66" spans="1:10" ht="35.1" customHeight="1">
      <c r="A66" s="55" t="s">
        <v>46</v>
      </c>
      <c r="B66" s="57" t="s">
        <v>153</v>
      </c>
      <c r="C66" s="55" t="s">
        <v>147</v>
      </c>
      <c r="D66" s="51" t="s">
        <v>61</v>
      </c>
      <c r="E66" s="49">
        <v>0.2</v>
      </c>
      <c r="F66" s="52">
        <v>0.5</v>
      </c>
      <c r="G66" s="52">
        <v>1</v>
      </c>
      <c r="H66" s="52">
        <v>0.1</v>
      </c>
      <c r="I66" s="52">
        <v>0.5</v>
      </c>
      <c r="J66" s="52">
        <v>0</v>
      </c>
    </row>
    <row r="67" spans="1:10" ht="18" customHeight="1">
      <c r="A67" s="55" t="s">
        <v>46</v>
      </c>
      <c r="B67" s="57" t="s">
        <v>153</v>
      </c>
      <c r="C67" s="55" t="s">
        <v>149</v>
      </c>
      <c r="D67" s="51" t="s">
        <v>148</v>
      </c>
      <c r="E67" s="49">
        <v>0.2</v>
      </c>
      <c r="F67" s="52">
        <v>0.5</v>
      </c>
      <c r="G67" s="52">
        <v>0.5</v>
      </c>
      <c r="H67" s="52">
        <v>0.1</v>
      </c>
      <c r="I67" s="52">
        <v>0.5</v>
      </c>
      <c r="J67" s="52">
        <v>0.1</v>
      </c>
    </row>
    <row r="68" spans="1:10" s="12" customFormat="1" ht="35.1" customHeight="1">
      <c r="A68" s="55" t="s">
        <v>46</v>
      </c>
      <c r="B68" s="57" t="s">
        <v>153</v>
      </c>
      <c r="C68" s="55" t="s">
        <v>149</v>
      </c>
      <c r="D68" s="51" t="s">
        <v>61</v>
      </c>
      <c r="E68" s="49">
        <v>0.2</v>
      </c>
      <c r="F68" s="52">
        <v>0.5</v>
      </c>
      <c r="G68" s="52">
        <v>0.5</v>
      </c>
      <c r="H68" s="52">
        <v>0.1</v>
      </c>
      <c r="I68" s="52">
        <v>0.5</v>
      </c>
      <c r="J68" s="52">
        <v>0</v>
      </c>
    </row>
    <row r="69" spans="1:10" ht="20.100000000000001" customHeight="1">
      <c r="A69" s="55" t="s">
        <v>46</v>
      </c>
      <c r="B69" s="57" t="s">
        <v>153</v>
      </c>
      <c r="C69" s="55" t="s">
        <v>58</v>
      </c>
      <c r="D69" s="51" t="s">
        <v>148</v>
      </c>
      <c r="E69" s="49">
        <v>0.2</v>
      </c>
      <c r="F69" s="52">
        <v>0.5</v>
      </c>
      <c r="G69" s="52">
        <v>0.8</v>
      </c>
      <c r="H69" s="52">
        <v>0.1</v>
      </c>
      <c r="I69" s="52">
        <v>0.5</v>
      </c>
      <c r="J69" s="52">
        <v>0.1</v>
      </c>
    </row>
    <row r="70" spans="1:10" ht="35.1" customHeight="1">
      <c r="A70" s="55" t="s">
        <v>46</v>
      </c>
      <c r="B70" s="57" t="s">
        <v>153</v>
      </c>
      <c r="C70" s="55" t="s">
        <v>58</v>
      </c>
      <c r="D70" s="51" t="s">
        <v>61</v>
      </c>
      <c r="E70" s="49">
        <v>0.2</v>
      </c>
      <c r="F70" s="52">
        <v>0.5</v>
      </c>
      <c r="G70" s="52">
        <v>0.8</v>
      </c>
      <c r="H70" s="52">
        <v>0.1</v>
      </c>
      <c r="I70" s="52">
        <v>0.5</v>
      </c>
      <c r="J70" s="52">
        <v>0</v>
      </c>
    </row>
    <row r="71" spans="1:10" ht="18" customHeight="1">
      <c r="A71" s="55" t="s">
        <v>46</v>
      </c>
      <c r="B71" s="57" t="s">
        <v>153</v>
      </c>
      <c r="C71" s="55" t="s">
        <v>150</v>
      </c>
      <c r="D71" s="51" t="s">
        <v>148</v>
      </c>
      <c r="E71" s="49">
        <v>0.2</v>
      </c>
      <c r="F71" s="52">
        <v>0.5</v>
      </c>
      <c r="G71" s="52">
        <v>0.4</v>
      </c>
      <c r="H71" s="52">
        <v>0.1</v>
      </c>
      <c r="I71" s="52">
        <v>0.5</v>
      </c>
      <c r="J71" s="52">
        <v>0.1</v>
      </c>
    </row>
    <row r="72" spans="1:10" ht="35.1" customHeight="1">
      <c r="A72" s="55" t="s">
        <v>46</v>
      </c>
      <c r="B72" s="57" t="s">
        <v>153</v>
      </c>
      <c r="C72" s="55" t="s">
        <v>150</v>
      </c>
      <c r="D72" s="51" t="s">
        <v>61</v>
      </c>
      <c r="E72" s="49">
        <v>0.2</v>
      </c>
      <c r="F72" s="52">
        <v>0.5</v>
      </c>
      <c r="G72" s="52">
        <v>0.4</v>
      </c>
      <c r="H72" s="52">
        <v>0.1</v>
      </c>
      <c r="I72" s="52">
        <v>0.5</v>
      </c>
      <c r="J72" s="52">
        <v>0</v>
      </c>
    </row>
    <row r="73" spans="1:10" s="11" customFormat="1" ht="18" customHeight="1">
      <c r="A73" s="55" t="s">
        <v>46</v>
      </c>
      <c r="B73" s="57" t="s">
        <v>153</v>
      </c>
      <c r="C73" s="55" t="s">
        <v>61</v>
      </c>
      <c r="D73" s="51" t="s">
        <v>148</v>
      </c>
      <c r="E73" s="49">
        <v>0.2</v>
      </c>
      <c r="F73" s="52">
        <v>0.5</v>
      </c>
      <c r="G73" s="52">
        <v>0.6</v>
      </c>
      <c r="H73" s="52">
        <v>0.1</v>
      </c>
      <c r="I73" s="52">
        <v>0.5</v>
      </c>
      <c r="J73" s="52">
        <v>0.1</v>
      </c>
    </row>
    <row r="74" spans="1:10" ht="35.1" customHeight="1">
      <c r="A74" s="55" t="s">
        <v>46</v>
      </c>
      <c r="B74" s="57" t="s">
        <v>153</v>
      </c>
      <c r="C74" s="55" t="s">
        <v>61</v>
      </c>
      <c r="D74" s="51" t="s">
        <v>61</v>
      </c>
      <c r="E74" s="49">
        <v>0.2</v>
      </c>
      <c r="F74" s="52">
        <v>0.5</v>
      </c>
      <c r="G74" s="52">
        <v>0.6</v>
      </c>
      <c r="H74" s="52">
        <v>0.1</v>
      </c>
      <c r="I74" s="52">
        <v>0.5</v>
      </c>
      <c r="J74" s="52">
        <v>0</v>
      </c>
    </row>
    <row r="75" spans="1:10" ht="18" customHeight="1">
      <c r="A75" s="55" t="s">
        <v>46</v>
      </c>
      <c r="B75" s="57" t="s">
        <v>154</v>
      </c>
      <c r="C75" s="55" t="s">
        <v>147</v>
      </c>
      <c r="D75" s="51" t="s">
        <v>148</v>
      </c>
      <c r="E75" s="49">
        <v>0.24</v>
      </c>
      <c r="F75" s="52">
        <v>0.5</v>
      </c>
      <c r="G75" s="52">
        <v>1</v>
      </c>
      <c r="H75" s="52">
        <v>0.06</v>
      </c>
      <c r="I75" s="52">
        <v>0.5</v>
      </c>
      <c r="J75" s="52">
        <v>0.1</v>
      </c>
    </row>
    <row r="76" spans="1:10" ht="35.1" customHeight="1">
      <c r="A76" s="55" t="s">
        <v>46</v>
      </c>
      <c r="B76" s="57" t="s">
        <v>154</v>
      </c>
      <c r="C76" s="55" t="s">
        <v>147</v>
      </c>
      <c r="D76" s="51" t="s">
        <v>61</v>
      </c>
      <c r="E76" s="49">
        <v>0.24</v>
      </c>
      <c r="F76" s="52">
        <v>0.5</v>
      </c>
      <c r="G76" s="52">
        <v>1</v>
      </c>
      <c r="H76" s="52">
        <v>0.06</v>
      </c>
      <c r="I76" s="52">
        <v>0.5</v>
      </c>
      <c r="J76" s="52">
        <v>0</v>
      </c>
    </row>
    <row r="77" spans="1:10" ht="18" customHeight="1">
      <c r="A77" s="55" t="s">
        <v>46</v>
      </c>
      <c r="B77" s="57" t="s">
        <v>154</v>
      </c>
      <c r="C77" s="55" t="s">
        <v>149</v>
      </c>
      <c r="D77" s="51" t="s">
        <v>148</v>
      </c>
      <c r="E77" s="49">
        <v>0.24</v>
      </c>
      <c r="F77" s="52">
        <v>0.5</v>
      </c>
      <c r="G77" s="52">
        <v>0.5</v>
      </c>
      <c r="H77" s="52">
        <v>0.06</v>
      </c>
      <c r="I77" s="52">
        <v>0.5</v>
      </c>
      <c r="J77" s="52">
        <v>0.1</v>
      </c>
    </row>
    <row r="78" spans="1:10" ht="35.1" customHeight="1">
      <c r="A78" s="55" t="s">
        <v>46</v>
      </c>
      <c r="B78" s="57" t="s">
        <v>154</v>
      </c>
      <c r="C78" s="55" t="s">
        <v>149</v>
      </c>
      <c r="D78" s="51" t="s">
        <v>61</v>
      </c>
      <c r="E78" s="49">
        <v>0.24</v>
      </c>
      <c r="F78" s="52">
        <v>0.5</v>
      </c>
      <c r="G78" s="52">
        <v>0.5</v>
      </c>
      <c r="H78" s="52">
        <v>0.06</v>
      </c>
      <c r="I78" s="52">
        <v>0.5</v>
      </c>
      <c r="J78" s="52">
        <v>0</v>
      </c>
    </row>
    <row r="79" spans="1:10" ht="18" customHeight="1">
      <c r="A79" s="55" t="s">
        <v>46</v>
      </c>
      <c r="B79" s="57" t="s">
        <v>154</v>
      </c>
      <c r="C79" s="55" t="s">
        <v>58</v>
      </c>
      <c r="D79" s="51" t="s">
        <v>148</v>
      </c>
      <c r="E79" s="49">
        <v>0.24</v>
      </c>
      <c r="F79" s="52">
        <v>0.5</v>
      </c>
      <c r="G79" s="52">
        <v>0.8</v>
      </c>
      <c r="H79" s="52">
        <v>0.06</v>
      </c>
      <c r="I79" s="52">
        <v>0.5</v>
      </c>
      <c r="J79" s="52">
        <v>0.1</v>
      </c>
    </row>
    <row r="80" spans="1:10" ht="35.1" customHeight="1">
      <c r="A80" s="55" t="s">
        <v>46</v>
      </c>
      <c r="B80" s="57" t="s">
        <v>154</v>
      </c>
      <c r="C80" s="55" t="s">
        <v>58</v>
      </c>
      <c r="D80" s="51" t="s">
        <v>61</v>
      </c>
      <c r="E80" s="49">
        <v>0.24</v>
      </c>
      <c r="F80" s="52">
        <v>0.5</v>
      </c>
      <c r="G80" s="52">
        <v>0.8</v>
      </c>
      <c r="H80" s="52">
        <v>0.06</v>
      </c>
      <c r="I80" s="52">
        <v>0.5</v>
      </c>
      <c r="J80" s="52">
        <v>0</v>
      </c>
    </row>
    <row r="81" spans="1:10" ht="18" customHeight="1">
      <c r="A81" s="55" t="s">
        <v>46</v>
      </c>
      <c r="B81" s="57" t="s">
        <v>154</v>
      </c>
      <c r="C81" s="55" t="s">
        <v>150</v>
      </c>
      <c r="D81" s="51" t="s">
        <v>148</v>
      </c>
      <c r="E81" s="49">
        <v>0.24</v>
      </c>
      <c r="F81" s="52">
        <v>0.5</v>
      </c>
      <c r="G81" s="52">
        <v>0.4</v>
      </c>
      <c r="H81" s="52">
        <v>0.06</v>
      </c>
      <c r="I81" s="52">
        <v>0.5</v>
      </c>
      <c r="J81" s="52">
        <v>0.1</v>
      </c>
    </row>
    <row r="82" spans="1:10" ht="35.1" customHeight="1">
      <c r="A82" s="55" t="s">
        <v>46</v>
      </c>
      <c r="B82" s="57" t="s">
        <v>154</v>
      </c>
      <c r="C82" s="55" t="s">
        <v>150</v>
      </c>
      <c r="D82" s="51" t="s">
        <v>61</v>
      </c>
      <c r="E82" s="49">
        <v>0.24</v>
      </c>
      <c r="F82" s="52">
        <v>0.5</v>
      </c>
      <c r="G82" s="52">
        <v>0.4</v>
      </c>
      <c r="H82" s="52">
        <v>0.06</v>
      </c>
      <c r="I82" s="52">
        <v>0.5</v>
      </c>
      <c r="J82" s="52">
        <v>0</v>
      </c>
    </row>
    <row r="83" spans="1:10" ht="18" customHeight="1">
      <c r="A83" s="55" t="s">
        <v>46</v>
      </c>
      <c r="B83" s="57" t="s">
        <v>154</v>
      </c>
      <c r="C83" s="55" t="s">
        <v>61</v>
      </c>
      <c r="D83" s="51" t="s">
        <v>148</v>
      </c>
      <c r="E83" s="49">
        <v>0.24</v>
      </c>
      <c r="F83" s="52">
        <v>0.5</v>
      </c>
      <c r="G83" s="52">
        <v>0.6</v>
      </c>
      <c r="H83" s="52">
        <v>0.06</v>
      </c>
      <c r="I83" s="52">
        <v>0.5</v>
      </c>
      <c r="J83" s="52">
        <v>0.1</v>
      </c>
    </row>
    <row r="84" spans="1:10" ht="35.1" customHeight="1">
      <c r="A84" s="55" t="s">
        <v>46</v>
      </c>
      <c r="B84" s="57" t="s">
        <v>154</v>
      </c>
      <c r="C84" s="55" t="s">
        <v>61</v>
      </c>
      <c r="D84" s="51" t="s">
        <v>61</v>
      </c>
      <c r="E84" s="49">
        <v>0.24</v>
      </c>
      <c r="F84" s="52">
        <v>0.5</v>
      </c>
      <c r="G84" s="52">
        <v>0.6</v>
      </c>
      <c r="H84" s="52">
        <v>0.06</v>
      </c>
      <c r="I84" s="52">
        <v>0.5</v>
      </c>
      <c r="J84" s="52">
        <v>0</v>
      </c>
    </row>
    <row r="85" spans="1:10" ht="18" customHeight="1">
      <c r="A85" s="55" t="s">
        <v>46</v>
      </c>
      <c r="B85" s="57" t="s">
        <v>155</v>
      </c>
      <c r="C85" s="55" t="s">
        <v>147</v>
      </c>
      <c r="D85" s="51" t="s">
        <v>148</v>
      </c>
      <c r="E85" s="49">
        <v>0.39</v>
      </c>
      <c r="F85" s="52">
        <v>0.5</v>
      </c>
      <c r="G85" s="52">
        <v>1</v>
      </c>
      <c r="H85" s="52">
        <v>0.03</v>
      </c>
      <c r="I85" s="52">
        <v>0.5</v>
      </c>
      <c r="J85" s="52">
        <v>0.1</v>
      </c>
    </row>
    <row r="86" spans="1:10" ht="35.1" customHeight="1">
      <c r="A86" s="55" t="s">
        <v>46</v>
      </c>
      <c r="B86" s="57" t="s">
        <v>155</v>
      </c>
      <c r="C86" s="55" t="s">
        <v>147</v>
      </c>
      <c r="D86" s="51" t="s">
        <v>61</v>
      </c>
      <c r="E86" s="49">
        <v>0.39</v>
      </c>
      <c r="F86" s="52">
        <v>0.5</v>
      </c>
      <c r="G86" s="52">
        <v>1</v>
      </c>
      <c r="H86" s="52">
        <v>0.03</v>
      </c>
      <c r="I86" s="52">
        <v>0.5</v>
      </c>
      <c r="J86" s="52">
        <v>0</v>
      </c>
    </row>
    <row r="87" spans="1:10" ht="18" customHeight="1">
      <c r="A87" s="55" t="s">
        <v>46</v>
      </c>
      <c r="B87" s="57" t="s">
        <v>155</v>
      </c>
      <c r="C87" s="55" t="s">
        <v>149</v>
      </c>
      <c r="D87" s="51" t="s">
        <v>148</v>
      </c>
      <c r="E87" s="49">
        <v>0.39</v>
      </c>
      <c r="F87" s="52">
        <v>0.5</v>
      </c>
      <c r="G87" s="52">
        <v>0.5</v>
      </c>
      <c r="H87" s="52">
        <v>0.03</v>
      </c>
      <c r="I87" s="52">
        <v>0.5</v>
      </c>
      <c r="J87" s="52">
        <v>0.1</v>
      </c>
    </row>
    <row r="88" spans="1:10" ht="35.1" customHeight="1">
      <c r="A88" s="55" t="s">
        <v>46</v>
      </c>
      <c r="B88" s="57" t="s">
        <v>155</v>
      </c>
      <c r="C88" s="55" t="s">
        <v>149</v>
      </c>
      <c r="D88" s="51" t="s">
        <v>61</v>
      </c>
      <c r="E88" s="49">
        <v>0.39</v>
      </c>
      <c r="F88" s="52">
        <v>0.5</v>
      </c>
      <c r="G88" s="52">
        <v>0.5</v>
      </c>
      <c r="H88" s="52">
        <v>0.03</v>
      </c>
      <c r="I88" s="52">
        <v>0.5</v>
      </c>
      <c r="J88" s="52">
        <v>0</v>
      </c>
    </row>
    <row r="89" spans="1:10" ht="18" customHeight="1">
      <c r="A89" s="55" t="s">
        <v>46</v>
      </c>
      <c r="B89" s="57" t="s">
        <v>155</v>
      </c>
      <c r="C89" s="55" t="s">
        <v>58</v>
      </c>
      <c r="D89" s="51" t="s">
        <v>148</v>
      </c>
      <c r="E89" s="49">
        <v>0.39</v>
      </c>
      <c r="F89" s="52">
        <v>0.5</v>
      </c>
      <c r="G89" s="52">
        <v>0.8</v>
      </c>
      <c r="H89" s="52">
        <v>0.03</v>
      </c>
      <c r="I89" s="52">
        <v>0.5</v>
      </c>
      <c r="J89" s="52">
        <v>0.1</v>
      </c>
    </row>
    <row r="90" spans="1:10" s="6" customFormat="1" ht="35.1" customHeight="1">
      <c r="A90" s="55" t="s">
        <v>46</v>
      </c>
      <c r="B90" s="57" t="s">
        <v>155</v>
      </c>
      <c r="C90" s="55" t="s">
        <v>58</v>
      </c>
      <c r="D90" s="51" t="s">
        <v>61</v>
      </c>
      <c r="E90" s="49">
        <v>0.39</v>
      </c>
      <c r="F90" s="52">
        <v>0.5</v>
      </c>
      <c r="G90" s="52">
        <v>0.8</v>
      </c>
      <c r="H90" s="52">
        <v>0.03</v>
      </c>
      <c r="I90" s="52">
        <v>0.5</v>
      </c>
      <c r="J90" s="52">
        <v>0</v>
      </c>
    </row>
    <row r="91" spans="1:10" ht="18" customHeight="1">
      <c r="A91" s="55" t="s">
        <v>46</v>
      </c>
      <c r="B91" s="57" t="s">
        <v>155</v>
      </c>
      <c r="C91" s="55" t="s">
        <v>150</v>
      </c>
      <c r="D91" s="51" t="s">
        <v>148</v>
      </c>
      <c r="E91" s="49">
        <v>0.39</v>
      </c>
      <c r="F91" s="52">
        <v>0.5</v>
      </c>
      <c r="G91" s="52">
        <v>0.4</v>
      </c>
      <c r="H91" s="52">
        <v>0.03</v>
      </c>
      <c r="I91" s="52">
        <v>0.5</v>
      </c>
      <c r="J91" s="52">
        <v>0.1</v>
      </c>
    </row>
    <row r="92" spans="1:10" ht="35.1" customHeight="1">
      <c r="A92" s="55" t="s">
        <v>46</v>
      </c>
      <c r="B92" s="57" t="s">
        <v>155</v>
      </c>
      <c r="C92" s="55" t="s">
        <v>150</v>
      </c>
      <c r="D92" s="51" t="s">
        <v>61</v>
      </c>
      <c r="E92" s="49">
        <v>0.39</v>
      </c>
      <c r="F92" s="52">
        <v>0.5</v>
      </c>
      <c r="G92" s="52">
        <v>0.4</v>
      </c>
      <c r="H92" s="52">
        <v>0.03</v>
      </c>
      <c r="I92" s="52">
        <v>0.5</v>
      </c>
      <c r="J92" s="52">
        <v>0</v>
      </c>
    </row>
    <row r="93" spans="1:10" ht="18" customHeight="1">
      <c r="A93" s="55" t="s">
        <v>46</v>
      </c>
      <c r="B93" s="57" t="s">
        <v>155</v>
      </c>
      <c r="C93" s="55" t="s">
        <v>61</v>
      </c>
      <c r="D93" s="51" t="s">
        <v>148</v>
      </c>
      <c r="E93" s="49">
        <v>0.39</v>
      </c>
      <c r="F93" s="52">
        <v>0.5</v>
      </c>
      <c r="G93" s="52">
        <v>0.6</v>
      </c>
      <c r="H93" s="52">
        <v>0.03</v>
      </c>
      <c r="I93" s="52">
        <v>0.5</v>
      </c>
      <c r="J93" s="52">
        <v>0.1</v>
      </c>
    </row>
    <row r="94" spans="1:10" ht="35.1" customHeight="1">
      <c r="A94" s="55" t="s">
        <v>46</v>
      </c>
      <c r="B94" s="57" t="s">
        <v>155</v>
      </c>
      <c r="C94" s="55" t="s">
        <v>61</v>
      </c>
      <c r="D94" s="51" t="s">
        <v>61</v>
      </c>
      <c r="E94" s="50">
        <v>0.39</v>
      </c>
      <c r="F94" s="52">
        <v>0.5</v>
      </c>
      <c r="G94" s="52">
        <v>0.6</v>
      </c>
      <c r="H94" s="52">
        <v>0.03</v>
      </c>
      <c r="I94" s="52">
        <v>0.5</v>
      </c>
      <c r="J94" s="52">
        <v>0</v>
      </c>
    </row>
    <row r="95" spans="1:10" ht="18" customHeight="1">
      <c r="A95" s="55" t="s">
        <v>46</v>
      </c>
      <c r="B95" s="57" t="s">
        <v>156</v>
      </c>
      <c r="C95" s="55" t="s">
        <v>147</v>
      </c>
      <c r="D95" s="51" t="s">
        <v>148</v>
      </c>
      <c r="E95" s="52">
        <v>0</v>
      </c>
      <c r="F95" s="52">
        <v>0.5</v>
      </c>
      <c r="G95" s="52">
        <v>1</v>
      </c>
      <c r="H95" s="52">
        <v>0</v>
      </c>
      <c r="I95" s="52">
        <v>0.5</v>
      </c>
      <c r="J95" s="52">
        <v>0.1</v>
      </c>
    </row>
    <row r="96" spans="1:10" s="12" customFormat="1" ht="35.1" customHeight="1">
      <c r="A96" s="55" t="s">
        <v>46</v>
      </c>
      <c r="B96" s="57" t="s">
        <v>156</v>
      </c>
      <c r="C96" s="55" t="s">
        <v>147</v>
      </c>
      <c r="D96" s="51" t="s">
        <v>61</v>
      </c>
      <c r="E96" s="52">
        <v>0</v>
      </c>
      <c r="F96" s="52">
        <v>0.5</v>
      </c>
      <c r="G96" s="52">
        <v>1</v>
      </c>
      <c r="H96" s="52">
        <v>0</v>
      </c>
      <c r="I96" s="52">
        <v>0.5</v>
      </c>
      <c r="J96" s="52">
        <v>0</v>
      </c>
    </row>
    <row r="97" spans="1:10" ht="20.100000000000001" customHeight="1">
      <c r="A97" s="55" t="s">
        <v>46</v>
      </c>
      <c r="B97" s="57" t="s">
        <v>156</v>
      </c>
      <c r="C97" s="55" t="s">
        <v>149</v>
      </c>
      <c r="D97" s="51" t="s">
        <v>148</v>
      </c>
      <c r="E97" s="52">
        <v>0</v>
      </c>
      <c r="F97" s="52">
        <v>0.5</v>
      </c>
      <c r="G97" s="52">
        <v>0.5</v>
      </c>
      <c r="H97" s="52">
        <v>0</v>
      </c>
      <c r="I97" s="52">
        <v>0.5</v>
      </c>
      <c r="J97" s="52">
        <v>0.1</v>
      </c>
    </row>
    <row r="98" spans="1:10" ht="35.1" customHeight="1">
      <c r="A98" s="55" t="s">
        <v>46</v>
      </c>
      <c r="B98" s="57" t="s">
        <v>156</v>
      </c>
      <c r="C98" s="55" t="s">
        <v>149</v>
      </c>
      <c r="D98" s="51" t="s">
        <v>61</v>
      </c>
      <c r="E98" s="52">
        <v>0</v>
      </c>
      <c r="F98" s="52">
        <v>0.5</v>
      </c>
      <c r="G98" s="52">
        <v>0.5</v>
      </c>
      <c r="H98" s="52">
        <v>0</v>
      </c>
      <c r="I98" s="52">
        <v>0.5</v>
      </c>
      <c r="J98" s="52">
        <v>0</v>
      </c>
    </row>
    <row r="99" spans="1:10" ht="18" customHeight="1">
      <c r="A99" s="55" t="s">
        <v>46</v>
      </c>
      <c r="B99" s="57" t="s">
        <v>156</v>
      </c>
      <c r="C99" s="55" t="s">
        <v>58</v>
      </c>
      <c r="D99" s="51" t="s">
        <v>148</v>
      </c>
      <c r="E99" s="52">
        <v>0</v>
      </c>
      <c r="F99" s="52">
        <v>0.5</v>
      </c>
      <c r="G99" s="52">
        <v>0.8</v>
      </c>
      <c r="H99" s="52">
        <v>0</v>
      </c>
      <c r="I99" s="52">
        <v>0.5</v>
      </c>
      <c r="J99" s="52">
        <v>0.1</v>
      </c>
    </row>
    <row r="100" spans="1:10" ht="35.1" customHeight="1">
      <c r="A100" s="55" t="s">
        <v>46</v>
      </c>
      <c r="B100" s="57" t="s">
        <v>156</v>
      </c>
      <c r="C100" s="55" t="s">
        <v>58</v>
      </c>
      <c r="D100" s="51" t="s">
        <v>61</v>
      </c>
      <c r="E100" s="52">
        <v>0</v>
      </c>
      <c r="F100" s="52">
        <v>0.5</v>
      </c>
      <c r="G100" s="52">
        <v>0.8</v>
      </c>
      <c r="H100" s="52">
        <v>0</v>
      </c>
      <c r="I100" s="52">
        <v>0.5</v>
      </c>
      <c r="J100" s="52">
        <v>0</v>
      </c>
    </row>
    <row r="101" spans="1:10" ht="16.5" customHeight="1">
      <c r="A101" s="55" t="s">
        <v>46</v>
      </c>
      <c r="B101" s="57" t="s">
        <v>156</v>
      </c>
      <c r="C101" s="55" t="s">
        <v>150</v>
      </c>
      <c r="D101" s="51" t="s">
        <v>148</v>
      </c>
      <c r="E101" s="52">
        <v>0</v>
      </c>
      <c r="F101" s="52">
        <v>0.5</v>
      </c>
      <c r="G101" s="52">
        <v>0.4</v>
      </c>
      <c r="H101" s="52">
        <v>0</v>
      </c>
      <c r="I101" s="52">
        <v>0.5</v>
      </c>
      <c r="J101" s="52">
        <v>0.1</v>
      </c>
    </row>
    <row r="102" spans="1:10" ht="16.5" customHeight="1">
      <c r="A102" s="55" t="s">
        <v>46</v>
      </c>
      <c r="B102" s="57" t="s">
        <v>156</v>
      </c>
      <c r="C102" s="55" t="s">
        <v>150</v>
      </c>
      <c r="D102" s="51" t="s">
        <v>61</v>
      </c>
      <c r="E102" s="52">
        <v>0</v>
      </c>
      <c r="F102" s="52">
        <v>0.5</v>
      </c>
      <c r="G102" s="52">
        <v>0.4</v>
      </c>
      <c r="H102" s="52">
        <v>0</v>
      </c>
      <c r="I102" s="52">
        <v>0.5</v>
      </c>
      <c r="J102" s="52">
        <v>0</v>
      </c>
    </row>
    <row r="103" spans="1:10" ht="16.5" customHeight="1">
      <c r="A103" s="55" t="s">
        <v>46</v>
      </c>
      <c r="B103" s="57" t="s">
        <v>156</v>
      </c>
      <c r="C103" s="55" t="s">
        <v>61</v>
      </c>
      <c r="D103" s="51" t="s">
        <v>148</v>
      </c>
      <c r="E103" s="52">
        <v>0</v>
      </c>
      <c r="F103" s="52">
        <v>0.5</v>
      </c>
      <c r="G103" s="52">
        <v>0.6</v>
      </c>
      <c r="H103" s="52">
        <v>0</v>
      </c>
      <c r="I103" s="52">
        <v>0.5</v>
      </c>
      <c r="J103" s="52">
        <v>0.1</v>
      </c>
    </row>
    <row r="104" spans="1:10" ht="16.5" customHeight="1">
      <c r="A104" s="55" t="s">
        <v>46</v>
      </c>
      <c r="B104" s="57" t="s">
        <v>156</v>
      </c>
      <c r="C104" s="55" t="s">
        <v>61</v>
      </c>
      <c r="D104" s="51" t="s">
        <v>61</v>
      </c>
      <c r="E104" s="52">
        <v>0</v>
      </c>
      <c r="F104" s="52">
        <v>0.5</v>
      </c>
      <c r="G104" s="52">
        <v>0.6</v>
      </c>
      <c r="H104" s="52">
        <v>0</v>
      </c>
      <c r="I104" s="52">
        <v>0.5</v>
      </c>
      <c r="J104" s="52">
        <v>0</v>
      </c>
    </row>
    <row r="105" spans="1:10" ht="16.5" customHeight="1">
      <c r="A105" s="55" t="s">
        <v>46</v>
      </c>
      <c r="B105" s="57" t="s">
        <v>157</v>
      </c>
      <c r="C105" s="55" t="s">
        <v>147</v>
      </c>
      <c r="D105" s="51" t="s">
        <v>148</v>
      </c>
      <c r="E105" s="52">
        <v>0</v>
      </c>
      <c r="F105" s="52">
        <v>0.5</v>
      </c>
      <c r="G105" s="52">
        <v>1</v>
      </c>
      <c r="H105" s="52">
        <v>0</v>
      </c>
      <c r="I105" s="52">
        <v>0.5</v>
      </c>
      <c r="J105" s="52">
        <v>0.1</v>
      </c>
    </row>
    <row r="106" spans="1:10" ht="16.5" customHeight="1">
      <c r="A106" s="55" t="s">
        <v>46</v>
      </c>
      <c r="B106" s="57" t="s">
        <v>157</v>
      </c>
      <c r="C106" s="55" t="s">
        <v>147</v>
      </c>
      <c r="D106" s="51" t="s">
        <v>61</v>
      </c>
      <c r="E106" s="52">
        <v>0</v>
      </c>
      <c r="F106" s="52">
        <v>0.5</v>
      </c>
      <c r="G106" s="52">
        <v>1</v>
      </c>
      <c r="H106" s="52">
        <v>0</v>
      </c>
      <c r="I106" s="52">
        <v>0.5</v>
      </c>
      <c r="J106" s="52">
        <v>0</v>
      </c>
    </row>
    <row r="107" spans="1:10" ht="16.5" customHeight="1">
      <c r="A107" s="55" t="s">
        <v>46</v>
      </c>
      <c r="B107" s="57" t="s">
        <v>157</v>
      </c>
      <c r="C107" s="55" t="s">
        <v>149</v>
      </c>
      <c r="D107" s="51" t="s">
        <v>148</v>
      </c>
      <c r="E107" s="52">
        <v>0</v>
      </c>
      <c r="F107" s="52">
        <v>0.5</v>
      </c>
      <c r="G107" s="52">
        <v>0.5</v>
      </c>
      <c r="H107" s="52">
        <v>0</v>
      </c>
      <c r="I107" s="52">
        <v>0.5</v>
      </c>
      <c r="J107" s="52">
        <v>0.1</v>
      </c>
    </row>
    <row r="108" spans="1:10" ht="16.5" customHeight="1">
      <c r="A108" s="55" t="s">
        <v>46</v>
      </c>
      <c r="B108" s="57" t="s">
        <v>157</v>
      </c>
      <c r="C108" s="55" t="s">
        <v>149</v>
      </c>
      <c r="D108" s="51" t="s">
        <v>61</v>
      </c>
      <c r="E108" s="52">
        <v>0</v>
      </c>
      <c r="F108" s="52">
        <v>0.5</v>
      </c>
      <c r="G108" s="52">
        <v>0.5</v>
      </c>
      <c r="H108" s="52">
        <v>0</v>
      </c>
      <c r="I108" s="52">
        <v>0.5</v>
      </c>
      <c r="J108" s="52">
        <v>0</v>
      </c>
    </row>
    <row r="109" spans="1:10" ht="16.5" customHeight="1">
      <c r="A109" s="55" t="s">
        <v>46</v>
      </c>
      <c r="B109" s="57" t="s">
        <v>157</v>
      </c>
      <c r="C109" s="55" t="s">
        <v>58</v>
      </c>
      <c r="D109" s="51" t="s">
        <v>148</v>
      </c>
      <c r="E109" s="52">
        <v>0</v>
      </c>
      <c r="F109" s="52">
        <v>0.5</v>
      </c>
      <c r="G109" s="52">
        <v>0.8</v>
      </c>
      <c r="H109" s="52">
        <v>0</v>
      </c>
      <c r="I109" s="52">
        <v>0.5</v>
      </c>
      <c r="J109" s="52">
        <v>0.1</v>
      </c>
    </row>
    <row r="110" spans="1:10" ht="16.5" customHeight="1">
      <c r="A110" s="55" t="s">
        <v>46</v>
      </c>
      <c r="B110" s="57" t="s">
        <v>157</v>
      </c>
      <c r="C110" s="55" t="s">
        <v>58</v>
      </c>
      <c r="D110" s="51" t="s">
        <v>61</v>
      </c>
      <c r="E110" s="52">
        <v>0</v>
      </c>
      <c r="F110" s="52">
        <v>0.5</v>
      </c>
      <c r="G110" s="52">
        <v>0.8</v>
      </c>
      <c r="H110" s="52">
        <v>0</v>
      </c>
      <c r="I110" s="52">
        <v>0.5</v>
      </c>
      <c r="J110" s="52">
        <v>0</v>
      </c>
    </row>
    <row r="111" spans="1:10" ht="16.5" customHeight="1">
      <c r="A111" s="55" t="s">
        <v>46</v>
      </c>
      <c r="B111" s="57" t="s">
        <v>157</v>
      </c>
      <c r="C111" s="55" t="s">
        <v>150</v>
      </c>
      <c r="D111" s="51" t="s">
        <v>148</v>
      </c>
      <c r="E111" s="52">
        <v>0</v>
      </c>
      <c r="F111" s="52">
        <v>0.5</v>
      </c>
      <c r="G111" s="52">
        <v>0.4</v>
      </c>
      <c r="H111" s="52">
        <v>0</v>
      </c>
      <c r="I111" s="52">
        <v>0.5</v>
      </c>
      <c r="J111" s="52">
        <v>0.1</v>
      </c>
    </row>
    <row r="112" spans="1:10" ht="16.5" customHeight="1">
      <c r="A112" s="55" t="s">
        <v>46</v>
      </c>
      <c r="B112" s="57" t="s">
        <v>157</v>
      </c>
      <c r="C112" s="55" t="s">
        <v>150</v>
      </c>
      <c r="D112" s="51" t="s">
        <v>61</v>
      </c>
      <c r="E112" s="52">
        <v>0</v>
      </c>
      <c r="F112" s="52">
        <v>0.5</v>
      </c>
      <c r="G112" s="52">
        <v>0.4</v>
      </c>
      <c r="H112" s="52">
        <v>0</v>
      </c>
      <c r="I112" s="52">
        <v>0.5</v>
      </c>
      <c r="J112" s="52">
        <v>0</v>
      </c>
    </row>
    <row r="113" spans="1:10" ht="16.5" customHeight="1">
      <c r="A113" s="55" t="s">
        <v>46</v>
      </c>
      <c r="B113" s="57" t="s">
        <v>157</v>
      </c>
      <c r="C113" s="55" t="s">
        <v>61</v>
      </c>
      <c r="D113" s="51" t="s">
        <v>148</v>
      </c>
      <c r="E113" s="52">
        <v>0</v>
      </c>
      <c r="F113" s="52">
        <v>0.5</v>
      </c>
      <c r="G113" s="52">
        <v>0.6</v>
      </c>
      <c r="H113" s="52">
        <v>0</v>
      </c>
      <c r="I113" s="52">
        <v>0.5</v>
      </c>
      <c r="J113" s="52">
        <v>0.1</v>
      </c>
    </row>
    <row r="114" spans="1:10" ht="16.5" customHeight="1">
      <c r="A114" s="55" t="s">
        <v>46</v>
      </c>
      <c r="B114" s="57" t="s">
        <v>157</v>
      </c>
      <c r="C114" s="55" t="s">
        <v>61</v>
      </c>
      <c r="D114" s="51" t="s">
        <v>61</v>
      </c>
      <c r="E114" s="52">
        <v>0</v>
      </c>
      <c r="F114" s="52">
        <v>0.5</v>
      </c>
      <c r="G114" s="52">
        <v>0.6</v>
      </c>
      <c r="H114" s="52">
        <v>0</v>
      </c>
      <c r="I114" s="52">
        <v>0.5</v>
      </c>
      <c r="J114" s="52">
        <v>0</v>
      </c>
    </row>
    <row r="115" spans="1:10" ht="16.5" customHeight="1">
      <c r="A115" s="55" t="s">
        <v>46</v>
      </c>
      <c r="B115" s="57" t="s">
        <v>158</v>
      </c>
      <c r="C115" s="55" t="s">
        <v>147</v>
      </c>
      <c r="D115" s="51" t="s">
        <v>148</v>
      </c>
      <c r="E115" s="52">
        <v>0</v>
      </c>
      <c r="F115" s="52">
        <v>0.5</v>
      </c>
      <c r="G115" s="52">
        <v>1</v>
      </c>
      <c r="H115" s="52">
        <v>0</v>
      </c>
      <c r="I115" s="52">
        <v>0.5</v>
      </c>
      <c r="J115" s="52">
        <v>0.1</v>
      </c>
    </row>
    <row r="116" spans="1:10" ht="16.5" customHeight="1">
      <c r="A116" s="55" t="s">
        <v>46</v>
      </c>
      <c r="B116" s="57" t="s">
        <v>158</v>
      </c>
      <c r="C116" s="55" t="s">
        <v>147</v>
      </c>
      <c r="D116" s="51" t="s">
        <v>61</v>
      </c>
      <c r="E116" s="52">
        <v>0</v>
      </c>
      <c r="F116" s="52">
        <v>0.5</v>
      </c>
      <c r="G116" s="52">
        <v>1</v>
      </c>
      <c r="H116" s="52">
        <v>0</v>
      </c>
      <c r="I116" s="52">
        <v>0.5</v>
      </c>
      <c r="J116" s="52">
        <v>0</v>
      </c>
    </row>
    <row r="117" spans="1:10" ht="16.5" customHeight="1">
      <c r="A117" s="55" t="s">
        <v>46</v>
      </c>
      <c r="B117" s="57" t="s">
        <v>158</v>
      </c>
      <c r="C117" s="55" t="s">
        <v>149</v>
      </c>
      <c r="D117" s="51" t="s">
        <v>148</v>
      </c>
      <c r="E117" s="52">
        <v>0</v>
      </c>
      <c r="F117" s="52">
        <v>0.5</v>
      </c>
      <c r="G117" s="52">
        <v>0.5</v>
      </c>
      <c r="H117" s="52">
        <v>0</v>
      </c>
      <c r="I117" s="52">
        <v>0.5</v>
      </c>
      <c r="J117" s="52">
        <v>0.1</v>
      </c>
    </row>
    <row r="118" spans="1:10" ht="16.5" customHeight="1">
      <c r="A118" s="55" t="s">
        <v>46</v>
      </c>
      <c r="B118" s="57" t="s">
        <v>158</v>
      </c>
      <c r="C118" s="55" t="s">
        <v>149</v>
      </c>
      <c r="D118" s="51" t="s">
        <v>61</v>
      </c>
      <c r="E118" s="52">
        <v>0</v>
      </c>
      <c r="F118" s="52">
        <v>0.5</v>
      </c>
      <c r="G118" s="52">
        <v>0.5</v>
      </c>
      <c r="H118" s="52">
        <v>0</v>
      </c>
      <c r="I118" s="52">
        <v>0.5</v>
      </c>
      <c r="J118" s="52">
        <v>0</v>
      </c>
    </row>
    <row r="119" spans="1:10" ht="16.5" customHeight="1">
      <c r="A119" s="55" t="s">
        <v>46</v>
      </c>
      <c r="B119" s="57" t="s">
        <v>158</v>
      </c>
      <c r="C119" s="55" t="s">
        <v>58</v>
      </c>
      <c r="D119" s="51" t="s">
        <v>148</v>
      </c>
      <c r="E119" s="52">
        <v>0</v>
      </c>
      <c r="F119" s="52">
        <v>0.5</v>
      </c>
      <c r="G119" s="52">
        <v>0.8</v>
      </c>
      <c r="H119" s="52">
        <v>0</v>
      </c>
      <c r="I119" s="52">
        <v>0.5</v>
      </c>
      <c r="J119" s="52">
        <v>0.1</v>
      </c>
    </row>
    <row r="120" spans="1:10" ht="16.5" customHeight="1">
      <c r="A120" s="55" t="s">
        <v>46</v>
      </c>
      <c r="B120" s="57" t="s">
        <v>158</v>
      </c>
      <c r="C120" s="55" t="s">
        <v>58</v>
      </c>
      <c r="D120" s="51" t="s">
        <v>61</v>
      </c>
      <c r="E120" s="52">
        <v>0</v>
      </c>
      <c r="F120" s="52">
        <v>0.5</v>
      </c>
      <c r="G120" s="52">
        <v>0.8</v>
      </c>
      <c r="H120" s="52">
        <v>0</v>
      </c>
      <c r="I120" s="52">
        <v>0.5</v>
      </c>
      <c r="J120" s="52">
        <v>0</v>
      </c>
    </row>
    <row r="121" spans="1:10" ht="16.5" customHeight="1">
      <c r="A121" s="55" t="s">
        <v>46</v>
      </c>
      <c r="B121" s="57" t="s">
        <v>158</v>
      </c>
      <c r="C121" s="55" t="s">
        <v>150</v>
      </c>
      <c r="D121" s="51" t="s">
        <v>148</v>
      </c>
      <c r="E121" s="52">
        <v>0</v>
      </c>
      <c r="F121" s="52">
        <v>0.5</v>
      </c>
      <c r="G121" s="52">
        <v>0.4</v>
      </c>
      <c r="H121" s="52">
        <v>0</v>
      </c>
      <c r="I121" s="52">
        <v>0.5</v>
      </c>
      <c r="J121" s="52">
        <v>0.1</v>
      </c>
    </row>
    <row r="122" spans="1:10" ht="16.5" customHeight="1">
      <c r="A122" s="55" t="s">
        <v>46</v>
      </c>
      <c r="B122" s="57" t="s">
        <v>158</v>
      </c>
      <c r="C122" s="55" t="s">
        <v>150</v>
      </c>
      <c r="D122" s="51" t="s">
        <v>61</v>
      </c>
      <c r="E122" s="52">
        <v>0</v>
      </c>
      <c r="F122" s="52">
        <v>0.5</v>
      </c>
      <c r="G122" s="52">
        <v>0.4</v>
      </c>
      <c r="H122" s="52">
        <v>0</v>
      </c>
      <c r="I122" s="52">
        <v>0.5</v>
      </c>
      <c r="J122" s="52">
        <v>0</v>
      </c>
    </row>
    <row r="123" spans="1:10" ht="16.5" customHeight="1">
      <c r="A123" s="55" t="s">
        <v>46</v>
      </c>
      <c r="B123" s="57" t="s">
        <v>158</v>
      </c>
      <c r="C123" s="55" t="s">
        <v>61</v>
      </c>
      <c r="D123" s="51" t="s">
        <v>148</v>
      </c>
      <c r="E123" s="52">
        <v>0</v>
      </c>
      <c r="F123" s="52">
        <v>0.5</v>
      </c>
      <c r="G123" s="52">
        <v>0.6</v>
      </c>
      <c r="H123" s="52">
        <v>0</v>
      </c>
      <c r="I123" s="52">
        <v>0.5</v>
      </c>
      <c r="J123" s="52">
        <v>0.1</v>
      </c>
    </row>
    <row r="124" spans="1:10" ht="16.5" customHeight="1">
      <c r="A124" s="55" t="s">
        <v>46</v>
      </c>
      <c r="B124" s="57" t="s">
        <v>158</v>
      </c>
      <c r="C124" s="55" t="s">
        <v>61</v>
      </c>
      <c r="D124" s="51" t="s">
        <v>61</v>
      </c>
      <c r="E124" s="52">
        <v>0</v>
      </c>
      <c r="F124" s="52">
        <v>0.5</v>
      </c>
      <c r="G124" s="52">
        <v>0.6</v>
      </c>
      <c r="H124" s="52">
        <v>0</v>
      </c>
      <c r="I124" s="52">
        <v>0.5</v>
      </c>
      <c r="J124" s="52">
        <v>0</v>
      </c>
    </row>
    <row r="125" spans="1:10" ht="16.5" customHeight="1">
      <c r="A125" s="55" t="s">
        <v>46</v>
      </c>
      <c r="B125" s="54" t="s">
        <v>159</v>
      </c>
      <c r="C125" s="55" t="s">
        <v>147</v>
      </c>
      <c r="D125" s="51" t="s">
        <v>148</v>
      </c>
      <c r="E125" s="52">
        <v>0</v>
      </c>
      <c r="F125" s="52">
        <v>0.5</v>
      </c>
      <c r="G125" s="52">
        <v>1</v>
      </c>
      <c r="H125" s="52">
        <v>0</v>
      </c>
      <c r="I125" s="52">
        <v>0.5</v>
      </c>
      <c r="J125" s="52">
        <v>0.1</v>
      </c>
    </row>
    <row r="126" spans="1:10" ht="16.5" customHeight="1">
      <c r="A126" s="55" t="s">
        <v>46</v>
      </c>
      <c r="B126" s="54" t="s">
        <v>159</v>
      </c>
      <c r="C126" s="55" t="s">
        <v>147</v>
      </c>
      <c r="D126" s="51" t="s">
        <v>61</v>
      </c>
      <c r="E126" s="52">
        <v>0</v>
      </c>
      <c r="F126" s="52">
        <v>0.5</v>
      </c>
      <c r="G126" s="52">
        <v>1</v>
      </c>
      <c r="H126" s="52">
        <v>0</v>
      </c>
      <c r="I126" s="52">
        <v>0.5</v>
      </c>
      <c r="J126" s="52">
        <v>0</v>
      </c>
    </row>
    <row r="127" spans="1:10" ht="16.5" customHeight="1">
      <c r="A127" s="55" t="s">
        <v>46</v>
      </c>
      <c r="B127" s="54" t="s">
        <v>159</v>
      </c>
      <c r="C127" s="55" t="s">
        <v>149</v>
      </c>
      <c r="D127" s="51" t="s">
        <v>148</v>
      </c>
      <c r="E127" s="52">
        <v>0</v>
      </c>
      <c r="F127" s="52">
        <v>0.5</v>
      </c>
      <c r="G127" s="52">
        <v>0.5</v>
      </c>
      <c r="H127" s="52">
        <v>0</v>
      </c>
      <c r="I127" s="52">
        <v>0.5</v>
      </c>
      <c r="J127" s="52">
        <v>0.1</v>
      </c>
    </row>
    <row r="128" spans="1:10" ht="16.5" customHeight="1">
      <c r="A128" s="55" t="s">
        <v>46</v>
      </c>
      <c r="B128" s="54" t="s">
        <v>159</v>
      </c>
      <c r="C128" s="55" t="s">
        <v>149</v>
      </c>
      <c r="D128" s="51" t="s">
        <v>61</v>
      </c>
      <c r="E128" s="52">
        <v>0</v>
      </c>
      <c r="F128" s="52">
        <v>0.5</v>
      </c>
      <c r="G128" s="52">
        <v>0.5</v>
      </c>
      <c r="H128" s="52">
        <v>0</v>
      </c>
      <c r="I128" s="52">
        <v>0.5</v>
      </c>
      <c r="J128" s="52">
        <v>0</v>
      </c>
    </row>
    <row r="129" spans="1:10" ht="16.5" customHeight="1">
      <c r="A129" s="55" t="s">
        <v>46</v>
      </c>
      <c r="B129" s="54" t="s">
        <v>159</v>
      </c>
      <c r="C129" s="55" t="s">
        <v>58</v>
      </c>
      <c r="D129" s="51" t="s">
        <v>148</v>
      </c>
      <c r="E129" s="52">
        <v>0</v>
      </c>
      <c r="F129" s="52">
        <v>0.5</v>
      </c>
      <c r="G129" s="52">
        <v>0.8</v>
      </c>
      <c r="H129" s="52">
        <v>0</v>
      </c>
      <c r="I129" s="52">
        <v>0.5</v>
      </c>
      <c r="J129" s="52">
        <v>0.1</v>
      </c>
    </row>
    <row r="130" spans="1:10" ht="16.5" customHeight="1">
      <c r="A130" s="55" t="s">
        <v>46</v>
      </c>
      <c r="B130" s="54" t="s">
        <v>159</v>
      </c>
      <c r="C130" s="55" t="s">
        <v>58</v>
      </c>
      <c r="D130" s="51" t="s">
        <v>61</v>
      </c>
      <c r="E130" s="52">
        <v>0</v>
      </c>
      <c r="F130" s="52">
        <v>0.5</v>
      </c>
      <c r="G130" s="52">
        <v>0.8</v>
      </c>
      <c r="H130" s="52">
        <v>0</v>
      </c>
      <c r="I130" s="52">
        <v>0.5</v>
      </c>
      <c r="J130" s="52">
        <v>0</v>
      </c>
    </row>
    <row r="131" spans="1:10" ht="16.5" customHeight="1">
      <c r="A131" s="55" t="s">
        <v>46</v>
      </c>
      <c r="B131" s="54" t="s">
        <v>159</v>
      </c>
      <c r="C131" s="55" t="s">
        <v>150</v>
      </c>
      <c r="D131" s="51" t="s">
        <v>148</v>
      </c>
      <c r="E131" s="52">
        <v>0</v>
      </c>
      <c r="F131" s="52">
        <v>0.5</v>
      </c>
      <c r="G131" s="52">
        <v>0.4</v>
      </c>
      <c r="H131" s="52">
        <v>0</v>
      </c>
      <c r="I131" s="52">
        <v>0.5</v>
      </c>
      <c r="J131" s="52">
        <v>0.1</v>
      </c>
    </row>
    <row r="132" spans="1:10" ht="16.5" customHeight="1">
      <c r="A132" s="55" t="s">
        <v>46</v>
      </c>
      <c r="B132" s="54" t="s">
        <v>159</v>
      </c>
      <c r="C132" s="55" t="s">
        <v>150</v>
      </c>
      <c r="D132" s="51" t="s">
        <v>61</v>
      </c>
      <c r="E132" s="52">
        <v>0</v>
      </c>
      <c r="F132" s="52">
        <v>0.5</v>
      </c>
      <c r="G132" s="52">
        <v>0.4</v>
      </c>
      <c r="H132" s="52">
        <v>0</v>
      </c>
      <c r="I132" s="52">
        <v>0.5</v>
      </c>
      <c r="J132" s="52">
        <v>0</v>
      </c>
    </row>
    <row r="133" spans="1:10" ht="16.5" customHeight="1">
      <c r="A133" s="55" t="s">
        <v>46</v>
      </c>
      <c r="B133" s="54" t="s">
        <v>159</v>
      </c>
      <c r="C133" s="55" t="s">
        <v>61</v>
      </c>
      <c r="D133" s="51" t="s">
        <v>148</v>
      </c>
      <c r="E133" s="52">
        <v>0</v>
      </c>
      <c r="F133" s="52">
        <v>0.5</v>
      </c>
      <c r="G133" s="52">
        <v>0.6</v>
      </c>
      <c r="H133" s="52">
        <v>0</v>
      </c>
      <c r="I133" s="52">
        <v>0.5</v>
      </c>
      <c r="J133" s="52">
        <v>0.1</v>
      </c>
    </row>
    <row r="134" spans="1:10" ht="16.5" customHeight="1">
      <c r="A134" s="55" t="s">
        <v>46</v>
      </c>
      <c r="B134" s="54" t="s">
        <v>159</v>
      </c>
      <c r="C134" s="55" t="s">
        <v>61</v>
      </c>
      <c r="D134" s="51" t="s">
        <v>61</v>
      </c>
      <c r="E134" s="52">
        <v>0</v>
      </c>
      <c r="F134" s="52">
        <v>0.5</v>
      </c>
      <c r="G134" s="52">
        <v>0.6</v>
      </c>
      <c r="H134" s="52">
        <v>0</v>
      </c>
      <c r="I134" s="52">
        <v>0.5</v>
      </c>
      <c r="J134" s="52">
        <v>0</v>
      </c>
    </row>
    <row r="135" spans="1:10" ht="16.5" customHeight="1">
      <c r="A135" s="59" t="s">
        <v>87</v>
      </c>
      <c r="B135" s="58" t="s">
        <v>146</v>
      </c>
      <c r="C135" s="55" t="s">
        <v>147</v>
      </c>
      <c r="D135" s="53" t="s">
        <v>148</v>
      </c>
      <c r="E135" s="49">
        <v>0.15</v>
      </c>
      <c r="F135" s="50">
        <v>0.5</v>
      </c>
      <c r="G135" s="50">
        <v>1</v>
      </c>
      <c r="H135" s="50">
        <v>0.09</v>
      </c>
      <c r="I135" s="50">
        <v>0.5</v>
      </c>
      <c r="J135" s="50">
        <v>0.1</v>
      </c>
    </row>
    <row r="136" spans="1:10" ht="16.5" customHeight="1">
      <c r="A136" s="59" t="s">
        <v>87</v>
      </c>
      <c r="B136" s="58" t="s">
        <v>146</v>
      </c>
      <c r="C136" s="55" t="s">
        <v>147</v>
      </c>
      <c r="D136" s="51" t="s">
        <v>61</v>
      </c>
      <c r="E136" s="49">
        <v>0.15</v>
      </c>
      <c r="F136" s="52">
        <v>0.5</v>
      </c>
      <c r="G136" s="52">
        <v>1</v>
      </c>
      <c r="H136" s="52">
        <v>0.09</v>
      </c>
      <c r="I136" s="52">
        <v>0.5</v>
      </c>
      <c r="J136" s="52">
        <v>0</v>
      </c>
    </row>
    <row r="137" spans="1:10" ht="16.5" customHeight="1">
      <c r="A137" s="59" t="s">
        <v>87</v>
      </c>
      <c r="B137" s="58" t="s">
        <v>146</v>
      </c>
      <c r="C137" s="55" t="s">
        <v>149</v>
      </c>
      <c r="D137" s="51" t="s">
        <v>148</v>
      </c>
      <c r="E137" s="49">
        <v>0.15</v>
      </c>
      <c r="F137" s="52">
        <v>0.5</v>
      </c>
      <c r="G137" s="52">
        <v>0.5</v>
      </c>
      <c r="H137" s="52">
        <v>0.09</v>
      </c>
      <c r="I137" s="52">
        <v>0.5</v>
      </c>
      <c r="J137" s="52">
        <v>0.1</v>
      </c>
    </row>
    <row r="138" spans="1:10" ht="16.5" customHeight="1">
      <c r="A138" s="59" t="s">
        <v>87</v>
      </c>
      <c r="B138" s="58" t="s">
        <v>146</v>
      </c>
      <c r="C138" s="55" t="s">
        <v>149</v>
      </c>
      <c r="D138" s="51" t="s">
        <v>61</v>
      </c>
      <c r="E138" s="49">
        <v>0.15</v>
      </c>
      <c r="F138" s="52">
        <v>0.5</v>
      </c>
      <c r="G138" s="52">
        <v>0.5</v>
      </c>
      <c r="H138" s="52">
        <v>0.09</v>
      </c>
      <c r="I138" s="52">
        <v>0.5</v>
      </c>
      <c r="J138" s="52">
        <v>0</v>
      </c>
    </row>
    <row r="139" spans="1:10" ht="16.5" customHeight="1">
      <c r="A139" s="59" t="s">
        <v>87</v>
      </c>
      <c r="B139" s="58" t="s">
        <v>146</v>
      </c>
      <c r="C139" s="55" t="s">
        <v>58</v>
      </c>
      <c r="D139" s="51" t="s">
        <v>148</v>
      </c>
      <c r="E139" s="49">
        <v>0.15</v>
      </c>
      <c r="F139" s="52">
        <v>0.5</v>
      </c>
      <c r="G139" s="52">
        <v>0.8</v>
      </c>
      <c r="H139" s="52">
        <v>0.09</v>
      </c>
      <c r="I139" s="52">
        <v>0.5</v>
      </c>
      <c r="J139" s="52">
        <v>0.1</v>
      </c>
    </row>
    <row r="140" spans="1:10" ht="16.5" customHeight="1">
      <c r="A140" s="59" t="s">
        <v>87</v>
      </c>
      <c r="B140" s="58" t="s">
        <v>146</v>
      </c>
      <c r="C140" s="55" t="s">
        <v>58</v>
      </c>
      <c r="D140" s="51" t="s">
        <v>61</v>
      </c>
      <c r="E140" s="49">
        <v>0.15</v>
      </c>
      <c r="F140" s="52">
        <v>0.5</v>
      </c>
      <c r="G140" s="52">
        <v>0.8</v>
      </c>
      <c r="H140" s="52">
        <v>0.09</v>
      </c>
      <c r="I140" s="52">
        <v>0.5</v>
      </c>
      <c r="J140" s="52">
        <v>0</v>
      </c>
    </row>
    <row r="141" spans="1:10" ht="16.5" customHeight="1">
      <c r="A141" s="59" t="s">
        <v>87</v>
      </c>
      <c r="B141" s="58" t="s">
        <v>146</v>
      </c>
      <c r="C141" s="55" t="s">
        <v>150</v>
      </c>
      <c r="D141" s="51" t="s">
        <v>148</v>
      </c>
      <c r="E141" s="49">
        <v>0.15</v>
      </c>
      <c r="F141" s="52">
        <v>0.5</v>
      </c>
      <c r="G141" s="52">
        <v>0.4</v>
      </c>
      <c r="H141" s="52">
        <v>0.09</v>
      </c>
      <c r="I141" s="52">
        <v>0.5</v>
      </c>
      <c r="J141" s="52">
        <v>0.1</v>
      </c>
    </row>
    <row r="142" spans="1:10" ht="16.5" customHeight="1">
      <c r="A142" s="59" t="s">
        <v>87</v>
      </c>
      <c r="B142" s="58" t="s">
        <v>146</v>
      </c>
      <c r="C142" s="55" t="s">
        <v>150</v>
      </c>
      <c r="D142" s="51" t="s">
        <v>61</v>
      </c>
      <c r="E142" s="49">
        <v>0.15</v>
      </c>
      <c r="F142" s="52">
        <v>0.5</v>
      </c>
      <c r="G142" s="52">
        <v>0.4</v>
      </c>
      <c r="H142" s="52">
        <v>0.09</v>
      </c>
      <c r="I142" s="52">
        <v>0.5</v>
      </c>
      <c r="J142" s="52">
        <v>0</v>
      </c>
    </row>
    <row r="143" spans="1:10" ht="16.5" customHeight="1">
      <c r="A143" s="59" t="s">
        <v>87</v>
      </c>
      <c r="B143" s="58" t="s">
        <v>146</v>
      </c>
      <c r="C143" s="55" t="s">
        <v>61</v>
      </c>
      <c r="D143" s="51" t="s">
        <v>148</v>
      </c>
      <c r="E143" s="49">
        <v>0.15</v>
      </c>
      <c r="F143" s="52">
        <v>0.5</v>
      </c>
      <c r="G143" s="52">
        <v>0.6</v>
      </c>
      <c r="H143" s="52">
        <v>0.09</v>
      </c>
      <c r="I143" s="52">
        <v>0.5</v>
      </c>
      <c r="J143" s="52">
        <v>0.1</v>
      </c>
    </row>
    <row r="144" spans="1:10" ht="16.5" customHeight="1">
      <c r="A144" s="59" t="s">
        <v>87</v>
      </c>
      <c r="B144" s="58" t="s">
        <v>146</v>
      </c>
      <c r="C144" s="55" t="s">
        <v>61</v>
      </c>
      <c r="D144" s="51" t="s">
        <v>61</v>
      </c>
      <c r="E144" s="49">
        <v>0.15</v>
      </c>
      <c r="F144" s="52">
        <v>0.5</v>
      </c>
      <c r="G144" s="52">
        <v>0.6</v>
      </c>
      <c r="H144" s="52">
        <v>0.09</v>
      </c>
      <c r="I144" s="52">
        <v>0.5</v>
      </c>
      <c r="J144" s="52">
        <v>0</v>
      </c>
    </row>
    <row r="145" spans="1:10" ht="16.5" customHeight="1">
      <c r="A145" s="59" t="s">
        <v>87</v>
      </c>
      <c r="B145" s="55" t="s">
        <v>160</v>
      </c>
      <c r="C145" s="55" t="s">
        <v>147</v>
      </c>
      <c r="D145" s="51" t="s">
        <v>148</v>
      </c>
      <c r="E145" s="49">
        <v>0.15</v>
      </c>
      <c r="F145" s="52">
        <v>0.5</v>
      </c>
      <c r="G145" s="52">
        <v>1</v>
      </c>
      <c r="H145" s="52">
        <v>0.185</v>
      </c>
      <c r="I145" s="52">
        <v>0.5</v>
      </c>
      <c r="J145" s="52">
        <v>0.1</v>
      </c>
    </row>
    <row r="146" spans="1:10" ht="16.5" customHeight="1">
      <c r="A146" s="59" t="s">
        <v>87</v>
      </c>
      <c r="B146" s="55" t="s">
        <v>160</v>
      </c>
      <c r="C146" s="55" t="s">
        <v>147</v>
      </c>
      <c r="D146" s="51" t="s">
        <v>61</v>
      </c>
      <c r="E146" s="49">
        <v>0.15</v>
      </c>
      <c r="F146" s="52">
        <v>0.5</v>
      </c>
      <c r="G146" s="52">
        <v>1</v>
      </c>
      <c r="H146" s="52">
        <v>0.185</v>
      </c>
      <c r="I146" s="52">
        <v>0.5</v>
      </c>
      <c r="J146" s="52">
        <v>0</v>
      </c>
    </row>
    <row r="147" spans="1:10" ht="16.5" customHeight="1">
      <c r="A147" s="59" t="s">
        <v>87</v>
      </c>
      <c r="B147" s="55" t="s">
        <v>160</v>
      </c>
      <c r="C147" s="55" t="s">
        <v>149</v>
      </c>
      <c r="D147" s="51" t="s">
        <v>148</v>
      </c>
      <c r="E147" s="49">
        <v>0.15</v>
      </c>
      <c r="F147" s="52">
        <v>0.5</v>
      </c>
      <c r="G147" s="52">
        <v>0.5</v>
      </c>
      <c r="H147" s="52">
        <v>0.185</v>
      </c>
      <c r="I147" s="52">
        <v>0.5</v>
      </c>
      <c r="J147" s="52">
        <v>0.1</v>
      </c>
    </row>
    <row r="148" spans="1:10" ht="16.5" customHeight="1">
      <c r="A148" s="59" t="s">
        <v>87</v>
      </c>
      <c r="B148" s="55" t="s">
        <v>160</v>
      </c>
      <c r="C148" s="55" t="s">
        <v>149</v>
      </c>
      <c r="D148" s="51" t="s">
        <v>61</v>
      </c>
      <c r="E148" s="49">
        <v>0.15</v>
      </c>
      <c r="F148" s="52">
        <v>0.5</v>
      </c>
      <c r="G148" s="52">
        <v>0.5</v>
      </c>
      <c r="H148" s="52">
        <v>0.185</v>
      </c>
      <c r="I148" s="52">
        <v>0.5</v>
      </c>
      <c r="J148" s="52">
        <v>0</v>
      </c>
    </row>
    <row r="149" spans="1:10" ht="16.5" customHeight="1">
      <c r="A149" s="59" t="s">
        <v>87</v>
      </c>
      <c r="B149" s="55" t="s">
        <v>160</v>
      </c>
      <c r="C149" s="55" t="s">
        <v>58</v>
      </c>
      <c r="D149" s="51" t="s">
        <v>148</v>
      </c>
      <c r="E149" s="49">
        <v>0.15</v>
      </c>
      <c r="F149" s="52">
        <v>0.5</v>
      </c>
      <c r="G149" s="52">
        <v>0.8</v>
      </c>
      <c r="H149" s="52">
        <v>0.185</v>
      </c>
      <c r="I149" s="52">
        <v>0.5</v>
      </c>
      <c r="J149" s="52">
        <v>0.1</v>
      </c>
    </row>
    <row r="150" spans="1:10" ht="16.5" customHeight="1">
      <c r="A150" s="59" t="s">
        <v>87</v>
      </c>
      <c r="B150" s="55" t="s">
        <v>160</v>
      </c>
      <c r="C150" s="55" t="s">
        <v>58</v>
      </c>
      <c r="D150" s="51" t="s">
        <v>61</v>
      </c>
      <c r="E150" s="49">
        <v>0.15</v>
      </c>
      <c r="F150" s="52">
        <v>0.5</v>
      </c>
      <c r="G150" s="52">
        <v>0.8</v>
      </c>
      <c r="H150" s="52">
        <v>0.185</v>
      </c>
      <c r="I150" s="52">
        <v>0.5</v>
      </c>
      <c r="J150" s="52">
        <v>0</v>
      </c>
    </row>
    <row r="151" spans="1:10" ht="16.5" customHeight="1">
      <c r="A151" s="59" t="s">
        <v>87</v>
      </c>
      <c r="B151" s="55" t="s">
        <v>160</v>
      </c>
      <c r="C151" s="55" t="s">
        <v>150</v>
      </c>
      <c r="D151" s="51" t="s">
        <v>148</v>
      </c>
      <c r="E151" s="49">
        <v>0.15</v>
      </c>
      <c r="F151" s="52">
        <v>0.5</v>
      </c>
      <c r="G151" s="52">
        <v>0.4</v>
      </c>
      <c r="H151" s="52">
        <v>0.185</v>
      </c>
      <c r="I151" s="52">
        <v>0.5</v>
      </c>
      <c r="J151" s="52">
        <v>0.1</v>
      </c>
    </row>
    <row r="152" spans="1:10" ht="16.5" customHeight="1">
      <c r="A152" s="59" t="s">
        <v>87</v>
      </c>
      <c r="B152" s="55" t="s">
        <v>160</v>
      </c>
      <c r="C152" s="55" t="s">
        <v>150</v>
      </c>
      <c r="D152" s="51" t="s">
        <v>61</v>
      </c>
      <c r="E152" s="49">
        <v>0.15</v>
      </c>
      <c r="F152" s="52">
        <v>0.5</v>
      </c>
      <c r="G152" s="52">
        <v>0.4</v>
      </c>
      <c r="H152" s="52">
        <v>0.185</v>
      </c>
      <c r="I152" s="52">
        <v>0.5</v>
      </c>
      <c r="J152" s="52">
        <v>0</v>
      </c>
    </row>
    <row r="153" spans="1:10" ht="16.5" customHeight="1">
      <c r="A153" s="59" t="s">
        <v>87</v>
      </c>
      <c r="B153" s="55" t="s">
        <v>160</v>
      </c>
      <c r="C153" s="55" t="s">
        <v>61</v>
      </c>
      <c r="D153" s="51" t="s">
        <v>148</v>
      </c>
      <c r="E153" s="49">
        <v>0.15</v>
      </c>
      <c r="F153" s="52">
        <v>0.5</v>
      </c>
      <c r="G153" s="52">
        <v>0.6</v>
      </c>
      <c r="H153" s="52">
        <v>0.185</v>
      </c>
      <c r="I153" s="52">
        <v>0.5</v>
      </c>
      <c r="J153" s="52">
        <v>0.1</v>
      </c>
    </row>
    <row r="154" spans="1:10" ht="16.5" customHeight="1">
      <c r="A154" s="59" t="s">
        <v>87</v>
      </c>
      <c r="B154" s="55" t="s">
        <v>160</v>
      </c>
      <c r="C154" s="55" t="s">
        <v>61</v>
      </c>
      <c r="D154" s="51" t="s">
        <v>61</v>
      </c>
      <c r="E154" s="49">
        <v>0.15</v>
      </c>
      <c r="F154" s="52">
        <v>0.5</v>
      </c>
      <c r="G154" s="52">
        <v>0.6</v>
      </c>
      <c r="H154" s="52">
        <v>0.185</v>
      </c>
      <c r="I154" s="52">
        <v>0.5</v>
      </c>
      <c r="J154" s="52">
        <v>0</v>
      </c>
    </row>
    <row r="155" spans="1:10" ht="16.5" customHeight="1">
      <c r="A155" s="59" t="s">
        <v>87</v>
      </c>
      <c r="B155" s="57" t="s">
        <v>161</v>
      </c>
      <c r="C155" s="55" t="s">
        <v>147</v>
      </c>
      <c r="D155" s="51" t="s">
        <v>148</v>
      </c>
      <c r="E155" s="49">
        <v>0.24</v>
      </c>
      <c r="F155" s="52">
        <v>0.5</v>
      </c>
      <c r="G155" s="52">
        <v>1</v>
      </c>
      <c r="H155" s="52">
        <v>0.06</v>
      </c>
      <c r="I155" s="52">
        <v>0.5</v>
      </c>
      <c r="J155" s="52">
        <v>0.1</v>
      </c>
    </row>
    <row r="156" spans="1:10" ht="16.5" customHeight="1">
      <c r="A156" s="59" t="s">
        <v>87</v>
      </c>
      <c r="B156" s="57" t="s">
        <v>161</v>
      </c>
      <c r="C156" s="55" t="s">
        <v>147</v>
      </c>
      <c r="D156" s="51" t="s">
        <v>61</v>
      </c>
      <c r="E156" s="49">
        <v>0.24</v>
      </c>
      <c r="F156" s="52">
        <v>0.5</v>
      </c>
      <c r="G156" s="52">
        <v>1</v>
      </c>
      <c r="H156" s="52">
        <v>0.06</v>
      </c>
      <c r="I156" s="52">
        <v>0.5</v>
      </c>
      <c r="J156" s="52">
        <v>0</v>
      </c>
    </row>
    <row r="157" spans="1:10" ht="16.5" customHeight="1">
      <c r="A157" s="59" t="s">
        <v>87</v>
      </c>
      <c r="B157" s="57" t="s">
        <v>161</v>
      </c>
      <c r="C157" s="55" t="s">
        <v>149</v>
      </c>
      <c r="D157" s="51" t="s">
        <v>148</v>
      </c>
      <c r="E157" s="49">
        <v>0.24</v>
      </c>
      <c r="F157" s="52">
        <v>0.5</v>
      </c>
      <c r="G157" s="52">
        <v>0.5</v>
      </c>
      <c r="H157" s="52">
        <v>0.06</v>
      </c>
      <c r="I157" s="52">
        <v>0.5</v>
      </c>
      <c r="J157" s="52">
        <v>0.1</v>
      </c>
    </row>
    <row r="158" spans="1:10" ht="16.5" customHeight="1">
      <c r="A158" s="59" t="s">
        <v>87</v>
      </c>
      <c r="B158" s="57" t="s">
        <v>161</v>
      </c>
      <c r="C158" s="55" t="s">
        <v>149</v>
      </c>
      <c r="D158" s="51" t="s">
        <v>61</v>
      </c>
      <c r="E158" s="49">
        <v>0.24</v>
      </c>
      <c r="F158" s="52">
        <v>0.5</v>
      </c>
      <c r="G158" s="52">
        <v>0.5</v>
      </c>
      <c r="H158" s="52">
        <v>0.06</v>
      </c>
      <c r="I158" s="52">
        <v>0.5</v>
      </c>
      <c r="J158" s="52">
        <v>0</v>
      </c>
    </row>
    <row r="159" spans="1:10" ht="16.5" customHeight="1">
      <c r="A159" s="59" t="s">
        <v>87</v>
      </c>
      <c r="B159" s="57" t="s">
        <v>161</v>
      </c>
      <c r="C159" s="55" t="s">
        <v>58</v>
      </c>
      <c r="D159" s="51" t="s">
        <v>148</v>
      </c>
      <c r="E159" s="49">
        <v>0.24</v>
      </c>
      <c r="F159" s="52">
        <v>0.5</v>
      </c>
      <c r="G159" s="52">
        <v>0.8</v>
      </c>
      <c r="H159" s="52">
        <v>0.06</v>
      </c>
      <c r="I159" s="52">
        <v>0.5</v>
      </c>
      <c r="J159" s="52">
        <v>0.1</v>
      </c>
    </row>
    <row r="160" spans="1:10" ht="16.5" customHeight="1">
      <c r="A160" s="59" t="s">
        <v>87</v>
      </c>
      <c r="B160" s="57" t="s">
        <v>161</v>
      </c>
      <c r="C160" s="55" t="s">
        <v>58</v>
      </c>
      <c r="D160" s="51" t="s">
        <v>61</v>
      </c>
      <c r="E160" s="49">
        <v>0.24</v>
      </c>
      <c r="F160" s="52">
        <v>0.5</v>
      </c>
      <c r="G160" s="52">
        <v>0.8</v>
      </c>
      <c r="H160" s="52">
        <v>0.06</v>
      </c>
      <c r="I160" s="52">
        <v>0.5</v>
      </c>
      <c r="J160" s="52">
        <v>0</v>
      </c>
    </row>
    <row r="161" spans="1:10" ht="16.5" customHeight="1">
      <c r="A161" s="59" t="s">
        <v>87</v>
      </c>
      <c r="B161" s="57" t="s">
        <v>161</v>
      </c>
      <c r="C161" s="55" t="s">
        <v>150</v>
      </c>
      <c r="D161" s="51" t="s">
        <v>148</v>
      </c>
      <c r="E161" s="49">
        <v>0.24</v>
      </c>
      <c r="F161" s="52">
        <v>0.5</v>
      </c>
      <c r="G161" s="52">
        <v>0.4</v>
      </c>
      <c r="H161" s="52">
        <v>0.06</v>
      </c>
      <c r="I161" s="52">
        <v>0.5</v>
      </c>
      <c r="J161" s="52">
        <v>0.1</v>
      </c>
    </row>
    <row r="162" spans="1:10" ht="16.5" customHeight="1">
      <c r="A162" s="59" t="s">
        <v>87</v>
      </c>
      <c r="B162" s="57" t="s">
        <v>161</v>
      </c>
      <c r="C162" s="55" t="s">
        <v>150</v>
      </c>
      <c r="D162" s="51" t="s">
        <v>61</v>
      </c>
      <c r="E162" s="49">
        <v>0.24</v>
      </c>
      <c r="F162" s="52">
        <v>0.5</v>
      </c>
      <c r="G162" s="52">
        <v>0.4</v>
      </c>
      <c r="H162" s="52">
        <v>0.06</v>
      </c>
      <c r="I162" s="52">
        <v>0.5</v>
      </c>
      <c r="J162" s="52">
        <v>0</v>
      </c>
    </row>
    <row r="163" spans="1:10" ht="16.5" customHeight="1">
      <c r="A163" s="59" t="s">
        <v>87</v>
      </c>
      <c r="B163" s="57" t="s">
        <v>161</v>
      </c>
      <c r="C163" s="55" t="s">
        <v>61</v>
      </c>
      <c r="D163" s="51" t="s">
        <v>148</v>
      </c>
      <c r="E163" s="49">
        <v>0.24</v>
      </c>
      <c r="F163" s="52">
        <v>0.5</v>
      </c>
      <c r="G163" s="52">
        <v>0.6</v>
      </c>
      <c r="H163" s="52">
        <v>0.06</v>
      </c>
      <c r="I163" s="52">
        <v>0.5</v>
      </c>
      <c r="J163" s="52">
        <v>0.1</v>
      </c>
    </row>
    <row r="164" spans="1:10" ht="16.5" customHeight="1">
      <c r="A164" s="59" t="s">
        <v>87</v>
      </c>
      <c r="B164" s="57" t="s">
        <v>161</v>
      </c>
      <c r="C164" s="55" t="s">
        <v>61</v>
      </c>
      <c r="D164" s="51" t="s">
        <v>61</v>
      </c>
      <c r="E164" s="49">
        <v>0.24</v>
      </c>
      <c r="F164" s="52">
        <v>0.5</v>
      </c>
      <c r="G164" s="52">
        <v>0.6</v>
      </c>
      <c r="H164" s="52">
        <v>0.06</v>
      </c>
      <c r="I164" s="52">
        <v>0.5</v>
      </c>
      <c r="J164" s="52">
        <v>0</v>
      </c>
    </row>
    <row r="165" spans="1:10" ht="16.5" customHeight="1">
      <c r="A165" s="59" t="s">
        <v>87</v>
      </c>
      <c r="B165" s="57" t="s">
        <v>162</v>
      </c>
      <c r="C165" s="55" t="s">
        <v>147</v>
      </c>
      <c r="D165" s="51" t="s">
        <v>148</v>
      </c>
      <c r="E165" s="49">
        <v>0.43</v>
      </c>
      <c r="F165" s="52">
        <v>0.5</v>
      </c>
      <c r="G165" s="52">
        <v>1</v>
      </c>
      <c r="H165" s="52">
        <v>0.03</v>
      </c>
      <c r="I165" s="52">
        <v>0.5</v>
      </c>
      <c r="J165" s="52">
        <v>0.1</v>
      </c>
    </row>
    <row r="166" spans="1:10" ht="16.5" customHeight="1">
      <c r="A166" s="59" t="s">
        <v>87</v>
      </c>
      <c r="B166" s="57" t="s">
        <v>162</v>
      </c>
      <c r="C166" s="55" t="s">
        <v>147</v>
      </c>
      <c r="D166" s="51" t="s">
        <v>61</v>
      </c>
      <c r="E166" s="49">
        <v>0.43</v>
      </c>
      <c r="F166" s="52">
        <v>0.5</v>
      </c>
      <c r="G166" s="52">
        <v>1</v>
      </c>
      <c r="H166" s="52">
        <v>0.03</v>
      </c>
      <c r="I166" s="52">
        <v>0.5</v>
      </c>
      <c r="J166" s="52">
        <v>0</v>
      </c>
    </row>
    <row r="167" spans="1:10" ht="16.5" customHeight="1">
      <c r="A167" s="59" t="s">
        <v>87</v>
      </c>
      <c r="B167" s="57" t="s">
        <v>162</v>
      </c>
      <c r="C167" s="55" t="s">
        <v>149</v>
      </c>
      <c r="D167" s="51" t="s">
        <v>148</v>
      </c>
      <c r="E167" s="49">
        <v>0.43</v>
      </c>
      <c r="F167" s="52">
        <v>0.5</v>
      </c>
      <c r="G167" s="52">
        <v>0.5</v>
      </c>
      <c r="H167" s="52">
        <v>0.03</v>
      </c>
      <c r="I167" s="52">
        <v>0.5</v>
      </c>
      <c r="J167" s="52">
        <v>0.1</v>
      </c>
    </row>
    <row r="168" spans="1:10" ht="16.5" customHeight="1">
      <c r="A168" s="59" t="s">
        <v>87</v>
      </c>
      <c r="B168" s="57" t="s">
        <v>162</v>
      </c>
      <c r="C168" s="55" t="s">
        <v>149</v>
      </c>
      <c r="D168" s="51" t="s">
        <v>61</v>
      </c>
      <c r="E168" s="49">
        <v>0.43</v>
      </c>
      <c r="F168" s="52">
        <v>0.5</v>
      </c>
      <c r="G168" s="52">
        <v>0.5</v>
      </c>
      <c r="H168" s="52">
        <v>0.03</v>
      </c>
      <c r="I168" s="52">
        <v>0.5</v>
      </c>
      <c r="J168" s="52">
        <v>0</v>
      </c>
    </row>
    <row r="169" spans="1:10" ht="16.5" customHeight="1">
      <c r="A169" s="59" t="s">
        <v>87</v>
      </c>
      <c r="B169" s="57" t="s">
        <v>162</v>
      </c>
      <c r="C169" s="55" t="s">
        <v>58</v>
      </c>
      <c r="D169" s="51" t="s">
        <v>148</v>
      </c>
      <c r="E169" s="49">
        <v>0.43</v>
      </c>
      <c r="F169" s="52">
        <v>0.5</v>
      </c>
      <c r="G169" s="52">
        <v>0.8</v>
      </c>
      <c r="H169" s="52">
        <v>0.03</v>
      </c>
      <c r="I169" s="52">
        <v>0.5</v>
      </c>
      <c r="J169" s="52">
        <v>0.1</v>
      </c>
    </row>
    <row r="170" spans="1:10" ht="16.5" customHeight="1">
      <c r="A170" s="59" t="s">
        <v>87</v>
      </c>
      <c r="B170" s="57" t="s">
        <v>162</v>
      </c>
      <c r="C170" s="55" t="s">
        <v>58</v>
      </c>
      <c r="D170" s="51" t="s">
        <v>61</v>
      </c>
      <c r="E170" s="49">
        <v>0.43</v>
      </c>
      <c r="F170" s="52">
        <v>0.5</v>
      </c>
      <c r="G170" s="52">
        <v>0.8</v>
      </c>
      <c r="H170" s="52">
        <v>0.03</v>
      </c>
      <c r="I170" s="52">
        <v>0.5</v>
      </c>
      <c r="J170" s="52">
        <v>0</v>
      </c>
    </row>
    <row r="171" spans="1:10" ht="16.5" customHeight="1">
      <c r="A171" s="59" t="s">
        <v>87</v>
      </c>
      <c r="B171" s="57" t="s">
        <v>162</v>
      </c>
      <c r="C171" s="55" t="s">
        <v>150</v>
      </c>
      <c r="D171" s="51" t="s">
        <v>148</v>
      </c>
      <c r="E171" s="49">
        <v>0.43</v>
      </c>
      <c r="F171" s="52">
        <v>0.5</v>
      </c>
      <c r="G171" s="52">
        <v>0.4</v>
      </c>
      <c r="H171" s="52">
        <v>0.03</v>
      </c>
      <c r="I171" s="52">
        <v>0.5</v>
      </c>
      <c r="J171" s="52">
        <v>0.1</v>
      </c>
    </row>
    <row r="172" spans="1:10" ht="16.5" customHeight="1">
      <c r="A172" s="59" t="s">
        <v>87</v>
      </c>
      <c r="B172" s="57" t="s">
        <v>162</v>
      </c>
      <c r="C172" s="55" t="s">
        <v>150</v>
      </c>
      <c r="D172" s="51" t="s">
        <v>61</v>
      </c>
      <c r="E172" s="49">
        <v>0.43</v>
      </c>
      <c r="F172" s="52">
        <v>0.5</v>
      </c>
      <c r="G172" s="52">
        <v>0.4</v>
      </c>
      <c r="H172" s="52">
        <v>0.03</v>
      </c>
      <c r="I172" s="52">
        <v>0.5</v>
      </c>
      <c r="J172" s="52">
        <v>0</v>
      </c>
    </row>
    <row r="173" spans="1:10" ht="16.5" customHeight="1">
      <c r="A173" s="59" t="s">
        <v>87</v>
      </c>
      <c r="B173" s="57" t="s">
        <v>162</v>
      </c>
      <c r="C173" s="55" t="s">
        <v>61</v>
      </c>
      <c r="D173" s="51" t="s">
        <v>148</v>
      </c>
      <c r="E173" s="49">
        <v>0.43</v>
      </c>
      <c r="F173" s="52">
        <v>0.5</v>
      </c>
      <c r="G173" s="52">
        <v>0.6</v>
      </c>
      <c r="H173" s="52">
        <v>0.03</v>
      </c>
      <c r="I173" s="52">
        <v>0.5</v>
      </c>
      <c r="J173" s="52">
        <v>0.1</v>
      </c>
    </row>
    <row r="174" spans="1:10" ht="16.5" customHeight="1">
      <c r="A174" s="59" t="s">
        <v>87</v>
      </c>
      <c r="B174" s="57" t="s">
        <v>162</v>
      </c>
      <c r="C174" s="55" t="s">
        <v>61</v>
      </c>
      <c r="D174" s="51" t="s">
        <v>61</v>
      </c>
      <c r="E174" s="49">
        <v>0.43</v>
      </c>
      <c r="F174" s="52">
        <v>0.5</v>
      </c>
      <c r="G174" s="52">
        <v>0.6</v>
      </c>
      <c r="H174" s="52">
        <v>0.03</v>
      </c>
      <c r="I174" s="52">
        <v>0.5</v>
      </c>
      <c r="J174" s="52">
        <v>0</v>
      </c>
    </row>
    <row r="175" spans="1:10" ht="16.5" customHeight="1">
      <c r="A175" s="59" t="s">
        <v>87</v>
      </c>
      <c r="B175" s="57" t="s">
        <v>97</v>
      </c>
      <c r="C175" s="55" t="s">
        <v>147</v>
      </c>
      <c r="D175" s="51" t="s">
        <v>148</v>
      </c>
      <c r="E175" s="49">
        <v>0.4</v>
      </c>
      <c r="F175" s="52">
        <v>0.5</v>
      </c>
      <c r="G175" s="52">
        <v>1</v>
      </c>
      <c r="H175" s="52">
        <v>0.06</v>
      </c>
      <c r="I175" s="52">
        <v>0.5</v>
      </c>
      <c r="J175" s="52">
        <v>0.1</v>
      </c>
    </row>
    <row r="176" spans="1:10" ht="16.5" customHeight="1">
      <c r="A176" s="59" t="s">
        <v>87</v>
      </c>
      <c r="B176" s="57" t="s">
        <v>97</v>
      </c>
      <c r="C176" s="55" t="s">
        <v>147</v>
      </c>
      <c r="D176" s="51" t="s">
        <v>61</v>
      </c>
      <c r="E176" s="49">
        <v>0.4</v>
      </c>
      <c r="F176" s="52">
        <v>0.5</v>
      </c>
      <c r="G176" s="52">
        <v>1</v>
      </c>
      <c r="H176" s="52">
        <v>0.06</v>
      </c>
      <c r="I176" s="52">
        <v>0.5</v>
      </c>
      <c r="J176" s="52">
        <v>0</v>
      </c>
    </row>
    <row r="177" spans="1:10" ht="16.5" customHeight="1">
      <c r="A177" s="59" t="s">
        <v>87</v>
      </c>
      <c r="B177" s="57" t="s">
        <v>97</v>
      </c>
      <c r="C177" s="55" t="s">
        <v>149</v>
      </c>
      <c r="D177" s="51" t="s">
        <v>148</v>
      </c>
      <c r="E177" s="49">
        <v>0.4</v>
      </c>
      <c r="F177" s="52">
        <v>0.5</v>
      </c>
      <c r="G177" s="52">
        <v>0.5</v>
      </c>
      <c r="H177" s="52">
        <v>0.06</v>
      </c>
      <c r="I177" s="52">
        <v>0.5</v>
      </c>
      <c r="J177" s="52">
        <v>0.1</v>
      </c>
    </row>
    <row r="178" spans="1:10" ht="16.5" customHeight="1">
      <c r="A178" s="59" t="s">
        <v>87</v>
      </c>
      <c r="B178" s="57" t="s">
        <v>97</v>
      </c>
      <c r="C178" s="55" t="s">
        <v>149</v>
      </c>
      <c r="D178" s="51" t="s">
        <v>61</v>
      </c>
      <c r="E178" s="49">
        <v>0.4</v>
      </c>
      <c r="F178" s="52">
        <v>0.5</v>
      </c>
      <c r="G178" s="52">
        <v>0.5</v>
      </c>
      <c r="H178" s="52">
        <v>0.06</v>
      </c>
      <c r="I178" s="52">
        <v>0.5</v>
      </c>
      <c r="J178" s="52">
        <v>0</v>
      </c>
    </row>
    <row r="179" spans="1:10" ht="16.5" customHeight="1">
      <c r="A179" s="59" t="s">
        <v>87</v>
      </c>
      <c r="B179" s="57" t="s">
        <v>97</v>
      </c>
      <c r="C179" s="55" t="s">
        <v>58</v>
      </c>
      <c r="D179" s="51" t="s">
        <v>148</v>
      </c>
      <c r="E179" s="49">
        <v>0.4</v>
      </c>
      <c r="F179" s="52">
        <v>0.5</v>
      </c>
      <c r="G179" s="52">
        <v>0.8</v>
      </c>
      <c r="H179" s="52">
        <v>0.06</v>
      </c>
      <c r="I179" s="52">
        <v>0.5</v>
      </c>
      <c r="J179" s="52">
        <v>0.1</v>
      </c>
    </row>
    <row r="180" spans="1:10" ht="16.5" customHeight="1">
      <c r="A180" s="59" t="s">
        <v>87</v>
      </c>
      <c r="B180" s="57" t="s">
        <v>97</v>
      </c>
      <c r="C180" s="55" t="s">
        <v>58</v>
      </c>
      <c r="D180" s="51" t="s">
        <v>61</v>
      </c>
      <c r="E180" s="49">
        <v>0.4</v>
      </c>
      <c r="F180" s="52">
        <v>0.5</v>
      </c>
      <c r="G180" s="52">
        <v>0.8</v>
      </c>
      <c r="H180" s="52">
        <v>0.06</v>
      </c>
      <c r="I180" s="52">
        <v>0.5</v>
      </c>
      <c r="J180" s="52">
        <v>0</v>
      </c>
    </row>
    <row r="181" spans="1:10" ht="16.5" customHeight="1">
      <c r="A181" s="59" t="s">
        <v>87</v>
      </c>
      <c r="B181" s="57" t="s">
        <v>97</v>
      </c>
      <c r="C181" s="55" t="s">
        <v>150</v>
      </c>
      <c r="D181" s="51" t="s">
        <v>148</v>
      </c>
      <c r="E181" s="49">
        <v>0.4</v>
      </c>
      <c r="F181" s="52">
        <v>0.5</v>
      </c>
      <c r="G181" s="52">
        <v>0.4</v>
      </c>
      <c r="H181" s="52">
        <v>0.06</v>
      </c>
      <c r="I181" s="52">
        <v>0.5</v>
      </c>
      <c r="J181" s="52">
        <v>0.1</v>
      </c>
    </row>
    <row r="182" spans="1:10" ht="16.5" customHeight="1">
      <c r="A182" s="59" t="s">
        <v>87</v>
      </c>
      <c r="B182" s="57" t="s">
        <v>97</v>
      </c>
      <c r="C182" s="55" t="s">
        <v>150</v>
      </c>
      <c r="D182" s="51" t="s">
        <v>61</v>
      </c>
      <c r="E182" s="49">
        <v>0.4</v>
      </c>
      <c r="F182" s="52">
        <v>0.5</v>
      </c>
      <c r="G182" s="52">
        <v>0.4</v>
      </c>
      <c r="H182" s="52">
        <v>0.06</v>
      </c>
      <c r="I182" s="52">
        <v>0.5</v>
      </c>
      <c r="J182" s="52">
        <v>0</v>
      </c>
    </row>
    <row r="183" spans="1:10" ht="16.5" customHeight="1">
      <c r="A183" s="59" t="s">
        <v>87</v>
      </c>
      <c r="B183" s="57" t="s">
        <v>97</v>
      </c>
      <c r="C183" s="55" t="s">
        <v>61</v>
      </c>
      <c r="D183" s="51" t="s">
        <v>148</v>
      </c>
      <c r="E183" s="49">
        <v>0.4</v>
      </c>
      <c r="F183" s="52">
        <v>0.5</v>
      </c>
      <c r="G183" s="52">
        <v>0.6</v>
      </c>
      <c r="H183" s="52">
        <v>0.06</v>
      </c>
      <c r="I183" s="52">
        <v>0.5</v>
      </c>
      <c r="J183" s="52">
        <v>0.1</v>
      </c>
    </row>
    <row r="184" spans="1:10" ht="16.5" customHeight="1">
      <c r="A184" s="59" t="s">
        <v>87</v>
      </c>
      <c r="B184" s="57" t="s">
        <v>97</v>
      </c>
      <c r="C184" s="55" t="s">
        <v>61</v>
      </c>
      <c r="D184" s="51" t="s">
        <v>61</v>
      </c>
      <c r="E184" s="49">
        <v>0.4</v>
      </c>
      <c r="F184" s="52">
        <v>0.5</v>
      </c>
      <c r="G184" s="52">
        <v>0.6</v>
      </c>
      <c r="H184" s="52">
        <v>0.06</v>
      </c>
      <c r="I184" s="52">
        <v>0.5</v>
      </c>
      <c r="J184" s="52">
        <v>0</v>
      </c>
    </row>
    <row r="185" spans="1:10" ht="16.5" customHeight="1">
      <c r="A185" s="59" t="s">
        <v>87</v>
      </c>
      <c r="B185" s="55" t="s">
        <v>163</v>
      </c>
      <c r="C185" s="55" t="s">
        <v>147</v>
      </c>
      <c r="D185" s="51" t="s">
        <v>148</v>
      </c>
      <c r="E185" s="49">
        <v>0</v>
      </c>
      <c r="F185" s="52">
        <v>0.5</v>
      </c>
      <c r="G185" s="52">
        <v>1</v>
      </c>
      <c r="H185" s="52">
        <v>0</v>
      </c>
      <c r="I185" s="52">
        <v>0.5</v>
      </c>
      <c r="J185" s="52">
        <v>0.1</v>
      </c>
    </row>
    <row r="186" spans="1:10" ht="16.5" customHeight="1">
      <c r="A186" s="59" t="s">
        <v>87</v>
      </c>
      <c r="B186" s="55" t="s">
        <v>163</v>
      </c>
      <c r="C186" s="55" t="s">
        <v>147</v>
      </c>
      <c r="D186" s="51" t="s">
        <v>61</v>
      </c>
      <c r="E186" s="49">
        <v>0</v>
      </c>
      <c r="F186" s="52">
        <v>0.5</v>
      </c>
      <c r="G186" s="52">
        <v>1</v>
      </c>
      <c r="H186" s="52">
        <v>0</v>
      </c>
      <c r="I186" s="52">
        <v>0.5</v>
      </c>
      <c r="J186" s="52">
        <v>0</v>
      </c>
    </row>
    <row r="187" spans="1:10" ht="16.5" customHeight="1">
      <c r="A187" s="59" t="s">
        <v>87</v>
      </c>
      <c r="B187" s="55" t="s">
        <v>163</v>
      </c>
      <c r="C187" s="55" t="s">
        <v>149</v>
      </c>
      <c r="D187" s="51" t="s">
        <v>148</v>
      </c>
      <c r="E187" s="49">
        <v>0</v>
      </c>
      <c r="F187" s="52">
        <v>0.5</v>
      </c>
      <c r="G187" s="52">
        <v>0.5</v>
      </c>
      <c r="H187" s="52">
        <v>0</v>
      </c>
      <c r="I187" s="52">
        <v>0.5</v>
      </c>
      <c r="J187" s="52">
        <v>0.1</v>
      </c>
    </row>
    <row r="188" spans="1:10" ht="16.5" customHeight="1">
      <c r="A188" s="59" t="s">
        <v>87</v>
      </c>
      <c r="B188" s="55" t="s">
        <v>163</v>
      </c>
      <c r="C188" s="55" t="s">
        <v>149</v>
      </c>
      <c r="D188" s="51" t="s">
        <v>61</v>
      </c>
      <c r="E188" s="49">
        <v>0</v>
      </c>
      <c r="F188" s="52">
        <v>0.5</v>
      </c>
      <c r="G188" s="52">
        <v>0.5</v>
      </c>
      <c r="H188" s="52">
        <v>0</v>
      </c>
      <c r="I188" s="52">
        <v>0.5</v>
      </c>
      <c r="J188" s="52">
        <v>0</v>
      </c>
    </row>
    <row r="189" spans="1:10" ht="16.5" customHeight="1">
      <c r="A189" s="59" t="s">
        <v>87</v>
      </c>
      <c r="B189" s="55" t="s">
        <v>163</v>
      </c>
      <c r="C189" s="55" t="s">
        <v>58</v>
      </c>
      <c r="D189" s="51" t="s">
        <v>148</v>
      </c>
      <c r="E189" s="49">
        <v>0</v>
      </c>
      <c r="F189" s="52">
        <v>0.5</v>
      </c>
      <c r="G189" s="52">
        <v>0.8</v>
      </c>
      <c r="H189" s="52">
        <v>0</v>
      </c>
      <c r="I189" s="52">
        <v>0.5</v>
      </c>
      <c r="J189" s="52">
        <v>0.1</v>
      </c>
    </row>
    <row r="190" spans="1:10" ht="16.5" customHeight="1">
      <c r="A190" s="59" t="s">
        <v>87</v>
      </c>
      <c r="B190" s="55" t="s">
        <v>163</v>
      </c>
      <c r="C190" s="55" t="s">
        <v>58</v>
      </c>
      <c r="D190" s="51" t="s">
        <v>61</v>
      </c>
      <c r="E190" s="49">
        <v>0</v>
      </c>
      <c r="F190" s="52">
        <v>0.5</v>
      </c>
      <c r="G190" s="52">
        <v>0.8</v>
      </c>
      <c r="H190" s="52">
        <v>0</v>
      </c>
      <c r="I190" s="52">
        <v>0.5</v>
      </c>
      <c r="J190" s="52">
        <v>0</v>
      </c>
    </row>
    <row r="191" spans="1:10" ht="16.5" customHeight="1">
      <c r="A191" s="59" t="s">
        <v>87</v>
      </c>
      <c r="B191" s="55" t="s">
        <v>163</v>
      </c>
      <c r="C191" s="55" t="s">
        <v>150</v>
      </c>
      <c r="D191" s="51" t="s">
        <v>148</v>
      </c>
      <c r="E191" s="49">
        <v>0</v>
      </c>
      <c r="F191" s="52">
        <v>0.5</v>
      </c>
      <c r="G191" s="52">
        <v>0.4</v>
      </c>
      <c r="H191" s="52">
        <v>0</v>
      </c>
      <c r="I191" s="52">
        <v>0.5</v>
      </c>
      <c r="J191" s="52">
        <v>0.1</v>
      </c>
    </row>
    <row r="192" spans="1:10" ht="16.5" customHeight="1">
      <c r="A192" s="59" t="s">
        <v>87</v>
      </c>
      <c r="B192" s="55" t="s">
        <v>163</v>
      </c>
      <c r="C192" s="55" t="s">
        <v>150</v>
      </c>
      <c r="D192" s="51" t="s">
        <v>61</v>
      </c>
      <c r="E192" s="49">
        <v>0</v>
      </c>
      <c r="F192" s="52">
        <v>0.5</v>
      </c>
      <c r="G192" s="52">
        <v>0.4</v>
      </c>
      <c r="H192" s="52">
        <v>0</v>
      </c>
      <c r="I192" s="52">
        <v>0.5</v>
      </c>
      <c r="J192" s="52">
        <v>0</v>
      </c>
    </row>
    <row r="193" spans="1:10" ht="16.5" customHeight="1">
      <c r="A193" s="59" t="s">
        <v>87</v>
      </c>
      <c r="B193" s="55" t="s">
        <v>163</v>
      </c>
      <c r="C193" s="55" t="s">
        <v>61</v>
      </c>
      <c r="D193" s="51" t="s">
        <v>148</v>
      </c>
      <c r="E193" s="49">
        <v>0</v>
      </c>
      <c r="F193" s="52">
        <v>0.5</v>
      </c>
      <c r="G193" s="52">
        <v>0.6</v>
      </c>
      <c r="H193" s="52">
        <v>0</v>
      </c>
      <c r="I193" s="52">
        <v>0.5</v>
      </c>
      <c r="J193" s="52">
        <v>0.1</v>
      </c>
    </row>
    <row r="194" spans="1:10" ht="16.5" customHeight="1">
      <c r="A194" s="59" t="s">
        <v>87</v>
      </c>
      <c r="B194" s="55" t="s">
        <v>163</v>
      </c>
      <c r="C194" s="55" t="s">
        <v>61</v>
      </c>
      <c r="D194" s="51" t="s">
        <v>61</v>
      </c>
      <c r="E194" s="49">
        <v>0</v>
      </c>
      <c r="F194" s="52">
        <v>0.5</v>
      </c>
      <c r="G194" s="52">
        <v>0.6</v>
      </c>
      <c r="H194" s="52">
        <v>0</v>
      </c>
      <c r="I194" s="52">
        <v>0.5</v>
      </c>
      <c r="J194" s="52">
        <v>0</v>
      </c>
    </row>
    <row r="195" spans="1:10" ht="16.5" customHeight="1">
      <c r="A195" s="59" t="s">
        <v>87</v>
      </c>
      <c r="B195" s="57" t="s">
        <v>164</v>
      </c>
      <c r="C195" s="55" t="s">
        <v>147</v>
      </c>
      <c r="D195" s="51" t="s">
        <v>148</v>
      </c>
      <c r="E195" s="49">
        <v>0.39</v>
      </c>
      <c r="F195" s="52">
        <v>0.5</v>
      </c>
      <c r="G195" s="52">
        <v>1</v>
      </c>
      <c r="H195" s="52">
        <v>0.03</v>
      </c>
      <c r="I195" s="52">
        <v>0.5</v>
      </c>
      <c r="J195" s="52">
        <v>0.1</v>
      </c>
    </row>
    <row r="196" spans="1:10" ht="16.5" customHeight="1">
      <c r="A196" s="59" t="s">
        <v>87</v>
      </c>
      <c r="B196" s="57" t="s">
        <v>164</v>
      </c>
      <c r="C196" s="55" t="s">
        <v>147</v>
      </c>
      <c r="D196" s="51" t="s">
        <v>61</v>
      </c>
      <c r="E196" s="49">
        <v>0.39</v>
      </c>
      <c r="F196" s="52">
        <v>0.5</v>
      </c>
      <c r="G196" s="52">
        <v>1</v>
      </c>
      <c r="H196" s="52">
        <v>0.03</v>
      </c>
      <c r="I196" s="52">
        <v>0.5</v>
      </c>
      <c r="J196" s="52">
        <v>0</v>
      </c>
    </row>
    <row r="197" spans="1:10" ht="16.5" customHeight="1">
      <c r="A197" s="59" t="s">
        <v>87</v>
      </c>
      <c r="B197" s="57" t="s">
        <v>164</v>
      </c>
      <c r="C197" s="55" t="s">
        <v>149</v>
      </c>
      <c r="D197" s="51" t="s">
        <v>148</v>
      </c>
      <c r="E197" s="49">
        <v>0.39</v>
      </c>
      <c r="F197" s="52">
        <v>0.5</v>
      </c>
      <c r="G197" s="52">
        <v>0.5</v>
      </c>
      <c r="H197" s="52">
        <v>0.03</v>
      </c>
      <c r="I197" s="52">
        <v>0.5</v>
      </c>
      <c r="J197" s="52">
        <v>0.1</v>
      </c>
    </row>
    <row r="198" spans="1:10" ht="16.5" customHeight="1">
      <c r="A198" s="59" t="s">
        <v>87</v>
      </c>
      <c r="B198" s="57" t="s">
        <v>164</v>
      </c>
      <c r="C198" s="55" t="s">
        <v>149</v>
      </c>
      <c r="D198" s="51" t="s">
        <v>61</v>
      </c>
      <c r="E198" s="49">
        <v>0.39</v>
      </c>
      <c r="F198" s="52">
        <v>0.5</v>
      </c>
      <c r="G198" s="52">
        <v>0.5</v>
      </c>
      <c r="H198" s="52">
        <v>0.03</v>
      </c>
      <c r="I198" s="52">
        <v>0.5</v>
      </c>
      <c r="J198" s="52">
        <v>0</v>
      </c>
    </row>
    <row r="199" spans="1:10" ht="16.5" customHeight="1">
      <c r="A199" s="59" t="s">
        <v>87</v>
      </c>
      <c r="B199" s="57" t="s">
        <v>164</v>
      </c>
      <c r="C199" s="55" t="s">
        <v>58</v>
      </c>
      <c r="D199" s="51" t="s">
        <v>148</v>
      </c>
      <c r="E199" s="49">
        <v>0.39</v>
      </c>
      <c r="F199" s="52">
        <v>0.5</v>
      </c>
      <c r="G199" s="52">
        <v>0.8</v>
      </c>
      <c r="H199" s="52">
        <v>0.03</v>
      </c>
      <c r="I199" s="52">
        <v>0.5</v>
      </c>
      <c r="J199" s="52">
        <v>0.1</v>
      </c>
    </row>
    <row r="200" spans="1:10" ht="16.5" customHeight="1">
      <c r="A200" s="59" t="s">
        <v>87</v>
      </c>
      <c r="B200" s="57" t="s">
        <v>164</v>
      </c>
      <c r="C200" s="55" t="s">
        <v>58</v>
      </c>
      <c r="D200" s="51" t="s">
        <v>61</v>
      </c>
      <c r="E200" s="49">
        <v>0.39</v>
      </c>
      <c r="F200" s="52">
        <v>0.5</v>
      </c>
      <c r="G200" s="52">
        <v>0.8</v>
      </c>
      <c r="H200" s="52">
        <v>0.03</v>
      </c>
      <c r="I200" s="52">
        <v>0.5</v>
      </c>
      <c r="J200" s="52">
        <v>0</v>
      </c>
    </row>
    <row r="201" spans="1:10" ht="16.5" customHeight="1">
      <c r="A201" s="59" t="s">
        <v>87</v>
      </c>
      <c r="B201" s="57" t="s">
        <v>164</v>
      </c>
      <c r="C201" s="55" t="s">
        <v>150</v>
      </c>
      <c r="D201" s="51" t="s">
        <v>148</v>
      </c>
      <c r="E201" s="49">
        <v>0.39</v>
      </c>
      <c r="F201" s="52">
        <v>0.5</v>
      </c>
      <c r="G201" s="52">
        <v>0.4</v>
      </c>
      <c r="H201" s="52">
        <v>0.03</v>
      </c>
      <c r="I201" s="52">
        <v>0.5</v>
      </c>
      <c r="J201" s="52">
        <v>0.1</v>
      </c>
    </row>
    <row r="202" spans="1:10" ht="16.5" customHeight="1">
      <c r="A202" s="59" t="s">
        <v>87</v>
      </c>
      <c r="B202" s="57" t="s">
        <v>164</v>
      </c>
      <c r="C202" s="55" t="s">
        <v>150</v>
      </c>
      <c r="D202" s="51" t="s">
        <v>61</v>
      </c>
      <c r="E202" s="49">
        <v>0.39</v>
      </c>
      <c r="F202" s="52">
        <v>0.5</v>
      </c>
      <c r="G202" s="52">
        <v>0.4</v>
      </c>
      <c r="H202" s="52">
        <v>0.03</v>
      </c>
      <c r="I202" s="52">
        <v>0.5</v>
      </c>
      <c r="J202" s="52">
        <v>0</v>
      </c>
    </row>
    <row r="203" spans="1:10" ht="16.5" customHeight="1">
      <c r="A203" s="59" t="s">
        <v>87</v>
      </c>
      <c r="B203" s="57" t="s">
        <v>164</v>
      </c>
      <c r="C203" s="55" t="s">
        <v>61</v>
      </c>
      <c r="D203" s="51" t="s">
        <v>148</v>
      </c>
      <c r="E203" s="49">
        <v>0.39</v>
      </c>
      <c r="F203" s="52">
        <v>0.5</v>
      </c>
      <c r="G203" s="52">
        <v>0.6</v>
      </c>
      <c r="H203" s="52">
        <v>0.03</v>
      </c>
      <c r="I203" s="52">
        <v>0.5</v>
      </c>
      <c r="J203" s="52">
        <v>0.1</v>
      </c>
    </row>
    <row r="204" spans="1:10" ht="16.5" customHeight="1">
      <c r="A204" s="59" t="s">
        <v>87</v>
      </c>
      <c r="B204" s="57" t="s">
        <v>164</v>
      </c>
      <c r="C204" s="55" t="s">
        <v>61</v>
      </c>
      <c r="D204" s="51" t="s">
        <v>61</v>
      </c>
      <c r="E204" s="49">
        <v>0.39</v>
      </c>
      <c r="F204" s="52">
        <v>0.5</v>
      </c>
      <c r="G204" s="52">
        <v>0.6</v>
      </c>
      <c r="H204" s="52">
        <v>0.03</v>
      </c>
      <c r="I204" s="52">
        <v>0.5</v>
      </c>
      <c r="J204" s="52">
        <v>0</v>
      </c>
    </row>
    <row r="205" spans="1:10" ht="16.5" customHeight="1">
      <c r="A205" s="59" t="s">
        <v>87</v>
      </c>
      <c r="B205" s="55" t="s">
        <v>165</v>
      </c>
      <c r="C205" s="55" t="s">
        <v>147</v>
      </c>
      <c r="D205" s="51" t="s">
        <v>148</v>
      </c>
      <c r="E205" s="49">
        <v>0.04</v>
      </c>
      <c r="F205" s="52">
        <v>0.5</v>
      </c>
      <c r="G205" s="52">
        <v>1</v>
      </c>
      <c r="H205" s="52">
        <v>0.1</v>
      </c>
      <c r="I205" s="52">
        <v>0.5</v>
      </c>
      <c r="J205" s="52">
        <v>0.1</v>
      </c>
    </row>
    <row r="206" spans="1:10" ht="16.5" customHeight="1">
      <c r="A206" s="59" t="s">
        <v>87</v>
      </c>
      <c r="B206" s="55" t="s">
        <v>165</v>
      </c>
      <c r="C206" s="55" t="s">
        <v>147</v>
      </c>
      <c r="D206" s="51" t="s">
        <v>61</v>
      </c>
      <c r="E206" s="49">
        <v>0.04</v>
      </c>
      <c r="F206" s="52">
        <v>0.5</v>
      </c>
      <c r="G206" s="52">
        <v>1</v>
      </c>
      <c r="H206" s="52">
        <v>0.1</v>
      </c>
      <c r="I206" s="52">
        <v>0.5</v>
      </c>
      <c r="J206" s="52">
        <v>0</v>
      </c>
    </row>
    <row r="207" spans="1:10" ht="16.5" customHeight="1">
      <c r="A207" s="59" t="s">
        <v>87</v>
      </c>
      <c r="B207" s="55" t="s">
        <v>165</v>
      </c>
      <c r="C207" s="55" t="s">
        <v>149</v>
      </c>
      <c r="D207" s="51" t="s">
        <v>148</v>
      </c>
      <c r="E207" s="49">
        <v>0.04</v>
      </c>
      <c r="F207" s="52">
        <v>0.5</v>
      </c>
      <c r="G207" s="52">
        <v>0.5</v>
      </c>
      <c r="H207" s="52">
        <v>0.1</v>
      </c>
      <c r="I207" s="52">
        <v>0.5</v>
      </c>
      <c r="J207" s="52">
        <v>0.1</v>
      </c>
    </row>
    <row r="208" spans="1:10" ht="16.5" customHeight="1">
      <c r="A208" s="59" t="s">
        <v>87</v>
      </c>
      <c r="B208" s="55" t="s">
        <v>165</v>
      </c>
      <c r="C208" s="55" t="s">
        <v>149</v>
      </c>
      <c r="D208" s="51" t="s">
        <v>61</v>
      </c>
      <c r="E208" s="49">
        <v>0.04</v>
      </c>
      <c r="F208" s="52">
        <v>0.5</v>
      </c>
      <c r="G208" s="52">
        <v>0.5</v>
      </c>
      <c r="H208" s="52">
        <v>0.1</v>
      </c>
      <c r="I208" s="52">
        <v>0.5</v>
      </c>
      <c r="J208" s="52">
        <v>0</v>
      </c>
    </row>
    <row r="209" spans="1:10" ht="16.5" customHeight="1">
      <c r="A209" s="59" t="s">
        <v>87</v>
      </c>
      <c r="B209" s="55" t="s">
        <v>165</v>
      </c>
      <c r="C209" s="55" t="s">
        <v>58</v>
      </c>
      <c r="D209" s="51" t="s">
        <v>148</v>
      </c>
      <c r="E209" s="49">
        <v>0.04</v>
      </c>
      <c r="F209" s="52">
        <v>0.5</v>
      </c>
      <c r="G209" s="52">
        <v>0.8</v>
      </c>
      <c r="H209" s="52">
        <v>0.1</v>
      </c>
      <c r="I209" s="52">
        <v>0.5</v>
      </c>
      <c r="J209" s="52">
        <v>0.1</v>
      </c>
    </row>
    <row r="210" spans="1:10" ht="16.5" customHeight="1">
      <c r="A210" s="59" t="s">
        <v>87</v>
      </c>
      <c r="B210" s="55" t="s">
        <v>165</v>
      </c>
      <c r="C210" s="55" t="s">
        <v>58</v>
      </c>
      <c r="D210" s="51" t="s">
        <v>61</v>
      </c>
      <c r="E210" s="49">
        <v>0.04</v>
      </c>
      <c r="F210" s="52">
        <v>0.5</v>
      </c>
      <c r="G210" s="52">
        <v>0.8</v>
      </c>
      <c r="H210" s="52">
        <v>0.1</v>
      </c>
      <c r="I210" s="52">
        <v>0.5</v>
      </c>
      <c r="J210" s="52">
        <v>0</v>
      </c>
    </row>
    <row r="211" spans="1:10" ht="16.5" customHeight="1">
      <c r="A211" s="59" t="s">
        <v>87</v>
      </c>
      <c r="B211" s="55" t="s">
        <v>165</v>
      </c>
      <c r="C211" s="55" t="s">
        <v>150</v>
      </c>
      <c r="D211" s="51" t="s">
        <v>148</v>
      </c>
      <c r="E211" s="49">
        <v>0.04</v>
      </c>
      <c r="F211" s="52">
        <v>0.5</v>
      </c>
      <c r="G211" s="52">
        <v>0.4</v>
      </c>
      <c r="H211" s="52">
        <v>0.1</v>
      </c>
      <c r="I211" s="52">
        <v>0.5</v>
      </c>
      <c r="J211" s="52">
        <v>0.1</v>
      </c>
    </row>
    <row r="212" spans="1:10" ht="16.5" customHeight="1">
      <c r="A212" s="59" t="s">
        <v>87</v>
      </c>
      <c r="B212" s="55" t="s">
        <v>165</v>
      </c>
      <c r="C212" s="55" t="s">
        <v>150</v>
      </c>
      <c r="D212" s="51" t="s">
        <v>61</v>
      </c>
      <c r="E212" s="49">
        <v>0.04</v>
      </c>
      <c r="F212" s="52">
        <v>0.5</v>
      </c>
      <c r="G212" s="52">
        <v>0.4</v>
      </c>
      <c r="H212" s="52">
        <v>0.1</v>
      </c>
      <c r="I212" s="52">
        <v>0.5</v>
      </c>
      <c r="J212" s="52">
        <v>0</v>
      </c>
    </row>
    <row r="213" spans="1:10" ht="16.5" customHeight="1">
      <c r="A213" s="59" t="s">
        <v>87</v>
      </c>
      <c r="B213" s="55" t="s">
        <v>165</v>
      </c>
      <c r="C213" s="55" t="s">
        <v>61</v>
      </c>
      <c r="D213" s="51" t="s">
        <v>148</v>
      </c>
      <c r="E213" s="49">
        <v>0.04</v>
      </c>
      <c r="F213" s="52">
        <v>0.5</v>
      </c>
      <c r="G213" s="52">
        <v>0.6</v>
      </c>
      <c r="H213" s="52">
        <v>0.1</v>
      </c>
      <c r="I213" s="52">
        <v>0.5</v>
      </c>
      <c r="J213" s="52">
        <v>0.1</v>
      </c>
    </row>
    <row r="214" spans="1:10" ht="16.5" customHeight="1">
      <c r="A214" s="59" t="s">
        <v>87</v>
      </c>
      <c r="B214" s="55" t="s">
        <v>165</v>
      </c>
      <c r="C214" s="55" t="s">
        <v>61</v>
      </c>
      <c r="D214" s="51" t="s">
        <v>61</v>
      </c>
      <c r="E214" s="49">
        <v>0.04</v>
      </c>
      <c r="F214" s="52">
        <v>0.5</v>
      </c>
      <c r="G214" s="52">
        <v>0.6</v>
      </c>
      <c r="H214" s="52">
        <v>0.1</v>
      </c>
      <c r="I214" s="52">
        <v>0.5</v>
      </c>
      <c r="J214" s="52">
        <v>0</v>
      </c>
    </row>
    <row r="215" spans="1:10" ht="16.5" customHeight="1">
      <c r="A215" s="59" t="s">
        <v>87</v>
      </c>
      <c r="B215" s="57" t="s">
        <v>49</v>
      </c>
      <c r="C215" s="55" t="s">
        <v>147</v>
      </c>
      <c r="D215" s="51" t="s">
        <v>148</v>
      </c>
      <c r="E215" s="49">
        <v>0.01</v>
      </c>
      <c r="F215" s="52">
        <v>0.5</v>
      </c>
      <c r="G215" s="52">
        <v>1</v>
      </c>
      <c r="H215" s="52">
        <v>0.1</v>
      </c>
      <c r="I215" s="52">
        <v>0.5</v>
      </c>
      <c r="J215" s="52">
        <v>0.1</v>
      </c>
    </row>
    <row r="216" spans="1:10" ht="16.5" customHeight="1">
      <c r="A216" s="59" t="s">
        <v>87</v>
      </c>
      <c r="B216" s="57" t="s">
        <v>49</v>
      </c>
      <c r="C216" s="55" t="s">
        <v>147</v>
      </c>
      <c r="D216" s="51" t="s">
        <v>61</v>
      </c>
      <c r="E216" s="49">
        <v>0.01</v>
      </c>
      <c r="F216" s="52">
        <v>0.5</v>
      </c>
      <c r="G216" s="52">
        <v>1</v>
      </c>
      <c r="H216" s="52">
        <v>0.1</v>
      </c>
      <c r="I216" s="52">
        <v>0.5</v>
      </c>
      <c r="J216" s="52">
        <v>0</v>
      </c>
    </row>
    <row r="217" spans="1:10" ht="16.5" customHeight="1">
      <c r="A217" s="59" t="s">
        <v>87</v>
      </c>
      <c r="B217" s="57" t="s">
        <v>49</v>
      </c>
      <c r="C217" s="55" t="s">
        <v>149</v>
      </c>
      <c r="D217" s="51" t="s">
        <v>148</v>
      </c>
      <c r="E217" s="49">
        <v>0.01</v>
      </c>
      <c r="F217" s="52">
        <v>0.5</v>
      </c>
      <c r="G217" s="52">
        <v>0.5</v>
      </c>
      <c r="H217" s="52">
        <v>0.1</v>
      </c>
      <c r="I217" s="52">
        <v>0.5</v>
      </c>
      <c r="J217" s="52">
        <v>0.1</v>
      </c>
    </row>
    <row r="218" spans="1:10" ht="16.5" customHeight="1">
      <c r="A218" s="59" t="s">
        <v>87</v>
      </c>
      <c r="B218" s="57" t="s">
        <v>49</v>
      </c>
      <c r="C218" s="55" t="s">
        <v>149</v>
      </c>
      <c r="D218" s="51" t="s">
        <v>61</v>
      </c>
      <c r="E218" s="49">
        <v>0.01</v>
      </c>
      <c r="F218" s="52">
        <v>0.5</v>
      </c>
      <c r="G218" s="52">
        <v>0.5</v>
      </c>
      <c r="H218" s="52">
        <v>0.1</v>
      </c>
      <c r="I218" s="52">
        <v>0.5</v>
      </c>
      <c r="J218" s="52">
        <v>0</v>
      </c>
    </row>
    <row r="219" spans="1:10" ht="16.5" customHeight="1">
      <c r="A219" s="59" t="s">
        <v>87</v>
      </c>
      <c r="B219" s="57" t="s">
        <v>49</v>
      </c>
      <c r="C219" s="55" t="s">
        <v>58</v>
      </c>
      <c r="D219" s="51" t="s">
        <v>148</v>
      </c>
      <c r="E219" s="49">
        <v>0.01</v>
      </c>
      <c r="F219" s="52">
        <v>0.5</v>
      </c>
      <c r="G219" s="52">
        <v>0.8</v>
      </c>
      <c r="H219" s="52">
        <v>0.1</v>
      </c>
      <c r="I219" s="52">
        <v>0.5</v>
      </c>
      <c r="J219" s="52">
        <v>0.1</v>
      </c>
    </row>
    <row r="220" spans="1:10" ht="16.5" customHeight="1">
      <c r="A220" s="59" t="s">
        <v>87</v>
      </c>
      <c r="B220" s="57" t="s">
        <v>49</v>
      </c>
      <c r="C220" s="55" t="s">
        <v>58</v>
      </c>
      <c r="D220" s="51" t="s">
        <v>61</v>
      </c>
      <c r="E220" s="49">
        <v>0.01</v>
      </c>
      <c r="F220" s="52">
        <v>0.5</v>
      </c>
      <c r="G220" s="52">
        <v>0.8</v>
      </c>
      <c r="H220" s="52">
        <v>0.1</v>
      </c>
      <c r="I220" s="52">
        <v>0.5</v>
      </c>
      <c r="J220" s="52">
        <v>0</v>
      </c>
    </row>
    <row r="221" spans="1:10" ht="16.5" customHeight="1">
      <c r="A221" s="59" t="s">
        <v>87</v>
      </c>
      <c r="B221" s="57" t="s">
        <v>49</v>
      </c>
      <c r="C221" s="55" t="s">
        <v>150</v>
      </c>
      <c r="D221" s="51" t="s">
        <v>148</v>
      </c>
      <c r="E221" s="49">
        <v>0.01</v>
      </c>
      <c r="F221" s="52">
        <v>0.5</v>
      </c>
      <c r="G221" s="52">
        <v>0.4</v>
      </c>
      <c r="H221" s="52">
        <v>0.1</v>
      </c>
      <c r="I221" s="52">
        <v>0.5</v>
      </c>
      <c r="J221" s="52">
        <v>0.1</v>
      </c>
    </row>
    <row r="222" spans="1:10" ht="16.5" customHeight="1">
      <c r="A222" s="59" t="s">
        <v>87</v>
      </c>
      <c r="B222" s="57" t="s">
        <v>49</v>
      </c>
      <c r="C222" s="55" t="s">
        <v>150</v>
      </c>
      <c r="D222" s="51" t="s">
        <v>61</v>
      </c>
      <c r="E222" s="49">
        <v>0.01</v>
      </c>
      <c r="F222" s="52">
        <v>0.5</v>
      </c>
      <c r="G222" s="52">
        <v>0.4</v>
      </c>
      <c r="H222" s="52">
        <v>0.1</v>
      </c>
      <c r="I222" s="52">
        <v>0.5</v>
      </c>
      <c r="J222" s="52">
        <v>0</v>
      </c>
    </row>
    <row r="223" spans="1:10" ht="16.5" customHeight="1">
      <c r="A223" s="59" t="s">
        <v>87</v>
      </c>
      <c r="B223" s="57" t="s">
        <v>49</v>
      </c>
      <c r="C223" s="55" t="s">
        <v>61</v>
      </c>
      <c r="D223" s="51" t="s">
        <v>148</v>
      </c>
      <c r="E223" s="49">
        <v>0.01</v>
      </c>
      <c r="F223" s="52">
        <v>0.5</v>
      </c>
      <c r="G223" s="52">
        <v>0.6</v>
      </c>
      <c r="H223" s="52">
        <v>0.1</v>
      </c>
      <c r="I223" s="52">
        <v>0.5</v>
      </c>
      <c r="J223" s="52">
        <v>0.1</v>
      </c>
    </row>
    <row r="224" spans="1:10" ht="16.5" customHeight="1">
      <c r="A224" s="59" t="s">
        <v>87</v>
      </c>
      <c r="B224" s="57" t="s">
        <v>49</v>
      </c>
      <c r="C224" s="55" t="s">
        <v>61</v>
      </c>
      <c r="D224" s="51" t="s">
        <v>61</v>
      </c>
      <c r="E224" s="49">
        <v>0.01</v>
      </c>
      <c r="F224" s="52">
        <v>0.5</v>
      </c>
      <c r="G224" s="52">
        <v>0.6</v>
      </c>
      <c r="H224" s="52">
        <v>0.1</v>
      </c>
      <c r="I224" s="52">
        <v>0.5</v>
      </c>
      <c r="J224" s="52">
        <v>0</v>
      </c>
    </row>
    <row r="225" spans="1:10" ht="16.5" customHeight="1">
      <c r="A225" s="59" t="s">
        <v>87</v>
      </c>
      <c r="B225" s="57" t="s">
        <v>166</v>
      </c>
      <c r="C225" s="55" t="s">
        <v>147</v>
      </c>
      <c r="D225" s="51" t="s">
        <v>148</v>
      </c>
      <c r="E225" s="49">
        <v>0.09</v>
      </c>
      <c r="F225" s="52">
        <v>0.5</v>
      </c>
      <c r="G225" s="52">
        <v>1</v>
      </c>
      <c r="H225" s="52">
        <v>0.185</v>
      </c>
      <c r="I225" s="52">
        <v>0.5</v>
      </c>
      <c r="J225" s="52">
        <v>0.1</v>
      </c>
    </row>
    <row r="226" spans="1:10" ht="16.5" customHeight="1">
      <c r="A226" s="59" t="s">
        <v>87</v>
      </c>
      <c r="B226" s="57" t="s">
        <v>166</v>
      </c>
      <c r="C226" s="55" t="s">
        <v>147</v>
      </c>
      <c r="D226" s="51" t="s">
        <v>61</v>
      </c>
      <c r="E226" s="49">
        <v>0.09</v>
      </c>
      <c r="F226" s="52">
        <v>0.5</v>
      </c>
      <c r="G226" s="52">
        <v>1</v>
      </c>
      <c r="H226" s="52">
        <v>0.185</v>
      </c>
      <c r="I226" s="52">
        <v>0.5</v>
      </c>
      <c r="J226" s="52">
        <v>0</v>
      </c>
    </row>
    <row r="227" spans="1:10" ht="16.5" customHeight="1">
      <c r="A227" s="59" t="s">
        <v>87</v>
      </c>
      <c r="B227" s="57" t="s">
        <v>166</v>
      </c>
      <c r="C227" s="55" t="s">
        <v>149</v>
      </c>
      <c r="D227" s="51" t="s">
        <v>148</v>
      </c>
      <c r="E227" s="49">
        <v>0.09</v>
      </c>
      <c r="F227" s="52">
        <v>0.5</v>
      </c>
      <c r="G227" s="52">
        <v>0.5</v>
      </c>
      <c r="H227" s="52">
        <v>0.185</v>
      </c>
      <c r="I227" s="52">
        <v>0.5</v>
      </c>
      <c r="J227" s="52">
        <v>0.1</v>
      </c>
    </row>
    <row r="228" spans="1:10" ht="16.5" customHeight="1">
      <c r="A228" s="59" t="s">
        <v>87</v>
      </c>
      <c r="B228" s="57" t="s">
        <v>166</v>
      </c>
      <c r="C228" s="55" t="s">
        <v>149</v>
      </c>
      <c r="D228" s="51" t="s">
        <v>61</v>
      </c>
      <c r="E228" s="49">
        <v>0.09</v>
      </c>
      <c r="F228" s="52">
        <v>0.5</v>
      </c>
      <c r="G228" s="52">
        <v>0.5</v>
      </c>
      <c r="H228" s="52">
        <v>0.185</v>
      </c>
      <c r="I228" s="52">
        <v>0.5</v>
      </c>
      <c r="J228" s="52">
        <v>0</v>
      </c>
    </row>
    <row r="229" spans="1:10" ht="16.5" customHeight="1">
      <c r="A229" s="59" t="s">
        <v>87</v>
      </c>
      <c r="B229" s="57" t="s">
        <v>166</v>
      </c>
      <c r="C229" s="55" t="s">
        <v>58</v>
      </c>
      <c r="D229" s="51" t="s">
        <v>148</v>
      </c>
      <c r="E229" s="49">
        <v>0.09</v>
      </c>
      <c r="F229" s="52">
        <v>0.5</v>
      </c>
      <c r="G229" s="52">
        <v>0.8</v>
      </c>
      <c r="H229" s="52">
        <v>0.185</v>
      </c>
      <c r="I229" s="52">
        <v>0.5</v>
      </c>
      <c r="J229" s="52">
        <v>0.1</v>
      </c>
    </row>
    <row r="230" spans="1:10" ht="16.5" customHeight="1">
      <c r="A230" s="59" t="s">
        <v>87</v>
      </c>
      <c r="B230" s="57" t="s">
        <v>166</v>
      </c>
      <c r="C230" s="55" t="s">
        <v>58</v>
      </c>
      <c r="D230" s="51" t="s">
        <v>61</v>
      </c>
      <c r="E230" s="49">
        <v>0.09</v>
      </c>
      <c r="F230" s="52">
        <v>0.5</v>
      </c>
      <c r="G230" s="52">
        <v>0.8</v>
      </c>
      <c r="H230" s="52">
        <v>0.185</v>
      </c>
      <c r="I230" s="52">
        <v>0.5</v>
      </c>
      <c r="J230" s="52">
        <v>0</v>
      </c>
    </row>
    <row r="231" spans="1:10" ht="16.5" customHeight="1">
      <c r="A231" s="59" t="s">
        <v>87</v>
      </c>
      <c r="B231" s="57" t="s">
        <v>166</v>
      </c>
      <c r="C231" s="55" t="s">
        <v>150</v>
      </c>
      <c r="D231" s="51" t="s">
        <v>148</v>
      </c>
      <c r="E231" s="49">
        <v>0.09</v>
      </c>
      <c r="F231" s="52">
        <v>0.5</v>
      </c>
      <c r="G231" s="52">
        <v>0.4</v>
      </c>
      <c r="H231" s="52">
        <v>0.185</v>
      </c>
      <c r="I231" s="52">
        <v>0.5</v>
      </c>
      <c r="J231" s="52">
        <v>0.1</v>
      </c>
    </row>
    <row r="232" spans="1:10" ht="16.5" customHeight="1">
      <c r="A232" s="59" t="s">
        <v>87</v>
      </c>
      <c r="B232" s="57" t="s">
        <v>166</v>
      </c>
      <c r="C232" s="55" t="s">
        <v>150</v>
      </c>
      <c r="D232" s="51" t="s">
        <v>61</v>
      </c>
      <c r="E232" s="49">
        <v>0.09</v>
      </c>
      <c r="F232" s="52">
        <v>0.5</v>
      </c>
      <c r="G232" s="52">
        <v>0.4</v>
      </c>
      <c r="H232" s="52">
        <v>0.185</v>
      </c>
      <c r="I232" s="52">
        <v>0.5</v>
      </c>
      <c r="J232" s="52">
        <v>0</v>
      </c>
    </row>
    <row r="233" spans="1:10" ht="16.5" customHeight="1">
      <c r="A233" s="59" t="s">
        <v>87</v>
      </c>
      <c r="B233" s="57" t="s">
        <v>166</v>
      </c>
      <c r="C233" s="55" t="s">
        <v>61</v>
      </c>
      <c r="D233" s="51" t="s">
        <v>148</v>
      </c>
      <c r="E233" s="49">
        <v>0.09</v>
      </c>
      <c r="F233" s="52">
        <v>0.5</v>
      </c>
      <c r="G233" s="52">
        <v>0.6</v>
      </c>
      <c r="H233" s="52">
        <v>0.185</v>
      </c>
      <c r="I233" s="52">
        <v>0.5</v>
      </c>
      <c r="J233" s="52">
        <v>0.1</v>
      </c>
    </row>
    <row r="234" spans="1:10" ht="16.5" customHeight="1">
      <c r="A234" s="59" t="s">
        <v>87</v>
      </c>
      <c r="B234" s="57" t="s">
        <v>166</v>
      </c>
      <c r="C234" s="55" t="s">
        <v>61</v>
      </c>
      <c r="D234" s="51" t="s">
        <v>61</v>
      </c>
      <c r="E234" s="49">
        <v>0.09</v>
      </c>
      <c r="F234" s="52">
        <v>0.5</v>
      </c>
      <c r="G234" s="52">
        <v>0.6</v>
      </c>
      <c r="H234" s="52">
        <v>0.185</v>
      </c>
      <c r="I234" s="52">
        <v>0.5</v>
      </c>
      <c r="J234" s="52">
        <v>0</v>
      </c>
    </row>
    <row r="235" spans="1:10" ht="16.5" customHeight="1">
      <c r="A235" s="59" t="s">
        <v>87</v>
      </c>
      <c r="B235" s="57" t="s">
        <v>167</v>
      </c>
      <c r="C235" s="55" t="s">
        <v>147</v>
      </c>
      <c r="D235" s="51" t="s">
        <v>148</v>
      </c>
      <c r="E235" s="49">
        <v>0.05</v>
      </c>
      <c r="F235" s="52">
        <v>0.5</v>
      </c>
      <c r="G235" s="52">
        <v>1</v>
      </c>
      <c r="H235" s="52">
        <v>0.185</v>
      </c>
      <c r="I235" s="52">
        <v>0.5</v>
      </c>
      <c r="J235" s="52">
        <v>0.1</v>
      </c>
    </row>
    <row r="236" spans="1:10" ht="16.5" customHeight="1">
      <c r="A236" s="59" t="s">
        <v>87</v>
      </c>
      <c r="B236" s="57" t="s">
        <v>167</v>
      </c>
      <c r="C236" s="55" t="s">
        <v>147</v>
      </c>
      <c r="D236" s="51" t="s">
        <v>61</v>
      </c>
      <c r="E236" s="49">
        <v>0.05</v>
      </c>
      <c r="F236" s="52">
        <v>0.5</v>
      </c>
      <c r="G236" s="52">
        <v>1</v>
      </c>
      <c r="H236" s="52">
        <v>0.185</v>
      </c>
      <c r="I236" s="52">
        <v>0.5</v>
      </c>
      <c r="J236" s="52">
        <v>0</v>
      </c>
    </row>
    <row r="237" spans="1:10" ht="16.5" customHeight="1">
      <c r="A237" s="59" t="s">
        <v>87</v>
      </c>
      <c r="B237" s="57" t="s">
        <v>167</v>
      </c>
      <c r="C237" s="55" t="s">
        <v>149</v>
      </c>
      <c r="D237" s="51" t="s">
        <v>148</v>
      </c>
      <c r="E237" s="49">
        <v>0.05</v>
      </c>
      <c r="F237" s="52">
        <v>0.5</v>
      </c>
      <c r="G237" s="52">
        <v>0.5</v>
      </c>
      <c r="H237" s="52">
        <v>0.185</v>
      </c>
      <c r="I237" s="52">
        <v>0.5</v>
      </c>
      <c r="J237" s="52">
        <v>0.1</v>
      </c>
    </row>
    <row r="238" spans="1:10" ht="16.5" customHeight="1">
      <c r="A238" s="59" t="s">
        <v>87</v>
      </c>
      <c r="B238" s="57" t="s">
        <v>167</v>
      </c>
      <c r="C238" s="55" t="s">
        <v>149</v>
      </c>
      <c r="D238" s="51" t="s">
        <v>61</v>
      </c>
      <c r="E238" s="49">
        <v>0.05</v>
      </c>
      <c r="F238" s="52">
        <v>0.5</v>
      </c>
      <c r="G238" s="52">
        <v>0.5</v>
      </c>
      <c r="H238" s="52">
        <v>0.185</v>
      </c>
      <c r="I238" s="52">
        <v>0.5</v>
      </c>
      <c r="J238" s="52">
        <v>0</v>
      </c>
    </row>
    <row r="239" spans="1:10" ht="16.5" customHeight="1">
      <c r="A239" s="59" t="s">
        <v>87</v>
      </c>
      <c r="B239" s="57" t="s">
        <v>167</v>
      </c>
      <c r="C239" s="55" t="s">
        <v>58</v>
      </c>
      <c r="D239" s="51" t="s">
        <v>148</v>
      </c>
      <c r="E239" s="49">
        <v>0.05</v>
      </c>
      <c r="F239" s="52">
        <v>0.5</v>
      </c>
      <c r="G239" s="52">
        <v>0.8</v>
      </c>
      <c r="H239" s="52">
        <v>0.185</v>
      </c>
      <c r="I239" s="52">
        <v>0.5</v>
      </c>
      <c r="J239" s="52">
        <v>0.1</v>
      </c>
    </row>
    <row r="240" spans="1:10" ht="16.5" customHeight="1">
      <c r="A240" s="59" t="s">
        <v>87</v>
      </c>
      <c r="B240" s="57" t="s">
        <v>167</v>
      </c>
      <c r="C240" s="55" t="s">
        <v>58</v>
      </c>
      <c r="D240" s="51" t="s">
        <v>61</v>
      </c>
      <c r="E240" s="49">
        <v>0.05</v>
      </c>
      <c r="F240" s="52">
        <v>0.5</v>
      </c>
      <c r="G240" s="52">
        <v>0.8</v>
      </c>
      <c r="H240" s="52">
        <v>0.185</v>
      </c>
      <c r="I240" s="52">
        <v>0.5</v>
      </c>
      <c r="J240" s="52">
        <v>0</v>
      </c>
    </row>
    <row r="241" spans="1:10" ht="16.5" customHeight="1">
      <c r="A241" s="59" t="s">
        <v>87</v>
      </c>
      <c r="B241" s="57" t="s">
        <v>167</v>
      </c>
      <c r="C241" s="55" t="s">
        <v>150</v>
      </c>
      <c r="D241" s="51" t="s">
        <v>148</v>
      </c>
      <c r="E241" s="49">
        <v>0.05</v>
      </c>
      <c r="F241" s="52">
        <v>0.5</v>
      </c>
      <c r="G241" s="52">
        <v>0.4</v>
      </c>
      <c r="H241" s="52">
        <v>0.185</v>
      </c>
      <c r="I241" s="52">
        <v>0.5</v>
      </c>
      <c r="J241" s="52">
        <v>0.1</v>
      </c>
    </row>
    <row r="242" spans="1:10" ht="16.5" customHeight="1">
      <c r="A242" s="59" t="s">
        <v>87</v>
      </c>
      <c r="B242" s="57" t="s">
        <v>167</v>
      </c>
      <c r="C242" s="55" t="s">
        <v>150</v>
      </c>
      <c r="D242" s="51" t="s">
        <v>61</v>
      </c>
      <c r="E242" s="49">
        <v>0.05</v>
      </c>
      <c r="F242" s="52">
        <v>0.5</v>
      </c>
      <c r="G242" s="52">
        <v>0.4</v>
      </c>
      <c r="H242" s="52">
        <v>0.185</v>
      </c>
      <c r="I242" s="52">
        <v>0.5</v>
      </c>
      <c r="J242" s="52">
        <v>0</v>
      </c>
    </row>
    <row r="243" spans="1:10" ht="16.5" customHeight="1">
      <c r="A243" s="59" t="s">
        <v>87</v>
      </c>
      <c r="B243" s="57" t="s">
        <v>167</v>
      </c>
      <c r="C243" s="55" t="s">
        <v>61</v>
      </c>
      <c r="D243" s="51" t="s">
        <v>148</v>
      </c>
      <c r="E243" s="49">
        <v>0.05</v>
      </c>
      <c r="F243" s="52">
        <v>0.5</v>
      </c>
      <c r="G243" s="52">
        <v>0.6</v>
      </c>
      <c r="H243" s="52">
        <v>0.185</v>
      </c>
      <c r="I243" s="52">
        <v>0.5</v>
      </c>
      <c r="J243" s="52">
        <v>0.1</v>
      </c>
    </row>
    <row r="244" spans="1:10" ht="16.5" customHeight="1">
      <c r="A244" s="64" t="s">
        <v>87</v>
      </c>
      <c r="B244" s="68" t="s">
        <v>167</v>
      </c>
      <c r="C244" s="56" t="s">
        <v>61</v>
      </c>
      <c r="D244" s="51" t="s">
        <v>61</v>
      </c>
      <c r="E244" s="50">
        <v>0.05</v>
      </c>
      <c r="F244" s="52">
        <v>0.5</v>
      </c>
      <c r="G244" s="52">
        <v>0.6</v>
      </c>
      <c r="H244" s="52">
        <v>0.185</v>
      </c>
      <c r="I244" s="52">
        <v>0.5</v>
      </c>
      <c r="J244" s="52">
        <v>0</v>
      </c>
    </row>
    <row r="245" spans="1:10" ht="16.5" customHeight="1">
      <c r="C245" s="67"/>
    </row>
    <row r="248" spans="1:10" s="12" customFormat="1" ht="17.100000000000001"/>
    <row r="249" spans="1:10" ht="18.95">
      <c r="A249" s="110" t="s">
        <v>168</v>
      </c>
      <c r="B249" s="110"/>
      <c r="C249" s="110"/>
      <c r="D249" s="69"/>
      <c r="E249" s="69"/>
      <c r="F249" s="69"/>
      <c r="G249" s="69"/>
      <c r="H249" s="69"/>
      <c r="I249" s="69"/>
    </row>
    <row r="250" spans="1:10" ht="46.35" customHeight="1">
      <c r="A250" s="70" t="s">
        <v>137</v>
      </c>
      <c r="B250" s="71" t="s">
        <v>138</v>
      </c>
      <c r="C250" s="71" t="s">
        <v>138</v>
      </c>
      <c r="D250" s="72" t="s">
        <v>169</v>
      </c>
      <c r="E250" s="72" t="s">
        <v>170</v>
      </c>
      <c r="F250" s="73" t="s">
        <v>171</v>
      </c>
      <c r="G250" s="73" t="s">
        <v>172</v>
      </c>
      <c r="H250" s="73" t="s">
        <v>173</v>
      </c>
      <c r="I250" s="73" t="s">
        <v>174</v>
      </c>
      <c r="J250" s="72" t="s">
        <v>175</v>
      </c>
    </row>
    <row r="251" spans="1:10" ht="15.95" customHeight="1">
      <c r="A251" s="74" t="s">
        <v>176</v>
      </c>
      <c r="B251" s="75" t="s">
        <v>46</v>
      </c>
      <c r="C251" s="42" t="s">
        <v>151</v>
      </c>
      <c r="D251" s="65">
        <v>6.1</v>
      </c>
      <c r="E251" s="65">
        <v>52.1</v>
      </c>
      <c r="F251" s="65">
        <v>0.9</v>
      </c>
      <c r="G251" s="77">
        <v>0.46</v>
      </c>
      <c r="H251" s="77">
        <v>0.01</v>
      </c>
      <c r="I251" s="65">
        <v>1</v>
      </c>
      <c r="J251" s="79"/>
    </row>
    <row r="252" spans="1:10" ht="16.5" customHeight="1">
      <c r="A252" s="76" t="s">
        <v>176</v>
      </c>
      <c r="B252" s="75" t="s">
        <v>46</v>
      </c>
      <c r="C252" s="43" t="s">
        <v>95</v>
      </c>
      <c r="D252" s="65">
        <v>6.1</v>
      </c>
      <c r="E252" s="65">
        <v>52.1</v>
      </c>
      <c r="F252" s="65">
        <v>0.8</v>
      </c>
      <c r="G252" s="77">
        <v>0.5</v>
      </c>
      <c r="H252" s="77">
        <v>0.2</v>
      </c>
      <c r="I252" s="65">
        <v>1</v>
      </c>
      <c r="J252" s="79"/>
    </row>
    <row r="253" spans="1:10" ht="16.5" customHeight="1">
      <c r="A253" s="76" t="s">
        <v>176</v>
      </c>
      <c r="B253" s="75" t="s">
        <v>46</v>
      </c>
      <c r="C253" s="43" t="s">
        <v>52</v>
      </c>
      <c r="D253" s="65">
        <v>6.1</v>
      </c>
      <c r="E253" s="65">
        <v>52.1</v>
      </c>
      <c r="F253" s="65">
        <v>0.4</v>
      </c>
      <c r="G253" s="77">
        <v>0.38</v>
      </c>
      <c r="H253" s="77">
        <v>0</v>
      </c>
      <c r="I253" s="65">
        <v>1</v>
      </c>
      <c r="J253" s="79"/>
    </row>
    <row r="254" spans="1:10" ht="16.5" customHeight="1">
      <c r="A254" s="76" t="s">
        <v>84</v>
      </c>
      <c r="B254" s="75" t="s">
        <v>46</v>
      </c>
      <c r="C254" s="43" t="s">
        <v>152</v>
      </c>
      <c r="D254" s="65">
        <v>6.1</v>
      </c>
      <c r="E254" s="65">
        <v>52.1</v>
      </c>
      <c r="F254" s="65">
        <v>0.85</v>
      </c>
      <c r="G254" s="77">
        <v>0.5</v>
      </c>
      <c r="H254" s="77">
        <v>0</v>
      </c>
      <c r="I254" s="65">
        <v>1</v>
      </c>
      <c r="J254" s="79"/>
    </row>
    <row r="255" spans="1:10" ht="16.5" customHeight="1">
      <c r="A255" s="76" t="s">
        <v>176</v>
      </c>
      <c r="B255" s="75" t="s">
        <v>46</v>
      </c>
      <c r="C255" s="43" t="s">
        <v>153</v>
      </c>
      <c r="D255" s="65">
        <v>6.1</v>
      </c>
      <c r="E255" s="65">
        <v>52.1</v>
      </c>
      <c r="F255" s="65">
        <v>0.4</v>
      </c>
      <c r="G255" s="77">
        <v>0.49</v>
      </c>
      <c r="H255" s="77">
        <v>0</v>
      </c>
      <c r="I255" s="65">
        <v>1</v>
      </c>
      <c r="J255" s="79"/>
    </row>
    <row r="256" spans="1:10" ht="16.5" customHeight="1">
      <c r="A256" s="76" t="s">
        <v>176</v>
      </c>
      <c r="B256" s="75" t="s">
        <v>46</v>
      </c>
      <c r="C256" s="43" t="s">
        <v>154</v>
      </c>
      <c r="D256" s="65">
        <v>6.1</v>
      </c>
      <c r="E256" s="65">
        <v>52.1</v>
      </c>
      <c r="F256" s="65">
        <v>0.4</v>
      </c>
      <c r="G256" s="77">
        <v>0.7</v>
      </c>
      <c r="H256" s="77">
        <v>0.1</v>
      </c>
      <c r="I256" s="65">
        <v>1</v>
      </c>
      <c r="J256" s="79"/>
    </row>
    <row r="257" spans="1:10" ht="16.5" customHeight="1">
      <c r="A257" s="76" t="s">
        <v>176</v>
      </c>
      <c r="B257" s="75" t="s">
        <v>46</v>
      </c>
      <c r="C257" s="43" t="s">
        <v>155</v>
      </c>
      <c r="D257" s="65">
        <v>6.1</v>
      </c>
      <c r="E257" s="65">
        <v>52.1</v>
      </c>
      <c r="F257" s="65">
        <v>0.84</v>
      </c>
      <c r="G257" s="77">
        <v>0.67</v>
      </c>
      <c r="H257" s="77">
        <v>0.2</v>
      </c>
      <c r="I257" s="65">
        <v>1</v>
      </c>
      <c r="J257" s="79"/>
    </row>
    <row r="258" spans="1:10" ht="16.5" customHeight="1">
      <c r="A258" s="76" t="s">
        <v>176</v>
      </c>
      <c r="B258" s="75" t="s">
        <v>46</v>
      </c>
      <c r="C258" s="43" t="s">
        <v>156</v>
      </c>
      <c r="D258" s="65">
        <v>6.1</v>
      </c>
      <c r="E258" s="65">
        <v>52.1</v>
      </c>
      <c r="F258" s="65">
        <v>1</v>
      </c>
      <c r="G258" s="77">
        <v>0.75</v>
      </c>
      <c r="H258" s="77">
        <v>1</v>
      </c>
      <c r="I258" s="65">
        <v>1</v>
      </c>
      <c r="J258" s="79"/>
    </row>
    <row r="259" spans="1:10" ht="16.5" customHeight="1">
      <c r="A259" s="76" t="s">
        <v>176</v>
      </c>
      <c r="B259" s="75" t="s">
        <v>46</v>
      </c>
      <c r="C259" s="43" t="s">
        <v>157</v>
      </c>
      <c r="D259" s="65">
        <v>6.1</v>
      </c>
      <c r="E259" s="65">
        <v>52.1</v>
      </c>
      <c r="F259" s="65">
        <v>1</v>
      </c>
      <c r="G259" s="77" t="s">
        <v>177</v>
      </c>
      <c r="H259" s="77" t="s">
        <v>177</v>
      </c>
      <c r="I259" s="65">
        <v>1</v>
      </c>
      <c r="J259" s="79"/>
    </row>
    <row r="260" spans="1:10" ht="16.5" customHeight="1">
      <c r="A260" s="76" t="s">
        <v>176</v>
      </c>
      <c r="B260" s="75" t="s">
        <v>46</v>
      </c>
      <c r="C260" s="43" t="s">
        <v>158</v>
      </c>
      <c r="D260" s="65">
        <v>6.1</v>
      </c>
      <c r="E260" s="65">
        <v>52.1</v>
      </c>
      <c r="F260" s="65">
        <v>1</v>
      </c>
      <c r="G260" s="77" t="s">
        <v>177</v>
      </c>
      <c r="H260" s="77" t="s">
        <v>177</v>
      </c>
      <c r="I260" s="65">
        <v>1</v>
      </c>
      <c r="J260" s="79"/>
    </row>
    <row r="261" spans="1:10" ht="16.5" customHeight="1">
      <c r="A261" s="76" t="s">
        <v>176</v>
      </c>
      <c r="B261" s="75" t="s">
        <v>46</v>
      </c>
      <c r="C261" s="43" t="s">
        <v>159</v>
      </c>
      <c r="D261" s="65">
        <v>6.1</v>
      </c>
      <c r="E261" s="65">
        <v>52.1</v>
      </c>
      <c r="F261" s="65">
        <v>0.9</v>
      </c>
      <c r="G261" s="77">
        <v>0.03</v>
      </c>
      <c r="H261" s="77">
        <v>1</v>
      </c>
      <c r="I261" s="65">
        <v>1</v>
      </c>
      <c r="J261" s="79"/>
    </row>
    <row r="262" spans="1:10" ht="16.5" customHeight="1">
      <c r="A262" s="76" t="s">
        <v>176</v>
      </c>
      <c r="B262" s="75" t="s">
        <v>87</v>
      </c>
      <c r="C262" s="55" t="s">
        <v>160</v>
      </c>
      <c r="D262" s="65">
        <v>13.9</v>
      </c>
      <c r="E262" s="65">
        <v>129.69999999999999</v>
      </c>
      <c r="F262" s="65">
        <v>0.4</v>
      </c>
      <c r="G262" s="77">
        <v>0.15</v>
      </c>
      <c r="H262" s="77">
        <v>0</v>
      </c>
      <c r="I262" s="65">
        <v>1</v>
      </c>
      <c r="J262" s="79"/>
    </row>
    <row r="263" spans="1:10" ht="16.5" customHeight="1">
      <c r="A263" s="76" t="s">
        <v>176</v>
      </c>
      <c r="B263" s="75" t="s">
        <v>87</v>
      </c>
      <c r="C263" s="87" t="s">
        <v>161</v>
      </c>
      <c r="D263" s="65">
        <v>13.9</v>
      </c>
      <c r="E263" s="65">
        <v>129.69999999999999</v>
      </c>
      <c r="F263" s="65">
        <v>0.8</v>
      </c>
      <c r="G263" s="77">
        <v>0.4</v>
      </c>
      <c r="H263" s="77">
        <v>0.16</v>
      </c>
      <c r="I263" s="65">
        <v>1</v>
      </c>
      <c r="J263" s="79"/>
    </row>
    <row r="264" spans="1:10" ht="16.5" customHeight="1">
      <c r="A264" s="76" t="s">
        <v>176</v>
      </c>
      <c r="B264" s="75" t="s">
        <v>87</v>
      </c>
      <c r="C264" s="88" t="s">
        <v>178</v>
      </c>
      <c r="D264" s="65">
        <v>13.9</v>
      </c>
      <c r="E264" s="65">
        <v>129.69999999999999</v>
      </c>
      <c r="F264" s="65">
        <v>0.85</v>
      </c>
      <c r="G264" s="77">
        <v>0.43</v>
      </c>
      <c r="H264" s="77">
        <v>0</v>
      </c>
      <c r="I264" s="65">
        <v>1</v>
      </c>
      <c r="J264" s="79"/>
    </row>
    <row r="265" spans="1:10" ht="16.5" customHeight="1">
      <c r="A265" s="76" t="s">
        <v>176</v>
      </c>
      <c r="B265" s="75" t="s">
        <v>87</v>
      </c>
      <c r="C265" s="88" t="s">
        <v>97</v>
      </c>
      <c r="D265" s="65">
        <v>13.9</v>
      </c>
      <c r="E265" s="65">
        <v>129.69999999999999</v>
      </c>
      <c r="F265" s="65">
        <v>0.9</v>
      </c>
      <c r="G265" s="77">
        <v>0.41</v>
      </c>
      <c r="H265" s="77">
        <v>0.01</v>
      </c>
      <c r="I265" s="65">
        <v>1</v>
      </c>
      <c r="J265" s="79"/>
    </row>
    <row r="266" spans="1:10" ht="16.5" customHeight="1">
      <c r="A266" s="76" t="s">
        <v>176</v>
      </c>
      <c r="B266" s="75" t="s">
        <v>87</v>
      </c>
      <c r="C266" s="89" t="s">
        <v>163</v>
      </c>
      <c r="D266" s="65">
        <v>13.9</v>
      </c>
      <c r="E266" s="65">
        <v>129.69999999999999</v>
      </c>
      <c r="F266" s="65">
        <v>1</v>
      </c>
      <c r="G266" s="77">
        <v>0.8</v>
      </c>
      <c r="H266" s="77">
        <v>0.8</v>
      </c>
      <c r="I266" s="65">
        <v>1</v>
      </c>
      <c r="J266" s="79"/>
    </row>
    <row r="267" spans="1:10" ht="16.5" customHeight="1">
      <c r="A267" s="76" t="s">
        <v>176</v>
      </c>
      <c r="B267" s="75" t="s">
        <v>87</v>
      </c>
      <c r="C267" s="88" t="s">
        <v>164</v>
      </c>
      <c r="D267" s="65">
        <v>13.9</v>
      </c>
      <c r="E267" s="65">
        <v>129.69999999999999</v>
      </c>
      <c r="F267" s="65">
        <v>0.84</v>
      </c>
      <c r="G267" s="77">
        <v>0.56000000000000005</v>
      </c>
      <c r="H267" s="77">
        <v>0.17</v>
      </c>
      <c r="I267" s="65">
        <v>1</v>
      </c>
      <c r="J267" s="79"/>
    </row>
    <row r="268" spans="1:10" ht="16.5" customHeight="1">
      <c r="A268" s="76" t="s">
        <v>176</v>
      </c>
      <c r="B268" s="75" t="s">
        <v>87</v>
      </c>
      <c r="C268" s="89" t="s">
        <v>165</v>
      </c>
      <c r="D268" s="65">
        <v>13.9</v>
      </c>
      <c r="E268" s="65">
        <v>129.69999999999999</v>
      </c>
      <c r="F268" s="65">
        <v>1</v>
      </c>
      <c r="G268" s="77">
        <v>0.24</v>
      </c>
      <c r="H268" s="77">
        <v>0.2</v>
      </c>
      <c r="I268" s="65">
        <v>1</v>
      </c>
      <c r="J268" s="79"/>
    </row>
    <row r="269" spans="1:10" ht="16.5" customHeight="1">
      <c r="A269" s="76" t="s">
        <v>176</v>
      </c>
      <c r="B269" s="75" t="s">
        <v>87</v>
      </c>
      <c r="C269" s="88" t="s">
        <v>49</v>
      </c>
      <c r="D269" s="65">
        <v>13.9</v>
      </c>
      <c r="E269" s="65">
        <v>129.69999999999999</v>
      </c>
      <c r="F269" s="65">
        <v>0.9</v>
      </c>
      <c r="G269" s="77">
        <v>0.04</v>
      </c>
      <c r="H269" s="77">
        <v>0.03</v>
      </c>
      <c r="I269" s="65"/>
      <c r="J269" s="79"/>
    </row>
    <row r="270" spans="1:10" ht="16.5" customHeight="1">
      <c r="A270" s="76" t="s">
        <v>176</v>
      </c>
      <c r="B270" s="75" t="s">
        <v>87</v>
      </c>
      <c r="C270" s="88" t="s">
        <v>166</v>
      </c>
      <c r="D270" s="65">
        <v>76.3</v>
      </c>
      <c r="E270" s="80">
        <v>595</v>
      </c>
      <c r="F270" s="65">
        <v>0.1</v>
      </c>
      <c r="G270" s="77">
        <v>0.45</v>
      </c>
      <c r="H270" s="77">
        <v>0</v>
      </c>
      <c r="I270" s="65">
        <v>1</v>
      </c>
      <c r="J270" s="79"/>
    </row>
    <row r="271" spans="1:10" ht="16.5" customHeight="1">
      <c r="A271" s="76" t="s">
        <v>176</v>
      </c>
      <c r="B271" s="75" t="s">
        <v>87</v>
      </c>
      <c r="C271" s="88" t="s">
        <v>167</v>
      </c>
      <c r="D271" s="65">
        <v>13.9</v>
      </c>
      <c r="E271" s="65">
        <v>129.69999999999999</v>
      </c>
      <c r="F271" s="65">
        <v>0.35</v>
      </c>
      <c r="G271" s="77">
        <v>0.45</v>
      </c>
      <c r="H271" s="77">
        <v>0</v>
      </c>
      <c r="I271" s="65">
        <v>1</v>
      </c>
      <c r="J271" s="79"/>
    </row>
    <row r="272" spans="1:10" ht="16.5" customHeight="1">
      <c r="A272" s="76" t="s">
        <v>176</v>
      </c>
      <c r="B272" s="78" t="s">
        <v>87</v>
      </c>
      <c r="C272" s="88" t="s">
        <v>179</v>
      </c>
      <c r="D272" s="65">
        <v>13.9</v>
      </c>
      <c r="E272" s="65">
        <v>129.69999999999999</v>
      </c>
      <c r="F272" s="65">
        <v>0.65</v>
      </c>
      <c r="G272" s="77">
        <v>0.4</v>
      </c>
      <c r="H272" s="77">
        <v>0.25</v>
      </c>
      <c r="I272" s="65">
        <v>1</v>
      </c>
      <c r="J272" s="79"/>
    </row>
    <row r="273" spans="1:10" ht="16.5" customHeight="1">
      <c r="A273" s="76" t="s">
        <v>180</v>
      </c>
      <c r="B273" s="79"/>
      <c r="C273" s="79"/>
      <c r="D273" s="79"/>
      <c r="E273" s="79"/>
      <c r="F273" s="79"/>
      <c r="G273" s="65">
        <v>0.8</v>
      </c>
      <c r="H273" s="79"/>
      <c r="I273" s="65">
        <v>1</v>
      </c>
      <c r="J273" s="79"/>
    </row>
    <row r="274" spans="1:10" ht="16.5" customHeight="1">
      <c r="A274" s="65" t="s">
        <v>181</v>
      </c>
      <c r="B274" s="65" t="s">
        <v>182</v>
      </c>
      <c r="C274" s="79"/>
      <c r="D274" s="65">
        <v>193.5</v>
      </c>
      <c r="E274" s="65">
        <v>3.87</v>
      </c>
      <c r="F274" s="79"/>
      <c r="G274" s="79"/>
      <c r="H274" s="79"/>
      <c r="I274" s="65">
        <v>1</v>
      </c>
      <c r="J274" s="65">
        <v>2.8512</v>
      </c>
    </row>
    <row r="275" spans="1:10" ht="16.5" customHeight="1">
      <c r="A275" s="65" t="s">
        <v>181</v>
      </c>
      <c r="B275" s="65" t="s">
        <v>183</v>
      </c>
      <c r="C275" s="79"/>
      <c r="D275" s="65">
        <v>252</v>
      </c>
      <c r="E275" s="65">
        <v>5.04</v>
      </c>
      <c r="F275" s="79"/>
      <c r="G275" s="79"/>
      <c r="H275" s="79"/>
      <c r="I275" s="65">
        <v>1</v>
      </c>
      <c r="J275" s="65">
        <v>2.7517999999999998</v>
      </c>
    </row>
    <row r="277" spans="1:10" ht="16.5" customHeight="1">
      <c r="A277" s="12"/>
      <c r="B277" s="12"/>
      <c r="C277" s="12"/>
    </row>
    <row r="278" spans="1:10" ht="16.5" customHeight="1">
      <c r="A278" s="109" t="s">
        <v>184</v>
      </c>
      <c r="B278" s="109"/>
      <c r="C278" s="109"/>
    </row>
    <row r="279" spans="1:10" ht="16.5" customHeight="1">
      <c r="A279" t="s">
        <v>185</v>
      </c>
      <c r="B279" s="90">
        <v>1</v>
      </c>
    </row>
    <row r="280" spans="1:10" ht="16.5" customHeight="1">
      <c r="A280" t="s">
        <v>131</v>
      </c>
      <c r="B280" s="90">
        <v>21</v>
      </c>
    </row>
    <row r="281" spans="1:10" ht="16.5" customHeight="1">
      <c r="A281" t="s">
        <v>134</v>
      </c>
      <c r="B281" s="90">
        <v>310</v>
      </c>
    </row>
  </sheetData>
  <mergeCells count="6">
    <mergeCell ref="A278:C278"/>
    <mergeCell ref="A249:C249"/>
    <mergeCell ref="A3:A5"/>
    <mergeCell ref="A1:C1"/>
    <mergeCell ref="A13:C13"/>
    <mergeCell ref="A7:A11"/>
  </mergeCells>
  <phoneticPr fontId="8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81C3-88A6-4CF4-A673-7373E0294068}">
  <dimension ref="A1:G16"/>
  <sheetViews>
    <sheetView workbookViewId="0">
      <selection activeCell="B5" sqref="B5:B16"/>
    </sheetView>
  </sheetViews>
  <sheetFormatPr defaultColWidth="43.5" defaultRowHeight="17.100000000000001" outlineLevelRow="1"/>
  <sheetData>
    <row r="1" spans="1:7" ht="18.95">
      <c r="A1" s="107" t="s">
        <v>186</v>
      </c>
      <c r="B1" s="107"/>
      <c r="C1" s="107"/>
      <c r="D1" s="107"/>
      <c r="E1" s="107"/>
      <c r="F1" s="107"/>
      <c r="G1" s="107"/>
    </row>
    <row r="2" spans="1:7" ht="18.95">
      <c r="A2" s="1" t="s">
        <v>1</v>
      </c>
      <c r="B2" s="108"/>
      <c r="C2" s="108"/>
      <c r="D2" s="108"/>
      <c r="E2" s="108"/>
      <c r="F2" s="108"/>
      <c r="G2" s="108"/>
    </row>
    <row r="3" spans="1:7" ht="18.95">
      <c r="A3" s="1" t="s">
        <v>2</v>
      </c>
      <c r="B3" s="108" t="s">
        <v>187</v>
      </c>
      <c r="C3" s="108"/>
      <c r="D3" s="108"/>
      <c r="E3" s="108"/>
      <c r="F3" s="108"/>
      <c r="G3" s="108"/>
    </row>
    <row r="4" spans="1:7" ht="20.100000000000001">
      <c r="A4" s="2" t="s">
        <v>4</v>
      </c>
      <c r="B4" s="2" t="s">
        <v>5</v>
      </c>
      <c r="C4" s="2" t="s">
        <v>6</v>
      </c>
      <c r="D4" s="2" t="s">
        <v>7</v>
      </c>
      <c r="E4" s="24" t="s">
        <v>8</v>
      </c>
      <c r="F4" s="2" t="s">
        <v>188</v>
      </c>
      <c r="G4" s="2" t="s">
        <v>10</v>
      </c>
    </row>
    <row r="5" spans="1:7" s="5" customFormat="1" outlineLevel="1">
      <c r="A5" s="7" t="s">
        <v>11</v>
      </c>
      <c r="B5" s="101" t="s">
        <v>18</v>
      </c>
      <c r="C5" s="38"/>
      <c r="D5" s="7"/>
      <c r="E5" s="7" t="s">
        <v>25</v>
      </c>
      <c r="F5" s="7" t="s">
        <v>17</v>
      </c>
      <c r="G5" s="105">
        <v>2002</v>
      </c>
    </row>
    <row r="6" spans="1:7" s="5" customFormat="1" ht="18" outlineLevel="1">
      <c r="A6" s="7" t="s">
        <v>11</v>
      </c>
      <c r="B6" s="7" t="s">
        <v>12</v>
      </c>
      <c r="C6" s="38" t="s">
        <v>26</v>
      </c>
      <c r="D6" s="7"/>
      <c r="E6" s="7" t="s">
        <v>189</v>
      </c>
      <c r="F6" s="7" t="s">
        <v>17</v>
      </c>
      <c r="G6" s="15" t="s">
        <v>28</v>
      </c>
    </row>
    <row r="7" spans="1:7" s="5" customFormat="1" ht="18" outlineLevel="1">
      <c r="A7" s="7" t="s">
        <v>11</v>
      </c>
      <c r="B7" s="7" t="s">
        <v>12</v>
      </c>
      <c r="C7" s="38" t="s">
        <v>29</v>
      </c>
      <c r="D7" s="7"/>
      <c r="E7" s="7" t="s">
        <v>30</v>
      </c>
      <c r="F7" s="7" t="s">
        <v>17</v>
      </c>
      <c r="G7" s="15" t="s">
        <v>132</v>
      </c>
    </row>
    <row r="8" spans="1:7" s="5" customFormat="1" outlineLevel="1">
      <c r="A8" s="7" t="s">
        <v>11</v>
      </c>
      <c r="B8" s="7" t="s">
        <v>18</v>
      </c>
      <c r="C8" s="8"/>
      <c r="D8" s="7"/>
      <c r="E8" s="7" t="s">
        <v>32</v>
      </c>
      <c r="F8" s="7" t="s">
        <v>17</v>
      </c>
      <c r="G8" s="15">
        <v>1000</v>
      </c>
    </row>
    <row r="9" spans="1:7" outlineLevel="1">
      <c r="A9" s="7" t="s">
        <v>11</v>
      </c>
      <c r="B9" s="7" t="s">
        <v>18</v>
      </c>
      <c r="C9" s="7" t="s">
        <v>33</v>
      </c>
      <c r="D9" s="7"/>
      <c r="E9" s="7" t="s">
        <v>34</v>
      </c>
      <c r="F9" s="7" t="s">
        <v>17</v>
      </c>
      <c r="G9" s="15">
        <v>0</v>
      </c>
    </row>
    <row r="10" spans="1:7" outlineLevel="1">
      <c r="A10" s="9" t="s">
        <v>17</v>
      </c>
      <c r="B10" s="9" t="s">
        <v>18</v>
      </c>
      <c r="C10" s="9"/>
      <c r="D10" s="9"/>
      <c r="E10" s="9" t="s">
        <v>35</v>
      </c>
      <c r="F10" s="9" t="s">
        <v>17</v>
      </c>
      <c r="G10" s="16" cm="1">
        <f t="array" ref="G10">IFERROR(INDEX('Emission Factors and Defaults'!D$3:D$6, MATCH(1, (G6='Emission Factors and Defaults'!B$3:B$6) * (G7='Emission Factors and Defaults'!C$3:C$6), 0)), "Not found")</f>
        <v>4</v>
      </c>
    </row>
    <row r="11" spans="1:7" outlineLevel="1">
      <c r="A11" s="9" t="s">
        <v>17</v>
      </c>
      <c r="B11" s="9" t="s">
        <v>18</v>
      </c>
      <c r="C11" s="9"/>
      <c r="D11" s="9"/>
      <c r="E11" s="9" t="s">
        <v>36</v>
      </c>
      <c r="F11" s="9" t="s">
        <v>17</v>
      </c>
      <c r="G11" s="37" cm="1">
        <f t="array" ref="G11">IFERROR(INDEX('Emission Factors and Defaults'!D$8:D$11, MATCH(1, (G6='Emission Factors and Defaults'!B$8:B$11) * (G7='Emission Factors and Defaults'!C$8:C$11), 0)), "Not found")</f>
        <v>0.3</v>
      </c>
    </row>
    <row r="12" spans="1:7" outlineLevel="1">
      <c r="A12" s="9" t="s">
        <v>17</v>
      </c>
      <c r="B12" s="9" t="s">
        <v>18</v>
      </c>
      <c r="C12" s="9"/>
      <c r="D12" s="9"/>
      <c r="E12" s="9" t="s">
        <v>37</v>
      </c>
      <c r="F12" s="9" t="s">
        <v>17</v>
      </c>
      <c r="G12" s="37">
        <f>(G8*G10)/1000</f>
        <v>4</v>
      </c>
    </row>
    <row r="13" spans="1:7" outlineLevel="1">
      <c r="A13" s="9" t="s">
        <v>17</v>
      </c>
      <c r="B13" s="9" t="s">
        <v>18</v>
      </c>
      <c r="C13" s="9"/>
      <c r="D13" s="9"/>
      <c r="E13" s="9" t="s">
        <v>38</v>
      </c>
      <c r="F13" s="9" t="s">
        <v>17</v>
      </c>
      <c r="G13" s="37">
        <f>G9/G12</f>
        <v>0</v>
      </c>
    </row>
    <row r="14" spans="1:7" outlineLevel="1">
      <c r="A14" s="9" t="s">
        <v>17</v>
      </c>
      <c r="B14" s="9" t="s">
        <v>18</v>
      </c>
      <c r="C14" s="9" t="s">
        <v>33</v>
      </c>
      <c r="D14" s="9"/>
      <c r="E14" s="9" t="s">
        <v>39</v>
      </c>
      <c r="F14" s="9" t="s">
        <v>17</v>
      </c>
      <c r="G14" s="18">
        <f>EXACT('Waste Disposal_Streamlined'!G5,"Biological treatment of solid waste")*((G12-G9) * (G13&lt;=0.95) + (G12*0.05) * (G13&gt;0.95))</f>
        <v>0</v>
      </c>
    </row>
    <row r="15" spans="1:7" outlineLevel="1">
      <c r="A15" s="9" t="s">
        <v>17</v>
      </c>
      <c r="B15" s="9" t="s">
        <v>18</v>
      </c>
      <c r="C15" s="9" t="s">
        <v>33</v>
      </c>
      <c r="D15" s="9"/>
      <c r="E15" s="9" t="s">
        <v>40</v>
      </c>
      <c r="F15" s="9" t="s">
        <v>17</v>
      </c>
      <c r="G15" s="18">
        <f>IFERROR(EXACT('Waste Disposal_Streamlined'!G5,"Biological treatment of solid waste")*((G8*G11)/1000),0)</f>
        <v>0</v>
      </c>
    </row>
    <row r="16" spans="1:7">
      <c r="A16" s="9" t="s">
        <v>17</v>
      </c>
      <c r="B16" s="9" t="s">
        <v>18</v>
      </c>
      <c r="C16" s="9" t="s">
        <v>33</v>
      </c>
      <c r="D16" s="9"/>
      <c r="E16" s="9" t="s">
        <v>41</v>
      </c>
      <c r="F16" s="9" t="s">
        <v>17</v>
      </c>
      <c r="G16" s="18">
        <f>IFERROR((G14*'Emission Factors and Defaults'!B$280)+(G15*'Emission Factors and Defaults'!B$281),0)</f>
        <v>0</v>
      </c>
    </row>
  </sheetData>
  <mergeCells count="3">
    <mergeCell ref="A1:G1"/>
    <mergeCell ref="B2:G2"/>
    <mergeCell ref="B3:G3"/>
  </mergeCells>
  <phoneticPr fontId="10" type="noConversion"/>
  <dataValidations count="2">
    <dataValidation type="list" allowBlank="1" showInputMessage="1" showErrorMessage="1" sqref="B3:G3" xr:uid="{84597CA4-2B65-4C9C-B5FE-CBC404EE1CD9}">
      <formula1>"Verifiable Credentials,Encrypted Verifiable Credential,Sub-Schema"</formula1>
    </dataValidation>
    <dataValidation allowBlank="1" sqref="G8 G5" xr:uid="{E6D81D2B-FB79-B445-BAF3-8A1E49EB9A17}"/>
  </dataValidations>
  <hyperlinks>
    <hyperlink ref="C6" location="'Bio Treat Type (enum)'!A1" display="Bio Treat Type" xr:uid="{C0C86C30-CFD6-8042-B11E-84A32919392F}"/>
    <hyperlink ref="C7" location="'Bio Waste basis (enum)'!A1" display="Bio Waste basis" xr:uid="{F4049BD6-8DA3-494F-92F2-B4FD0D83BEB5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5CE02C43-F443-F940-BD69-210785BC95F2}">
          <x14:formula1>
            <xm:f>'Bio Treat Type (enum)'!$A$3:$A$4</xm:f>
          </x14:formula1>
          <xm:sqref>G6</xm:sqref>
        </x14:dataValidation>
        <x14:dataValidation type="list" allowBlank="1" xr:uid="{891355D0-695E-A748-828C-1784E6F5B266}">
          <x14:formula1>
            <xm:f>'Bio Waste basis (enum)'!$A$3:$A$4</xm:f>
          </x14:formula1>
          <xm:sqref>G7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E984-A409-4862-B071-C55D7E46C338}">
  <dimension ref="A1:H27"/>
  <sheetViews>
    <sheetView workbookViewId="0">
      <selection activeCell="E35" sqref="E35"/>
    </sheetView>
  </sheetViews>
  <sheetFormatPr defaultColWidth="43.5" defaultRowHeight="17.100000000000001" outlineLevelRow="1"/>
  <sheetData>
    <row r="1" spans="1:8" ht="18.95">
      <c r="A1" s="107" t="s">
        <v>190</v>
      </c>
      <c r="B1" s="107"/>
      <c r="C1" s="107"/>
      <c r="D1" s="107"/>
      <c r="E1" s="107"/>
      <c r="F1" s="107"/>
      <c r="G1" s="107"/>
    </row>
    <row r="2" spans="1:8" ht="18.95">
      <c r="A2" s="1" t="s">
        <v>1</v>
      </c>
      <c r="B2" s="108"/>
      <c r="C2" s="108"/>
      <c r="D2" s="108"/>
      <c r="E2" s="108"/>
      <c r="F2" s="108"/>
      <c r="G2" s="108"/>
    </row>
    <row r="3" spans="1:8" ht="18.95">
      <c r="A3" s="1" t="s">
        <v>2</v>
      </c>
      <c r="B3" s="108" t="s">
        <v>187</v>
      </c>
      <c r="C3" s="108"/>
      <c r="D3" s="108"/>
      <c r="E3" s="108"/>
      <c r="F3" s="108"/>
      <c r="G3" s="108"/>
    </row>
    <row r="4" spans="1:8" ht="20.100000000000001">
      <c r="A4" s="2" t="s">
        <v>4</v>
      </c>
      <c r="B4" s="2" t="s">
        <v>5</v>
      </c>
      <c r="C4" s="2" t="s">
        <v>6</v>
      </c>
      <c r="D4" s="2"/>
      <c r="E4" s="24" t="s">
        <v>8</v>
      </c>
      <c r="F4" s="2" t="s">
        <v>188</v>
      </c>
      <c r="G4" s="2" t="s">
        <v>10</v>
      </c>
    </row>
    <row r="5" spans="1:8" s="5" customFormat="1" ht="16.5" outlineLevel="1">
      <c r="A5" s="7" t="s">
        <v>11</v>
      </c>
      <c r="B5" s="101" t="s">
        <v>18</v>
      </c>
      <c r="C5" s="36"/>
      <c r="D5" s="7"/>
      <c r="E5" s="7" t="s">
        <v>25</v>
      </c>
      <c r="F5" s="7" t="s">
        <v>17</v>
      </c>
      <c r="G5" s="105">
        <v>2020</v>
      </c>
    </row>
    <row r="6" spans="1:8" s="5" customFormat="1" ht="16.5" outlineLevel="1">
      <c r="A6" s="7" t="s">
        <v>11</v>
      </c>
      <c r="B6" s="7" t="s">
        <v>12</v>
      </c>
      <c r="C6" s="36" t="s">
        <v>44</v>
      </c>
      <c r="D6" s="7"/>
      <c r="E6" s="7" t="s">
        <v>45</v>
      </c>
      <c r="F6" s="7" t="s">
        <v>17</v>
      </c>
      <c r="G6" s="15" t="s">
        <v>46</v>
      </c>
    </row>
    <row r="7" spans="1:8" s="5" customFormat="1" ht="16.5" outlineLevel="1">
      <c r="A7" s="7" t="s">
        <v>17</v>
      </c>
      <c r="B7" s="7" t="s">
        <v>12</v>
      </c>
      <c r="C7" s="36" t="s">
        <v>47</v>
      </c>
      <c r="D7" s="7" t="b">
        <f>EXACT(G6,"Industrial Waste")</f>
        <v>0</v>
      </c>
      <c r="E7" s="7" t="s">
        <v>48</v>
      </c>
      <c r="F7" s="7" t="s">
        <v>17</v>
      </c>
      <c r="G7" s="15" t="s">
        <v>49</v>
      </c>
    </row>
    <row r="8" spans="1:8" s="5" customFormat="1" ht="16.5" outlineLevel="1">
      <c r="A8" s="7" t="s">
        <v>17</v>
      </c>
      <c r="B8" s="7" t="s">
        <v>12</v>
      </c>
      <c r="C8" s="36" t="s">
        <v>50</v>
      </c>
      <c r="D8" s="7" t="b">
        <f>EXACT(G6,"Household Waste")</f>
        <v>1</v>
      </c>
      <c r="E8" s="7" t="s">
        <v>51</v>
      </c>
      <c r="F8" s="7" t="s">
        <v>17</v>
      </c>
      <c r="G8" s="15" t="s">
        <v>52</v>
      </c>
    </row>
    <row r="9" spans="1:8" s="5" customFormat="1" ht="16.5" outlineLevel="1">
      <c r="A9" s="7" t="s">
        <v>17</v>
      </c>
      <c r="B9" s="7" t="s">
        <v>53</v>
      </c>
      <c r="C9" s="36"/>
      <c r="D9" s="7" t="s">
        <v>54</v>
      </c>
      <c r="E9" s="7" t="s">
        <v>55</v>
      </c>
      <c r="F9" s="7" t="s">
        <v>17</v>
      </c>
      <c r="G9" s="15" t="str">
        <f>IF(G6="Household Waste",G8,"") &amp; IF(G6="Industrial Waste",G7,"")</f>
        <v>Food Waste</v>
      </c>
      <c r="H9" s="66"/>
    </row>
    <row r="10" spans="1:8" s="5" customFormat="1" ht="16.5" outlineLevel="1">
      <c r="A10" s="7" t="s">
        <v>11</v>
      </c>
      <c r="B10" s="7" t="s">
        <v>12</v>
      </c>
      <c r="C10" s="36" t="s">
        <v>56</v>
      </c>
      <c r="D10" s="7"/>
      <c r="E10" s="7" t="s">
        <v>57</v>
      </c>
      <c r="F10" s="7" t="s">
        <v>17</v>
      </c>
      <c r="G10" s="15" t="s">
        <v>58</v>
      </c>
    </row>
    <row r="11" spans="1:8" s="5" customFormat="1" ht="16.5" outlineLevel="1">
      <c r="A11" s="7" t="s">
        <v>11</v>
      </c>
      <c r="B11" s="7" t="s">
        <v>12</v>
      </c>
      <c r="C11" s="36" t="s">
        <v>59</v>
      </c>
      <c r="D11" s="7"/>
      <c r="E11" s="7" t="s">
        <v>60</v>
      </c>
      <c r="F11" s="7" t="s">
        <v>17</v>
      </c>
      <c r="G11" s="15" t="s">
        <v>61</v>
      </c>
    </row>
    <row r="12" spans="1:8" s="5" customFormat="1" ht="16.5" outlineLevel="1">
      <c r="A12" s="7" t="s">
        <v>11</v>
      </c>
      <c r="B12" s="7" t="s">
        <v>18</v>
      </c>
      <c r="C12" s="8"/>
      <c r="D12" s="7"/>
      <c r="E12" s="7" t="s">
        <v>62</v>
      </c>
      <c r="F12" s="7" t="s">
        <v>17</v>
      </c>
      <c r="G12" s="15">
        <v>1000</v>
      </c>
    </row>
    <row r="13" spans="1:8" s="5" customFormat="1" ht="30.75" outlineLevel="1">
      <c r="A13" s="7" t="s">
        <v>11</v>
      </c>
      <c r="B13" s="7" t="s">
        <v>18</v>
      </c>
      <c r="C13" s="7" t="s">
        <v>33</v>
      </c>
      <c r="D13" s="7"/>
      <c r="E13" s="7" t="s">
        <v>63</v>
      </c>
      <c r="F13" s="7" t="s">
        <v>17</v>
      </c>
      <c r="G13" s="15">
        <v>80</v>
      </c>
    </row>
    <row r="14" spans="1:8" ht="16.5" outlineLevel="1">
      <c r="A14" s="7" t="s">
        <v>11</v>
      </c>
      <c r="B14" s="7" t="s">
        <v>18</v>
      </c>
      <c r="C14" s="7"/>
      <c r="D14" s="7"/>
      <c r="E14" s="7" t="s">
        <v>64</v>
      </c>
      <c r="F14" s="7" t="s">
        <v>17</v>
      </c>
      <c r="G14" s="15">
        <v>5.5</v>
      </c>
    </row>
    <row r="15" spans="1:8" ht="16.5" outlineLevel="1">
      <c r="A15" s="9" t="s">
        <v>17</v>
      </c>
      <c r="B15" s="9" t="s">
        <v>18</v>
      </c>
      <c r="C15" s="9"/>
      <c r="D15" s="9"/>
      <c r="E15" s="9" t="s">
        <v>65</v>
      </c>
      <c r="F15" s="9" t="s">
        <v>17</v>
      </c>
      <c r="G15" s="16" cm="1">
        <f t="array" ref="G15">IFERROR(INDEX('Emission Factors and Defaults'!E$15:E$244, MATCH(1, (G6='Emission Factors and Defaults'!A$15:A$244) * (G9='Emission Factors and Defaults'!B$15:B$244) * (G10='Emission Factors and Defaults'!C$15:C$244)* (G11='Emission Factors and Defaults'!D$15:D$244), 0)), "Not found")</f>
        <v>0.15</v>
      </c>
    </row>
    <row r="16" spans="1:8" ht="16.5" outlineLevel="1">
      <c r="A16" s="9" t="s">
        <v>17</v>
      </c>
      <c r="B16" s="9" t="s">
        <v>18</v>
      </c>
      <c r="C16" s="9"/>
      <c r="D16" s="9"/>
      <c r="E16" s="9" t="s">
        <v>66</v>
      </c>
      <c r="F16" s="9" t="s">
        <v>17</v>
      </c>
      <c r="G16" s="37" cm="1">
        <f t="array" ref="G16">IFERROR(INDEX('Emission Factors and Defaults'!F$15:F$244, MATCH(1, (G6='Emission Factors and Defaults'!A$15:A$244) * (G9='Emission Factors and Defaults'!B$15:B$244) * (G10='Emission Factors and Defaults'!C$15:C$244)* (G11='Emission Factors and Defaults'!D$15:D$244), 0)), "Not found")</f>
        <v>0.5</v>
      </c>
    </row>
    <row r="17" spans="1:8" ht="16.5" outlineLevel="1">
      <c r="A17" s="9" t="s">
        <v>17</v>
      </c>
      <c r="B17" s="9" t="s">
        <v>18</v>
      </c>
      <c r="C17" s="9"/>
      <c r="D17" s="9"/>
      <c r="E17" s="9" t="s">
        <v>67</v>
      </c>
      <c r="F17" s="9" t="s">
        <v>17</v>
      </c>
      <c r="G17" s="37" cm="1">
        <f t="array" ref="G17">IFERROR(INDEX('Emission Factors and Defaults'!G$15:G$244, MATCH(1, (G6='Emission Factors and Defaults'!A$15:A$244) * (G9='Emission Factors and Defaults'!B$15:B$244) * (G10='Emission Factors and Defaults'!C$15:C$244)* (G11='Emission Factors and Defaults'!D$15:D$244), 0)), "Not found")</f>
        <v>0.8</v>
      </c>
    </row>
    <row r="18" spans="1:8" ht="16.5" outlineLevel="1">
      <c r="A18" s="9" t="s">
        <v>17</v>
      </c>
      <c r="B18" s="9" t="s">
        <v>18</v>
      </c>
      <c r="C18" s="9"/>
      <c r="D18" s="9"/>
      <c r="E18" s="9" t="s">
        <v>68</v>
      </c>
      <c r="F18" s="9" t="s">
        <v>17</v>
      </c>
      <c r="G18" s="37" cm="1">
        <f t="array" ref="G18">IFERROR(INDEX('Emission Factors and Defaults'!H$15:H$244, MATCH(1, (G6='Emission Factors and Defaults'!A$15:A$244) * (G9='Emission Factors and Defaults'!B$15:B$244) * (G10='Emission Factors and Defaults'!C$15:C$244)* (G11='Emission Factors and Defaults'!D$15:D$244), 0)), "Not found")</f>
        <v>0.185</v>
      </c>
    </row>
    <row r="19" spans="1:8" ht="16.5" outlineLevel="1">
      <c r="A19" s="9" t="s">
        <v>17</v>
      </c>
      <c r="B19" s="9" t="s">
        <v>18</v>
      </c>
      <c r="C19" s="9"/>
      <c r="D19" s="9"/>
      <c r="E19" s="9" t="s">
        <v>69</v>
      </c>
      <c r="F19" s="9" t="s">
        <v>17</v>
      </c>
      <c r="G19" s="37" cm="1">
        <f t="array" ref="G19">IFERROR(INDEX('Emission Factors and Defaults'!I$15:I$244, MATCH(1, (G6='Emission Factors and Defaults'!A$15:A$244) * (G9='Emission Factors and Defaults'!B$15:B$244) * (G10='Emission Factors and Defaults'!C$15:C$244)* (G11='Emission Factors and Defaults'!D$15:D$244), 0)), "Not found")</f>
        <v>0.5</v>
      </c>
    </row>
    <row r="20" spans="1:8" ht="16.5" outlineLevel="1">
      <c r="A20" s="9" t="s">
        <v>17</v>
      </c>
      <c r="B20" s="9" t="s">
        <v>18</v>
      </c>
      <c r="C20" s="9"/>
      <c r="D20" s="9"/>
      <c r="E20" s="9" t="s">
        <v>70</v>
      </c>
      <c r="F20" s="9" t="s">
        <v>17</v>
      </c>
      <c r="G20" s="37" cm="1">
        <f t="array" ref="G20">IFERROR(INDEX('Emission Factors and Defaults'!J$15:J$244, MATCH(1, (G6='Emission Factors and Defaults'!A$15:A$244) * (G9='Emission Factors and Defaults'!B$15:B$244) * (G10='Emission Factors and Defaults'!C$15:C$244)* (G11='Emission Factors and Defaults'!D$15:D$244), 0)), "Not found")</f>
        <v>0</v>
      </c>
    </row>
    <row r="21" spans="1:8" ht="30.75" outlineLevel="1">
      <c r="A21" s="9" t="s">
        <v>17</v>
      </c>
      <c r="B21" s="9" t="s">
        <v>18</v>
      </c>
      <c r="C21" s="9"/>
      <c r="D21" s="9"/>
      <c r="E21" s="9" t="s">
        <v>71</v>
      </c>
      <c r="F21" s="9" t="s">
        <v>17</v>
      </c>
      <c r="G21" s="37">
        <f>G12*G15*G16*G17</f>
        <v>60</v>
      </c>
    </row>
    <row r="22" spans="1:8" ht="30.75" outlineLevel="1">
      <c r="A22" s="9" t="s">
        <v>17</v>
      </c>
      <c r="B22" s="9" t="s">
        <v>18</v>
      </c>
      <c r="C22" s="9"/>
      <c r="D22" s="9"/>
      <c r="E22" s="9" t="s">
        <v>72</v>
      </c>
      <c r="F22" s="9" t="s">
        <v>17</v>
      </c>
      <c r="G22" s="37">
        <f>G21+(G13*EXP(-G18))</f>
        <v>126.48834270817005</v>
      </c>
    </row>
    <row r="23" spans="1:8" ht="16.5" outlineLevel="1">
      <c r="A23" s="9" t="s">
        <v>17</v>
      </c>
      <c r="B23" s="9" t="s">
        <v>18</v>
      </c>
      <c r="C23" s="9"/>
      <c r="D23" s="9"/>
      <c r="E23" s="9" t="s">
        <v>73</v>
      </c>
      <c r="F23" s="9" t="s">
        <v>17</v>
      </c>
      <c r="G23" s="37">
        <f>G22*(1-EXP(-G18))</f>
        <v>21.363339226054141</v>
      </c>
    </row>
    <row r="24" spans="1:8" ht="16.5" outlineLevel="1">
      <c r="A24" s="9" t="s">
        <v>17</v>
      </c>
      <c r="B24" s="9" t="s">
        <v>18</v>
      </c>
      <c r="C24" s="9"/>
      <c r="D24" s="9"/>
      <c r="E24" s="9" t="s">
        <v>74</v>
      </c>
      <c r="F24" s="9" t="s">
        <v>17</v>
      </c>
      <c r="G24" s="37">
        <f>G23*G19*1.336</f>
        <v>14.270710603004167</v>
      </c>
    </row>
    <row r="25" spans="1:8" ht="16.5" outlineLevel="1">
      <c r="A25" s="9" t="s">
        <v>17</v>
      </c>
      <c r="B25" s="9" t="s">
        <v>18</v>
      </c>
      <c r="C25" s="9"/>
      <c r="D25" s="7" t="s">
        <v>75</v>
      </c>
      <c r="E25" s="9" t="s">
        <v>76</v>
      </c>
      <c r="F25" s="9" t="s">
        <v>17</v>
      </c>
      <c r="G25" s="37">
        <f>G14/G24</f>
        <v>0.38540477436646914</v>
      </c>
    </row>
    <row r="26" spans="1:8" ht="16.5">
      <c r="A26" s="9" t="s">
        <v>17</v>
      </c>
      <c r="B26" s="85" t="s">
        <v>18</v>
      </c>
      <c r="C26" s="9" t="s">
        <v>33</v>
      </c>
      <c r="D26" s="9"/>
      <c r="E26" s="9" t="s">
        <v>77</v>
      </c>
      <c r="F26" s="9" t="s">
        <v>17</v>
      </c>
      <c r="G26" s="18">
        <f>IFERROR(EXACT('Waste Disposal_Streamlined'!G5,"Landfilling of solid waste")*(((G24-G14)*(1-G20)) * (G25&lt;=0.75) + (G14*(1/0.75)) * (G25&gt;0.75)),0)</f>
        <v>0</v>
      </c>
      <c r="H26" s="92"/>
    </row>
    <row r="27" spans="1:8" ht="16.5">
      <c r="A27" s="9" t="s">
        <v>17</v>
      </c>
      <c r="B27" s="4" t="s">
        <v>18</v>
      </c>
      <c r="C27" s="4"/>
      <c r="D27" s="4"/>
      <c r="E27" s="4" t="s">
        <v>78</v>
      </c>
      <c r="F27" s="4" t="s">
        <v>17</v>
      </c>
      <c r="G27" s="91">
        <f>IFERROR((G26*'Emission Factors and Defaults'!B$280),0)</f>
        <v>0</v>
      </c>
    </row>
  </sheetData>
  <mergeCells count="3">
    <mergeCell ref="A1:G1"/>
    <mergeCell ref="B2:G2"/>
    <mergeCell ref="B3:G3"/>
  </mergeCells>
  <phoneticPr fontId="10" type="noConversion"/>
  <dataValidations disablePrompts="1" count="2">
    <dataValidation allowBlank="1" sqref="G12 G9 G5" xr:uid="{8959C8FD-B18E-4C04-942A-F0F351EAA4F2}"/>
    <dataValidation type="list" allowBlank="1" showInputMessage="1" showErrorMessage="1" sqref="B3:G3" xr:uid="{8A3F0D8F-99ED-4D20-A9A0-1398BC955478}">
      <formula1>"Verifiable Credentials,Encrypted Verifiable Credential,Sub-Schema"</formula1>
    </dataValidation>
  </dataValidations>
  <hyperlinks>
    <hyperlink ref="C6" location="'Landfilling Waste Type (enum)'!A1" display="Landfilling Waste Type (enum)" xr:uid="{E94D76E4-7DB3-4212-B32A-4A6CF9CC83E6}"/>
    <hyperlink ref="C7" location="'Landfilling IWaste type2 (enum)'!A1" display="Landfilling IWaste type2 (enum)" xr:uid="{746425AC-370E-4B3A-B2EE-6DBDC63AC991}"/>
    <hyperlink ref="C8" location="'Landfilling HWaste type2 (enum)'!A1" display="Landfilling HWaste type2 (enum)" xr:uid="{1DED1816-ADF8-4302-88C5-FEBF7BC7CEFF}"/>
    <hyperlink ref="C10" location="'Landfilling facility (enum)'!A1" display="Landfilling facility (enum)" xr:uid="{3E3A1064-B455-4839-9D2B-95792A12608C}"/>
    <hyperlink ref="C11" location="'Landfilling facility 2 (enum)'!A1" display="Landfilling facility 2 (enum)" xr:uid="{A531E9A0-678C-46E5-87E7-2A3DC99437D4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xr:uid="{E0C86AB9-1A4B-4821-8FD4-4AEC9DBB30FD}">
          <x14:formula1>
            <xm:f>'Landfilling facility 2 (enum)'!$A$3:$A$4</xm:f>
          </x14:formula1>
          <xm:sqref>G11</xm:sqref>
        </x14:dataValidation>
        <x14:dataValidation type="list" allowBlank="1" xr:uid="{F4B76A83-EF07-44CD-B3B3-A5A6175FD7C6}">
          <x14:formula1>
            <xm:f>'Landfilling Waste Type (enum)'!$A$3:$A$4</xm:f>
          </x14:formula1>
          <xm:sqref>G6</xm:sqref>
        </x14:dataValidation>
        <x14:dataValidation type="list" allowBlank="1" xr:uid="{9B5F1F2E-B8B8-4902-93EF-C71610CD8AA9}">
          <x14:formula1>
            <xm:f>'Landfilling IWaste type2 (enum)'!$A$3:$A$14</xm:f>
          </x14:formula1>
          <xm:sqref>G7</xm:sqref>
        </x14:dataValidation>
        <x14:dataValidation type="list" allowBlank="1" xr:uid="{93E2FD88-1EC6-4E7C-9793-91C5EAF47132}">
          <x14:formula1>
            <xm:f>'Landfilling HWaste type2 (enum)'!$A$3:$A$14</xm:f>
          </x14:formula1>
          <xm:sqref>G8</xm:sqref>
        </x14:dataValidation>
        <x14:dataValidation type="list" allowBlank="1" xr:uid="{063B6B8C-5D13-4056-AD16-74F0884BF185}">
          <x14:formula1>
            <xm:f>'Landfilling facility (enum)'!$A$3:$A$7</xm:f>
          </x14:formula1>
          <xm:sqref>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C1A0-44DE-6941-AB39-A2F74E89AE97}">
  <dimension ref="A1:H52"/>
  <sheetViews>
    <sheetView workbookViewId="0">
      <selection activeCell="G41" sqref="G41"/>
    </sheetView>
  </sheetViews>
  <sheetFormatPr defaultColWidth="43.5" defaultRowHeight="17.100000000000001" outlineLevelRow="1"/>
  <sheetData>
    <row r="1" spans="1:8" ht="18.75">
      <c r="A1" s="107" t="s">
        <v>191</v>
      </c>
      <c r="B1" s="107"/>
      <c r="C1" s="107"/>
      <c r="D1" s="107"/>
      <c r="E1" s="107"/>
      <c r="F1" s="107"/>
      <c r="G1" s="107"/>
    </row>
    <row r="2" spans="1:8" ht="18.95">
      <c r="A2" s="1" t="s">
        <v>1</v>
      </c>
      <c r="B2" s="108"/>
      <c r="C2" s="108"/>
      <c r="D2" s="108"/>
      <c r="E2" s="108"/>
      <c r="F2" s="108"/>
      <c r="G2" s="108"/>
    </row>
    <row r="3" spans="1:8" ht="18.95">
      <c r="A3" s="1" t="s">
        <v>2</v>
      </c>
      <c r="B3" s="108" t="s">
        <v>187</v>
      </c>
      <c r="C3" s="108"/>
      <c r="D3" s="108"/>
      <c r="E3" s="108"/>
      <c r="F3" s="108"/>
      <c r="G3" s="108"/>
    </row>
    <row r="4" spans="1:8" ht="20.100000000000001">
      <c r="A4" s="2" t="s">
        <v>4</v>
      </c>
      <c r="B4" s="2" t="s">
        <v>5</v>
      </c>
      <c r="C4" s="2" t="s">
        <v>6</v>
      </c>
      <c r="D4" s="2" t="s">
        <v>7</v>
      </c>
      <c r="E4" s="24" t="s">
        <v>8</v>
      </c>
      <c r="F4" s="2" t="s">
        <v>188</v>
      </c>
      <c r="G4" s="2" t="s">
        <v>10</v>
      </c>
    </row>
    <row r="5" spans="1:8" s="5" customFormat="1" ht="16.5" outlineLevel="1">
      <c r="A5" s="100" t="s">
        <v>11</v>
      </c>
      <c r="B5" s="101" t="s">
        <v>18</v>
      </c>
      <c r="C5" s="102"/>
      <c r="D5" s="103"/>
      <c r="E5" s="103" t="s">
        <v>25</v>
      </c>
      <c r="F5" s="103" t="s">
        <v>17</v>
      </c>
      <c r="G5" s="104">
        <v>2020</v>
      </c>
    </row>
    <row r="6" spans="1:8" s="5" customFormat="1" ht="16.5" outlineLevel="1">
      <c r="A6" s="7" t="s">
        <v>81</v>
      </c>
      <c r="B6" s="7" t="s">
        <v>82</v>
      </c>
      <c r="C6" s="38" t="s">
        <v>83</v>
      </c>
      <c r="D6" s="7"/>
      <c r="E6" s="7" t="s">
        <v>45</v>
      </c>
      <c r="F6" s="7" t="s">
        <v>17</v>
      </c>
      <c r="G6" s="15" t="s">
        <v>84</v>
      </c>
    </row>
    <row r="7" spans="1:8" s="5" customFormat="1" ht="16.5" outlineLevel="1">
      <c r="A7" s="7" t="s">
        <v>17</v>
      </c>
      <c r="B7" s="7" t="s">
        <v>12</v>
      </c>
      <c r="C7" s="38" t="s">
        <v>85</v>
      </c>
      <c r="D7" s="9" t="b">
        <f>EXACT(G6,"Solid Waste")</f>
        <v>1</v>
      </c>
      <c r="E7" s="7" t="s">
        <v>86</v>
      </c>
      <c r="F7" s="7" t="s">
        <v>17</v>
      </c>
      <c r="G7" s="15" t="s">
        <v>87</v>
      </c>
    </row>
    <row r="8" spans="1:8" s="5" customFormat="1" ht="16.5" outlineLevel="1">
      <c r="A8" s="7" t="s">
        <v>17</v>
      </c>
      <c r="B8" s="7" t="s">
        <v>12</v>
      </c>
      <c r="C8" s="36" t="s">
        <v>88</v>
      </c>
      <c r="D8" s="9" t="b">
        <f>EXACT(G6,"Gaseous Waste")</f>
        <v>0</v>
      </c>
      <c r="E8" s="7" t="s">
        <v>89</v>
      </c>
      <c r="F8" s="7" t="s">
        <v>17</v>
      </c>
      <c r="G8" s="15" t="s">
        <v>90</v>
      </c>
    </row>
    <row r="9" spans="1:8" s="5" customFormat="1" ht="16.5" outlineLevel="1">
      <c r="A9" s="7" t="s">
        <v>17</v>
      </c>
      <c r="B9" s="7" t="s">
        <v>18</v>
      </c>
      <c r="C9" s="36"/>
      <c r="D9" s="9" t="s">
        <v>75</v>
      </c>
      <c r="E9" s="7" t="s">
        <v>91</v>
      </c>
      <c r="F9" s="7" t="s">
        <v>17</v>
      </c>
      <c r="G9" s="99">
        <f>EXACT(G7,"Industrial Waste") * EXACT(G6,"Solid Waste")</f>
        <v>1</v>
      </c>
    </row>
    <row r="10" spans="1:8" s="5" customFormat="1" ht="16.5" outlineLevel="1">
      <c r="A10" s="7" t="s">
        <v>17</v>
      </c>
      <c r="B10" s="7" t="s">
        <v>18</v>
      </c>
      <c r="C10" s="36"/>
      <c r="D10" s="9" t="s">
        <v>75</v>
      </c>
      <c r="E10" s="7" t="s">
        <v>92</v>
      </c>
      <c r="F10" s="7" t="s">
        <v>17</v>
      </c>
      <c r="G10" s="99">
        <f>EXACT(G7,"Household Waste") * EXACT(G6,"Solid Waste")</f>
        <v>0</v>
      </c>
    </row>
    <row r="11" spans="1:8" s="5" customFormat="1" ht="16.5" outlineLevel="1">
      <c r="A11" s="7" t="s">
        <v>17</v>
      </c>
      <c r="B11" s="7" t="s">
        <v>82</v>
      </c>
      <c r="C11" s="36" t="s">
        <v>93</v>
      </c>
      <c r="D11" s="9" t="b">
        <f>EXACT(G10,1)</f>
        <v>0</v>
      </c>
      <c r="E11" s="7" t="s">
        <v>51</v>
      </c>
      <c r="F11" s="7" t="s">
        <v>94</v>
      </c>
      <c r="G11" s="15" t="s">
        <v>95</v>
      </c>
    </row>
    <row r="12" spans="1:8" s="5" customFormat="1" ht="16.5" outlineLevel="1">
      <c r="A12" s="7" t="s">
        <v>17</v>
      </c>
      <c r="B12" s="7" t="s">
        <v>12</v>
      </c>
      <c r="C12" s="36" t="s">
        <v>96</v>
      </c>
      <c r="D12" s="9" t="b">
        <f>EXACT(G9,1)</f>
        <v>1</v>
      </c>
      <c r="E12" s="7" t="s">
        <v>48</v>
      </c>
      <c r="F12" s="7" t="s">
        <v>94</v>
      </c>
      <c r="G12" s="15" t="s">
        <v>97</v>
      </c>
    </row>
    <row r="13" spans="1:8" ht="16.5" outlineLevel="1">
      <c r="A13" s="7" t="s">
        <v>17</v>
      </c>
      <c r="B13" s="7" t="s">
        <v>18</v>
      </c>
      <c r="C13" s="36"/>
      <c r="D13" s="9" t="s">
        <v>75</v>
      </c>
      <c r="E13" s="7" t="s">
        <v>98</v>
      </c>
      <c r="F13" s="7" t="s">
        <v>17</v>
      </c>
      <c r="G13" s="15" t="str">
        <f>IF(G6="Gaseous Waste",G8,"")&amp;IF(G6="Solid Waste",G7,"")</f>
        <v>Industrial Waste</v>
      </c>
      <c r="H13" s="81"/>
    </row>
    <row r="14" spans="1:8" ht="16.5" outlineLevel="1">
      <c r="A14" s="7" t="s">
        <v>17</v>
      </c>
      <c r="B14" s="7" t="s">
        <v>18</v>
      </c>
      <c r="C14" s="36"/>
      <c r="D14" s="9" t="s">
        <v>75</v>
      </c>
      <c r="E14" s="7" t="s">
        <v>99</v>
      </c>
      <c r="F14" s="7" t="s">
        <v>17</v>
      </c>
      <c r="G14" s="95" t="str">
        <f>IF(G9=1,G12,"")&amp; IF(G10=1,G11,"")</f>
        <v>Paper Waste</v>
      </c>
    </row>
    <row r="15" spans="1:8" ht="16.5" outlineLevel="1">
      <c r="A15" s="7" t="s">
        <v>11</v>
      </c>
      <c r="B15" s="7" t="s">
        <v>18</v>
      </c>
      <c r="C15" s="8"/>
      <c r="D15" s="7"/>
      <c r="E15" s="7" t="s">
        <v>100</v>
      </c>
      <c r="F15" s="7" t="s">
        <v>17</v>
      </c>
      <c r="G15" s="15">
        <v>1000</v>
      </c>
    </row>
    <row r="16" spans="1:8" ht="16.5" outlineLevel="1">
      <c r="A16" s="9" t="s">
        <v>94</v>
      </c>
      <c r="B16" s="9" t="s">
        <v>18</v>
      </c>
      <c r="C16" s="9"/>
      <c r="D16" s="9" t="b">
        <f>EXACT(G6,"Solid Waste")</f>
        <v>1</v>
      </c>
      <c r="E16" s="9" t="s">
        <v>101</v>
      </c>
      <c r="F16" s="9" t="s">
        <v>17</v>
      </c>
      <c r="G16" s="16" cm="1">
        <f t="array" ref="G16">IFERROR(INDEX('Emission Factors and Defaults'!D$251:D$272, MATCH(1, (G6='Emission Factors and Defaults'!A$251:A$272) * (G13='Emission Factors and Defaults'!B$251:B$272) * (G14='Emission Factors and Defaults'!C$251:C$272), 0)), 0)</f>
        <v>13.9</v>
      </c>
    </row>
    <row r="17" spans="1:7" ht="16.5" outlineLevel="1">
      <c r="A17" s="9" t="s">
        <v>17</v>
      </c>
      <c r="B17" s="9" t="s">
        <v>18</v>
      </c>
      <c r="C17" s="9"/>
      <c r="D17" s="9" t="b">
        <f>EXACT(G6,"Solid Waste")</f>
        <v>1</v>
      </c>
      <c r="E17" s="9" t="s">
        <v>102</v>
      </c>
      <c r="F17" s="9" t="s">
        <v>17</v>
      </c>
      <c r="G17" s="37" cm="1">
        <f t="array" ref="G17">IFERROR(INDEX('Emission Factors and Defaults'!E$251:E$272, MATCH(1, (G6='Emission Factors and Defaults'!A$251:A$272) * (G13='Emission Factors and Defaults'!B$251:B$272) * (G14='Emission Factors and Defaults'!C$251:C$272), 0)), 0)</f>
        <v>129.69999999999999</v>
      </c>
    </row>
    <row r="18" spans="1:7" ht="16.5">
      <c r="A18" s="9" t="s">
        <v>17</v>
      </c>
      <c r="B18" s="9" t="s">
        <v>18</v>
      </c>
      <c r="C18" s="9"/>
      <c r="D18" s="9" t="b">
        <f>EXACT(G6,"Solid Waste")</f>
        <v>1</v>
      </c>
      <c r="E18" s="9" t="s">
        <v>103</v>
      </c>
      <c r="F18" s="9" t="s">
        <v>17</v>
      </c>
      <c r="G18" s="37" cm="1">
        <f t="array" ref="G18">IFERROR(INDEX('Emission Factors and Defaults'!F$251:F$272, MATCH(1, (G6='Emission Factors and Defaults'!A$251:A$272) * (G13='Emission Factors and Defaults'!B$251:B$272) * (G14='Emission Factors and Defaults'!C$251:C$272), 0)), 0)</f>
        <v>0.9</v>
      </c>
    </row>
    <row r="19" spans="1:7" ht="16.5">
      <c r="A19" s="9" t="s">
        <v>17</v>
      </c>
      <c r="B19" s="9" t="s">
        <v>18</v>
      </c>
      <c r="C19" s="9" t="s">
        <v>33</v>
      </c>
      <c r="D19" s="9" t="b">
        <f>EXACT(G6,"Solid Waste")</f>
        <v>1</v>
      </c>
      <c r="E19" s="9" t="s">
        <v>104</v>
      </c>
      <c r="F19" s="9" t="s">
        <v>17</v>
      </c>
      <c r="G19" s="18" cm="1">
        <f t="array" ref="G19">IFERROR(INDEX('Emission Factors and Defaults'!G$251:G$272, MATCH(1, (G6='Emission Factors and Defaults'!A$251:A$272) * (G13='Emission Factors and Defaults'!B$251:B$272) * (G14='Emission Factors and Defaults'!C$251:C$272), 0)), 0)</f>
        <v>0.41</v>
      </c>
    </row>
    <row r="20" spans="1:7" ht="16.5">
      <c r="A20" s="9" t="s">
        <v>17</v>
      </c>
      <c r="B20" s="9" t="s">
        <v>18</v>
      </c>
      <c r="C20" s="9" t="s">
        <v>33</v>
      </c>
      <c r="D20" s="9" t="b">
        <f>EXACT(G6,"Solid Waste")</f>
        <v>1</v>
      </c>
      <c r="E20" s="9" t="s">
        <v>105</v>
      </c>
      <c r="F20" s="9" t="s">
        <v>17</v>
      </c>
      <c r="G20" s="18" cm="1">
        <f t="array" ref="G20">IFERROR(INDEX('Emission Factors and Defaults'!H$251:H$275, MATCH(1, (G6='Emission Factors and Defaults'!A$251:A$275) * (G13='Emission Factors and Defaults'!B$251:B$275) * (G14='Emission Factors and Defaults'!C$251:C$275), 0)), 0)</f>
        <v>0.01</v>
      </c>
    </row>
    <row r="21" spans="1:7" ht="16.5">
      <c r="A21" s="9" t="s">
        <v>17</v>
      </c>
      <c r="B21" s="9" t="s">
        <v>18</v>
      </c>
      <c r="C21" s="9" t="s">
        <v>33</v>
      </c>
      <c r="D21" s="9" t="b">
        <f>EXACT(G6,"Solid Waste")</f>
        <v>1</v>
      </c>
      <c r="E21" s="9" t="s">
        <v>106</v>
      </c>
      <c r="F21" s="9" t="s">
        <v>17</v>
      </c>
      <c r="G21" s="18" cm="1">
        <f t="array" ref="G21">IFERROR(INDEX('Emission Factors and Defaults'!I$251:I$275, MATCH(1, (G6='Emission Factors and Defaults'!A$251:A$275) * (G13='Emission Factors and Defaults'!B$251:B$275) * (G14='Emission Factors and Defaults'!C$251:C$275), 0)), 0)</f>
        <v>1</v>
      </c>
    </row>
    <row r="22" spans="1:7" ht="16.5">
      <c r="A22" s="9" t="s">
        <v>17</v>
      </c>
      <c r="B22" s="9" t="s">
        <v>18</v>
      </c>
      <c r="C22" s="9"/>
      <c r="D22" s="9" t="b">
        <f>EXACT(G6,"Liquid Waste")</f>
        <v>0</v>
      </c>
      <c r="E22" s="9" t="s">
        <v>107</v>
      </c>
      <c r="F22" s="9" t="s">
        <v>17</v>
      </c>
      <c r="G22" s="18">
        <f>IF(G6="Liquid Waste", 0.8, 0)</f>
        <v>0</v>
      </c>
    </row>
    <row r="23" spans="1:7" ht="16.5">
      <c r="A23" s="9" t="s">
        <v>17</v>
      </c>
      <c r="B23" s="9" t="s">
        <v>18</v>
      </c>
      <c r="C23" s="9"/>
      <c r="D23" s="9" t="b">
        <f>EXACT(G6,"Liquid Waste")</f>
        <v>0</v>
      </c>
      <c r="E23" s="9" t="s">
        <v>108</v>
      </c>
      <c r="F23" s="9" t="s">
        <v>17</v>
      </c>
      <c r="G23" s="18">
        <f>IF(G6="Liquid Waste", 1, 0)</f>
        <v>0</v>
      </c>
    </row>
    <row r="24" spans="1:7" ht="16.5">
      <c r="A24" s="9" t="s">
        <v>17</v>
      </c>
      <c r="B24" s="9" t="s">
        <v>18</v>
      </c>
      <c r="C24" s="9"/>
      <c r="D24" s="9" t="b">
        <f>EXACT(G6,"Gaseous Waste")</f>
        <v>0</v>
      </c>
      <c r="E24" s="9" t="s">
        <v>109</v>
      </c>
      <c r="F24" s="9" t="s">
        <v>17</v>
      </c>
      <c r="G24" s="18" cm="1">
        <f t="array" ref="G24">IFERROR(INDEX('Emission Factors and Defaults'!D$274:D$275, MATCH(1, (G6='Emission Factors and Defaults'!A$274:A$275) * (G13='Emission Factors and Defaults'!B$274:B$275), 0)), 0)</f>
        <v>0</v>
      </c>
    </row>
    <row r="25" spans="1:7" ht="16.5">
      <c r="A25" s="9" t="s">
        <v>17</v>
      </c>
      <c r="B25" s="9" t="s">
        <v>18</v>
      </c>
      <c r="C25" s="9"/>
      <c r="D25" s="9" t="b">
        <f>EXACT(G6,"Gaseous Waste")</f>
        <v>0</v>
      </c>
      <c r="E25" s="9" t="s">
        <v>110</v>
      </c>
      <c r="F25" s="9" t="s">
        <v>17</v>
      </c>
      <c r="G25" s="18" cm="1">
        <f t="array" ref="G25">IFERROR(INDEX('Emission Factors and Defaults'!E$274:E$275, MATCH(1, (G6='Emission Factors and Defaults'!A$274:A$275) * (G13='Emission Factors and Defaults'!B$274:B$275), 0)),0)</f>
        <v>0</v>
      </c>
    </row>
    <row r="26" spans="1:7" ht="16.5">
      <c r="A26" s="9" t="s">
        <v>17</v>
      </c>
      <c r="B26" s="9" t="s">
        <v>18</v>
      </c>
      <c r="C26" s="9" t="s">
        <v>33</v>
      </c>
      <c r="D26" s="9" t="b">
        <f>EXACT(G6,"Gaseous Waste")</f>
        <v>0</v>
      </c>
      <c r="E26" s="9" t="s">
        <v>111</v>
      </c>
      <c r="F26" s="9" t="s">
        <v>17</v>
      </c>
      <c r="G26" s="18" cm="1">
        <f t="array" ref="G26">IFERROR(INDEX('Emission Factors and Defaults'!J$274:J$275, MATCH(1, (G6='Emission Factors and Defaults'!A$274:A$275) * (G13='Emission Factors and Defaults'!B$274:B$275), 0)), 0)</f>
        <v>0</v>
      </c>
    </row>
    <row r="27" spans="1:7" ht="16.5">
      <c r="A27" s="9" t="s">
        <v>94</v>
      </c>
      <c r="B27" s="9" t="s">
        <v>112</v>
      </c>
      <c r="C27" s="9" t="s">
        <v>33</v>
      </c>
      <c r="D27" s="9" t="b">
        <f>EXACT(G6,"Solid Waste")</f>
        <v>1</v>
      </c>
      <c r="E27" s="9" t="s">
        <v>113</v>
      </c>
      <c r="F27" s="9" t="s">
        <v>17</v>
      </c>
      <c r="G27" s="18">
        <f>IFERROR(EXACT(G6, "Solid Waste")*(G15*G16/1000000),0)</f>
        <v>1.3899999999999999E-2</v>
      </c>
    </row>
    <row r="28" spans="1:7" ht="16.5">
      <c r="A28" s="9" t="s">
        <v>17</v>
      </c>
      <c r="B28" s="9" t="s">
        <v>18</v>
      </c>
      <c r="C28" s="9" t="s">
        <v>33</v>
      </c>
      <c r="D28" s="9" t="b">
        <f>EXACT(G6,"Solid Waste")</f>
        <v>1</v>
      </c>
      <c r="E28" s="9" t="s">
        <v>114</v>
      </c>
      <c r="F28" s="9" t="s">
        <v>17</v>
      </c>
      <c r="G28" s="18">
        <f>IFERROR(EXACT(G6, "Solid Waste")*(G15*G17/1000000),0)</f>
        <v>0.12969999999999998</v>
      </c>
    </row>
    <row r="29" spans="1:7" ht="16.5">
      <c r="A29" s="9" t="s">
        <v>17</v>
      </c>
      <c r="B29" s="9" t="s">
        <v>18</v>
      </c>
      <c r="C29" s="9" t="s">
        <v>33</v>
      </c>
      <c r="D29" s="9" t="b">
        <f>EXACT(G6,"Solid Waste")</f>
        <v>1</v>
      </c>
      <c r="E29" s="9" t="s">
        <v>115</v>
      </c>
      <c r="F29" s="9" t="s">
        <v>17</v>
      </c>
      <c r="G29" s="18">
        <f>IFERROR(EXACT(G6, "Solid Waste")*(G15*G18*G19*G20*G21*3.664),0)</f>
        <v>13.520160000000001</v>
      </c>
    </row>
    <row r="30" spans="1:7" ht="16.5">
      <c r="A30" s="9" t="s">
        <v>17</v>
      </c>
      <c r="B30" s="9" t="s">
        <v>18</v>
      </c>
      <c r="C30" s="9"/>
      <c r="D30" s="9" t="b">
        <f>EXACT(G6,"Solid Waste")</f>
        <v>1</v>
      </c>
      <c r="E30" s="9" t="s">
        <v>116</v>
      </c>
      <c r="F30" s="9" t="s">
        <v>17</v>
      </c>
      <c r="G30" s="18">
        <f>G29+(G27*'Emission Factors and Defaults'!B$280)+(G28*'Emission Factors and Defaults'!B$281)</f>
        <v>54.019059999999996</v>
      </c>
    </row>
    <row r="31" spans="1:7" ht="16.5">
      <c r="A31" s="9" t="s">
        <v>17</v>
      </c>
      <c r="B31" s="9" t="s">
        <v>112</v>
      </c>
      <c r="C31" s="9" t="s">
        <v>33</v>
      </c>
      <c r="D31" s="9" t="b">
        <f>EXACT(G6,"Liquid Waste")</f>
        <v>0</v>
      </c>
      <c r="E31" s="9" t="s">
        <v>117</v>
      </c>
      <c r="F31" s="9" t="s">
        <v>17</v>
      </c>
      <c r="G31" s="18">
        <f>IFERROR(EXACT(G6, "Liquid Waste")*(G15*G22*G23*3.664),0)</f>
        <v>0</v>
      </c>
    </row>
    <row r="32" spans="1:7" ht="16.5">
      <c r="A32" s="9" t="s">
        <v>17</v>
      </c>
      <c r="B32" s="9" t="s">
        <v>18</v>
      </c>
      <c r="C32" s="9" t="s">
        <v>33</v>
      </c>
      <c r="D32" s="9" t="b">
        <f>EXACT(G6,"Liquid Waste")</f>
        <v>0</v>
      </c>
      <c r="E32" s="9" t="s">
        <v>118</v>
      </c>
      <c r="F32" s="9" t="s">
        <v>17</v>
      </c>
      <c r="G32" s="18">
        <f>G31</f>
        <v>0</v>
      </c>
    </row>
    <row r="33" spans="1:7" ht="16.5">
      <c r="A33" s="9" t="s">
        <v>17</v>
      </c>
      <c r="B33" s="9" t="s">
        <v>112</v>
      </c>
      <c r="C33" s="9" t="s">
        <v>33</v>
      </c>
      <c r="D33" s="9" t="b">
        <f>EXACT(G6,"Gaseous Waste")</f>
        <v>0</v>
      </c>
      <c r="E33" s="9" t="s">
        <v>119</v>
      </c>
      <c r="F33" s="9" t="s">
        <v>17</v>
      </c>
      <c r="G33" s="18">
        <f>IFERROR(EXACT(G6,"Gaseous Waste")*(G15*G24/1000000),0)</f>
        <v>0</v>
      </c>
    </row>
    <row r="34" spans="1:7" ht="16.5">
      <c r="A34" s="9" t="s">
        <v>17</v>
      </c>
      <c r="B34" s="9" t="s">
        <v>18</v>
      </c>
      <c r="C34" s="9" t="s">
        <v>33</v>
      </c>
      <c r="D34" s="9" t="b">
        <f>EXACT(G6,"Gaseous Waste")</f>
        <v>0</v>
      </c>
      <c r="E34" s="9" t="s">
        <v>120</v>
      </c>
      <c r="F34" s="9" t="s">
        <v>17</v>
      </c>
      <c r="G34" s="18">
        <f>IFERROR(EXACT(G6,"Gaseous Waste")*(G15*G25/1000000),0)</f>
        <v>0</v>
      </c>
    </row>
    <row r="35" spans="1:7" ht="16.5">
      <c r="A35" s="9" t="s">
        <v>17</v>
      </c>
      <c r="B35" s="9" t="s">
        <v>18</v>
      </c>
      <c r="C35" s="9" t="s">
        <v>33</v>
      </c>
      <c r="D35" s="9" t="b">
        <f>EXACT(G6,"Gaseous Waste")</f>
        <v>0</v>
      </c>
      <c r="E35" s="9" t="s">
        <v>121</v>
      </c>
      <c r="F35" s="9" t="s">
        <v>17</v>
      </c>
      <c r="G35" s="18">
        <f>IFERROR(EXACT(G6,"Gaseous Waste")*(G15*G26),0)</f>
        <v>0</v>
      </c>
    </row>
    <row r="36" spans="1:7" ht="16.5">
      <c r="A36" s="9" t="s">
        <v>17</v>
      </c>
      <c r="B36" s="9" t="s">
        <v>18</v>
      </c>
      <c r="C36" s="9" t="s">
        <v>33</v>
      </c>
      <c r="D36" s="9" t="b">
        <f>EXACT(G6,"Gaseous Waste")</f>
        <v>0</v>
      </c>
      <c r="E36" s="9" t="s">
        <v>122</v>
      </c>
      <c r="F36" s="9" t="s">
        <v>17</v>
      </c>
      <c r="G36" s="18">
        <f>G35+(G33*'Emission Factors and Defaults'!B$280)+(G34*'Emission Factors and Defaults'!B$281)</f>
        <v>0</v>
      </c>
    </row>
    <row r="37" spans="1:7" ht="16.5">
      <c r="A37" s="9" t="s">
        <v>17</v>
      </c>
      <c r="B37" s="9" t="s">
        <v>18</v>
      </c>
      <c r="C37" s="9" t="s">
        <v>33</v>
      </c>
      <c r="D37" s="9"/>
      <c r="E37" s="9" t="s">
        <v>123</v>
      </c>
      <c r="F37" s="9" t="s">
        <v>17</v>
      </c>
      <c r="G37" s="18">
        <f>IFERROR(EXACT('Waste Disposal_Streamlined'!G5,"Incineration")*SUM(G29,G31,G35),0)</f>
        <v>13.520160000000001</v>
      </c>
    </row>
    <row r="38" spans="1:7" ht="16.5">
      <c r="A38" s="9" t="s">
        <v>17</v>
      </c>
      <c r="B38" s="9" t="s">
        <v>18</v>
      </c>
      <c r="C38" s="9" t="s">
        <v>33</v>
      </c>
      <c r="D38" s="9"/>
      <c r="E38" s="9" t="s">
        <v>124</v>
      </c>
      <c r="F38" s="9" t="s">
        <v>17</v>
      </c>
      <c r="G38" s="18">
        <f>IFERROR(EXACT('Waste Disposal_Streamlined'!G5,"Incineration")*SUM(G27,G33),0)</f>
        <v>1.3899999999999999E-2</v>
      </c>
    </row>
    <row r="39" spans="1:7" ht="16.5">
      <c r="A39" s="9" t="s">
        <v>17</v>
      </c>
      <c r="B39" s="9" t="s">
        <v>18</v>
      </c>
      <c r="C39" s="9" t="s">
        <v>33</v>
      </c>
      <c r="D39" s="9"/>
      <c r="E39" s="9" t="s">
        <v>125</v>
      </c>
      <c r="F39" s="9" t="s">
        <v>17</v>
      </c>
      <c r="G39" s="18">
        <f>IFERROR(EXACT('Waste Disposal_Streamlined'!G5,"Incineration")*SUM(G28,G34),0)</f>
        <v>0.12969999999999998</v>
      </c>
    </row>
    <row r="40" spans="1:7" ht="16.5">
      <c r="A40" s="9" t="s">
        <v>17</v>
      </c>
      <c r="B40" s="9" t="s">
        <v>18</v>
      </c>
      <c r="C40" s="9" t="s">
        <v>33</v>
      </c>
      <c r="D40" s="9"/>
      <c r="E40" s="9" t="s">
        <v>126</v>
      </c>
      <c r="F40" s="9" t="s">
        <v>17</v>
      </c>
      <c r="G40" s="18">
        <f>IFERROR(EXACT('Waste Disposal_Streamlined'!G5,"Incineration")*SUM(G30,G32,G36),0)</f>
        <v>54.019059999999996</v>
      </c>
    </row>
    <row r="52" spans="7:7">
      <c r="G52" t="str">
        <f>_xlfn.XLOOKUP(G47,'Incineration type selection'!A4:A5,'Incineration type selection'!B4:B5,"")</f>
        <v/>
      </c>
    </row>
  </sheetData>
  <mergeCells count="3">
    <mergeCell ref="A1:G1"/>
    <mergeCell ref="B2:G2"/>
    <mergeCell ref="B3:G3"/>
  </mergeCells>
  <phoneticPr fontId="10" type="noConversion"/>
  <dataValidations count="2">
    <dataValidation allowBlank="1" sqref="G13:G15 G5 G9:G10" xr:uid="{E0C845BF-8DAD-4E0B-853B-28C32FC7FC98}"/>
    <dataValidation type="list" allowBlank="1" showInputMessage="1" showErrorMessage="1" sqref="B3:G3" xr:uid="{4D09CBBA-B6F8-FC40-99D6-0D861071BE59}">
      <formula1>"Verifiable Credentials,Encrypted Verifiable Credential,Sub-Schema"</formula1>
    </dataValidation>
  </dataValidations>
  <hyperlinks>
    <hyperlink ref="C6" location="'Inc Waste Type (enum)'!A1" display="Waste Type" xr:uid="{6DD78BFE-825D-4504-A85A-AF3FD41BF862}"/>
    <hyperlink ref="C7" location="'Inc Waste Sub Type (enum)'!A1" display="Sub Waste Type" xr:uid="{4FC0BEF3-8D7E-4235-843C-F7880F154AE3}"/>
    <hyperlink ref="C8" location="'Inc waste type Gas (enum)'!A1" display="Inc waste type gas (enum)" xr:uid="{5747737D-C395-4481-A493-1F1E837FBDFA}"/>
    <hyperlink ref="C11" location="'Landfilling HWaste type2 (enum)'!A1" display="Sub Waste Type 2" xr:uid="{6343AA45-A607-4B94-BB92-3D17512F338C}"/>
    <hyperlink ref="C12" location="'Landfilling IWaste type2 (enum)'!A1" display="Sub Waste Type 2" xr:uid="{4E80524C-54F5-4940-A8A3-61D1C10F98AA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29C237C4-FDCF-4025-867B-E2ED2CB90CAF}">
          <x14:formula1>
            <xm:f>'Inc Waste Type (enum)'!$A$3:$A$5</xm:f>
          </x14:formula1>
          <xm:sqref>G6</xm:sqref>
        </x14:dataValidation>
        <x14:dataValidation type="list" allowBlank="1" xr:uid="{C3700B98-CB90-4033-8849-C3D791A5AE38}">
          <x14:formula1>
            <xm:f>'Inc Waste Sub Type (enum)'!$A$3:$A$4</xm:f>
          </x14:formula1>
          <xm:sqref>G7</xm:sqref>
        </x14:dataValidation>
        <x14:dataValidation type="list" allowBlank="1" xr:uid="{F56C34FC-31AB-41E9-8A91-E6D2DBA370E0}">
          <x14:formula1>
            <xm:f>'Landfilling HWaste type2 (enum)'!$A$4:$A$12</xm:f>
          </x14:formula1>
          <xm:sqref>G11</xm:sqref>
        </x14:dataValidation>
        <x14:dataValidation type="list" allowBlank="1" xr:uid="{88874830-B3AC-466A-A1FF-79DD9F795FA4}">
          <x14:formula1>
            <xm:f>'Landfilling IWaste type2 (enum)'!$A$4:$A$15</xm:f>
          </x14:formula1>
          <xm:sqref>G12</xm:sqref>
        </x14:dataValidation>
        <x14:dataValidation type="list" allowBlank="1" xr:uid="{17202B72-F739-4F75-97BE-61B33DC62BCC}">
          <x14:formula1>
            <xm:f>'Inc waste type Gas (enum)'!$A$3:$A$4</xm:f>
          </x14:formula1>
          <xm:sqref>G8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8F2C-BA3E-9144-8033-6C44D41D83C4}">
  <dimension ref="A1:B5"/>
  <sheetViews>
    <sheetView workbookViewId="0">
      <selection activeCell="B4" sqref="B4"/>
    </sheetView>
  </sheetViews>
  <sheetFormatPr defaultColWidth="11" defaultRowHeight="17.100000000000001"/>
  <cols>
    <col min="1" max="1" width="20.875" customWidth="1"/>
    <col min="2" max="2" width="28.875" customWidth="1"/>
  </cols>
  <sheetData>
    <row r="1" spans="1:2">
      <c r="A1" s="7" t="s">
        <v>192</v>
      </c>
      <c r="B1" s="17" t="str">
        <f>'Waste Disposal_Streamlined'!G50</f>
        <v>Industrial Waste</v>
      </c>
    </row>
    <row r="2" spans="1:2">
      <c r="A2" s="7" t="s">
        <v>193</v>
      </c>
      <c r="B2" s="17" t="str">
        <f>'Waste Disposal_Streamlined'!G51</f>
        <v>Biogas (Methane)</v>
      </c>
    </row>
    <row r="4" spans="1:2">
      <c r="A4" s="93" t="s">
        <v>194</v>
      </c>
      <c r="B4" s="94" t="str">
        <f>'Waste Disposal_Streamlined'!G55</f>
        <v>Paper Waste</v>
      </c>
    </row>
    <row r="5" spans="1:2">
      <c r="A5" s="94" t="s">
        <v>195</v>
      </c>
      <c r="B5" s="94" t="str">
        <f>'Waste Disposal_Streamlined'!G54</f>
        <v>Textile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9A5C-D475-D249-8B78-05C562EBBB3C}">
  <sheetPr>
    <outlinePr summaryBelow="0" summaryRight="0"/>
  </sheetPr>
  <dimension ref="A1:B4"/>
  <sheetViews>
    <sheetView zoomScaleNormal="100"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199</v>
      </c>
    </row>
    <row r="3" spans="1:2">
      <c r="A3" s="25" t="s">
        <v>200</v>
      </c>
    </row>
    <row r="4" spans="1:2">
      <c r="A4" s="25" t="s">
        <v>201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82182-5100-5A43-9A94-95FA7FAA9059}">
  <sheetPr>
    <outlinePr summaryBelow="0" summaryRight="0"/>
  </sheetPr>
  <dimension ref="A1:B5"/>
  <sheetViews>
    <sheetView zoomScaleNormal="100" workbookViewId="0">
      <selection activeCell="B3" sqref="B3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202</v>
      </c>
    </row>
    <row r="3" spans="1:2" ht="14.45" customHeight="1">
      <c r="A3" s="40" t="s">
        <v>192</v>
      </c>
    </row>
    <row r="4" spans="1:2">
      <c r="A4" s="41" t="s">
        <v>203</v>
      </c>
    </row>
    <row r="5" spans="1:2">
      <c r="A5" s="25" t="s">
        <v>193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36D-7D95-8043-A95C-67E12012BDDC}">
  <sheetPr>
    <outlinePr summaryBelow="0" summaryRight="0"/>
  </sheetPr>
  <dimension ref="A1:B4"/>
  <sheetViews>
    <sheetView zoomScaleNormal="100"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204</v>
      </c>
    </row>
    <row r="3" spans="1:2" ht="14.45" customHeight="1">
      <c r="A3" s="40" t="s">
        <v>195</v>
      </c>
    </row>
    <row r="4" spans="1:2">
      <c r="A4" s="41" t="s">
        <v>194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Normal="100"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205</v>
      </c>
      <c r="B1" s="4" t="s">
        <v>197</v>
      </c>
    </row>
    <row r="2" spans="1:2" ht="18.95">
      <c r="A2" s="3" t="s">
        <v>198</v>
      </c>
      <c r="B2" s="4" t="s">
        <v>206</v>
      </c>
    </row>
    <row r="3" spans="1:2" ht="14.45" customHeight="1">
      <c r="A3" s="10" t="s">
        <v>207</v>
      </c>
    </row>
    <row r="4" spans="1:2">
      <c r="A4" s="10" t="s">
        <v>208</v>
      </c>
    </row>
    <row r="5" spans="1:2">
      <c r="A5" s="25" t="s">
        <v>16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D420-EB46-4E6A-8337-F43B3A540167}">
  <sheetPr>
    <outlinePr summaryBelow="0" summaryRight="0"/>
  </sheetPr>
  <dimension ref="A1:B11"/>
  <sheetViews>
    <sheetView zoomScaleNormal="100"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209</v>
      </c>
    </row>
    <row r="3" spans="1:2" ht="14.45" customHeight="1">
      <c r="A3" s="39" t="s">
        <v>148</v>
      </c>
    </row>
    <row r="4" spans="1:2" ht="21" customHeight="1">
      <c r="A4" s="48" t="s">
        <v>61</v>
      </c>
    </row>
    <row r="5" spans="1:2">
      <c r="A5" s="47"/>
    </row>
    <row r="6" spans="1:2">
      <c r="A6" s="47"/>
    </row>
    <row r="8" spans="1:2">
      <c r="A8" s="47"/>
    </row>
    <row r="11" spans="1:2">
      <c r="A11" s="47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28228-5701-40CE-9AC2-D7E0A8AE4AB1}">
  <sheetPr>
    <outlinePr summaryBelow="0" summaryRight="0"/>
  </sheetPr>
  <dimension ref="A1:B11"/>
  <sheetViews>
    <sheetView zoomScaleNormal="100" workbookViewId="0">
      <selection activeCell="B10" sqref="B10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57</v>
      </c>
    </row>
    <row r="3" spans="1:2" ht="14.45" customHeight="1">
      <c r="A3" s="39" t="s">
        <v>147</v>
      </c>
    </row>
    <row r="4" spans="1:2" ht="21" customHeight="1">
      <c r="A4" s="98" t="s">
        <v>149</v>
      </c>
    </row>
    <row r="5" spans="1:2" ht="36">
      <c r="A5" s="46" t="s">
        <v>58</v>
      </c>
    </row>
    <row r="6" spans="1:2" ht="36">
      <c r="A6" s="46" t="s">
        <v>150</v>
      </c>
    </row>
    <row r="7" spans="1:2">
      <c r="A7" s="43" t="s">
        <v>61</v>
      </c>
    </row>
    <row r="8" spans="1:2">
      <c r="A8" s="47"/>
    </row>
    <row r="11" spans="1:2">
      <c r="A11" s="47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546B-7A48-4176-A3F6-D9D9C711C61F}">
  <sheetPr>
    <outlinePr summaryBelow="0" summaryRight="0"/>
  </sheetPr>
  <dimension ref="A1:B14"/>
  <sheetViews>
    <sheetView zoomScaleNormal="100" workbookViewId="0">
      <selection activeCell="B3" sqref="B3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210</v>
      </c>
    </row>
    <row r="3" spans="1:2" ht="14.45" customHeight="1">
      <c r="A3" s="39" t="s">
        <v>146</v>
      </c>
    </row>
    <row r="4" spans="1:2" ht="21" customHeight="1">
      <c r="A4" s="45" t="s">
        <v>160</v>
      </c>
    </row>
    <row r="5" spans="1:2">
      <c r="A5" s="43" t="s">
        <v>161</v>
      </c>
    </row>
    <row r="6" spans="1:2">
      <c r="A6" s="43" t="s">
        <v>178</v>
      </c>
    </row>
    <row r="7" spans="1:2">
      <c r="A7" s="43" t="s">
        <v>97</v>
      </c>
    </row>
    <row r="8" spans="1:2" ht="36">
      <c r="A8" s="46" t="s">
        <v>163</v>
      </c>
    </row>
    <row r="9" spans="1:2">
      <c r="A9" s="43" t="s">
        <v>164</v>
      </c>
    </row>
    <row r="10" spans="1:2" ht="36">
      <c r="A10" s="46" t="s">
        <v>165</v>
      </c>
    </row>
    <row r="11" spans="1:2">
      <c r="A11" s="43" t="s">
        <v>49</v>
      </c>
    </row>
    <row r="12" spans="1:2">
      <c r="A12" s="43" t="s">
        <v>166</v>
      </c>
    </row>
    <row r="13" spans="1:2">
      <c r="A13" s="43" t="s">
        <v>167</v>
      </c>
    </row>
    <row r="14" spans="1:2">
      <c r="A14" s="43" t="s">
        <v>211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7EF6-32EC-42A6-81F1-9187D5B625D3}">
  <sheetPr>
    <outlinePr summaryBelow="0" summaryRight="0"/>
  </sheetPr>
  <dimension ref="A1:B14"/>
  <sheetViews>
    <sheetView zoomScaleNormal="100"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212</v>
      </c>
    </row>
    <row r="3" spans="1:2" ht="14.45" customHeight="1">
      <c r="A3" s="44" t="s">
        <v>146</v>
      </c>
    </row>
    <row r="4" spans="1:2" ht="21" customHeight="1">
      <c r="A4" s="42" t="s">
        <v>151</v>
      </c>
    </row>
    <row r="5" spans="1:2">
      <c r="A5" s="43" t="s">
        <v>95</v>
      </c>
    </row>
    <row r="6" spans="1:2">
      <c r="A6" s="43" t="s">
        <v>52</v>
      </c>
    </row>
    <row r="7" spans="1:2">
      <c r="A7" s="43" t="s">
        <v>152</v>
      </c>
    </row>
    <row r="8" spans="1:2">
      <c r="A8" s="43" t="s">
        <v>153</v>
      </c>
    </row>
    <row r="9" spans="1:2">
      <c r="A9" s="43" t="s">
        <v>154</v>
      </c>
    </row>
    <row r="10" spans="1:2">
      <c r="A10" s="43" t="s">
        <v>155</v>
      </c>
    </row>
    <row r="11" spans="1:2">
      <c r="A11" s="43" t="s">
        <v>156</v>
      </c>
    </row>
    <row r="12" spans="1:2">
      <c r="A12" s="43" t="s">
        <v>159</v>
      </c>
    </row>
    <row r="13" spans="1:2">
      <c r="A13" s="43" t="s">
        <v>157</v>
      </c>
    </row>
    <row r="14" spans="1:2">
      <c r="A14" s="43" t="s">
        <v>158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EAC3-1B98-4CCC-B130-A38EDE183F5A}">
  <sheetPr>
    <outlinePr summaryBelow="0" summaryRight="0"/>
  </sheetPr>
  <dimension ref="A1:B4"/>
  <sheetViews>
    <sheetView zoomScaleNormal="100" workbookViewId="0">
      <selection activeCell="A12" sqref="A12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197</v>
      </c>
    </row>
    <row r="2" spans="1:2" ht="18.95">
      <c r="A2" s="3" t="s">
        <v>198</v>
      </c>
      <c r="B2" s="4" t="s">
        <v>213</v>
      </c>
    </row>
    <row r="3" spans="1:2" ht="14.45" customHeight="1">
      <c r="A3" s="39" t="s">
        <v>46</v>
      </c>
    </row>
    <row r="4" spans="1:2" ht="21" customHeight="1">
      <c r="A4" s="34" t="s">
        <v>87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81CC-C50E-4A47-9982-646D29FC8B32}">
  <sheetPr>
    <outlinePr summaryBelow="0" summaryRight="0"/>
  </sheetPr>
  <dimension ref="A1:B5"/>
  <sheetViews>
    <sheetView zoomScaleNormal="100" workbookViewId="0"/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196</v>
      </c>
      <c r="B1" s="4" t="s">
        <v>214</v>
      </c>
    </row>
    <row r="2" spans="1:2" ht="18.95">
      <c r="A2" s="3" t="s">
        <v>198</v>
      </c>
      <c r="B2" s="4" t="s">
        <v>189</v>
      </c>
    </row>
    <row r="3" spans="1:2" ht="14.45" customHeight="1">
      <c r="A3" s="35" t="s">
        <v>28</v>
      </c>
    </row>
    <row r="4" spans="1:2">
      <c r="A4" s="30" t="s">
        <v>133</v>
      </c>
    </row>
    <row r="5" spans="1:2">
      <c r="A5" s="25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7634-2926-4DB1-8236-19BAA762390F}">
  <sheetPr>
    <outlinePr summaryBelow="0" summaryRight="0"/>
  </sheetPr>
  <dimension ref="A1:B5"/>
  <sheetViews>
    <sheetView zoomScaleNormal="100" workbookViewId="0">
      <selection activeCell="B2" sqref="B2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205</v>
      </c>
      <c r="B1" s="4" t="s">
        <v>197</v>
      </c>
    </row>
    <row r="2" spans="1:2" ht="18.95">
      <c r="A2" s="3" t="s">
        <v>198</v>
      </c>
      <c r="B2" s="4" t="s">
        <v>215</v>
      </c>
    </row>
    <row r="3" spans="1:2" ht="14.45" customHeight="1">
      <c r="A3" s="35" t="s">
        <v>132</v>
      </c>
    </row>
    <row r="4" spans="1:2">
      <c r="A4" s="30" t="s">
        <v>31</v>
      </c>
    </row>
    <row r="5" spans="1:2">
      <c r="A5" s="25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ABEE-AF86-45F8-B112-10B1470706D9}">
  <sheetPr>
    <outlinePr summaryBelow="0" summaryRight="0"/>
  </sheetPr>
  <dimension ref="A1:B5"/>
  <sheetViews>
    <sheetView zoomScaleNormal="100" workbookViewId="0">
      <selection activeCell="S50" sqref="S50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205</v>
      </c>
      <c r="B1" s="4" t="s">
        <v>197</v>
      </c>
    </row>
    <row r="2" spans="1:2" ht="18.95">
      <c r="A2" s="3" t="s">
        <v>198</v>
      </c>
      <c r="B2" s="4" t="s">
        <v>216</v>
      </c>
    </row>
    <row r="3" spans="1:2" ht="14.45" customHeight="1">
      <c r="A3" s="10" t="s">
        <v>131</v>
      </c>
    </row>
    <row r="4" spans="1:2">
      <c r="A4" s="10" t="s">
        <v>134</v>
      </c>
    </row>
    <row r="5" spans="1:2">
      <c r="A5" s="25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A139-D8CE-490B-9DA1-7B58F56541B3}">
  <sheetPr>
    <outlinePr summaryBelow="0" summaryRight="0"/>
  </sheetPr>
  <dimension ref="A1:B5"/>
  <sheetViews>
    <sheetView zoomScaleNormal="100" workbookViewId="0">
      <selection activeCell="A3" sqref="A3:A5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205</v>
      </c>
      <c r="B1" s="4" t="s">
        <v>197</v>
      </c>
    </row>
    <row r="2" spans="1:2" ht="18.95">
      <c r="A2" s="3" t="s">
        <v>198</v>
      </c>
      <c r="B2" s="4" t="s">
        <v>216</v>
      </c>
    </row>
    <row r="3" spans="1:2" ht="14.45" customHeight="1">
      <c r="A3" t="s">
        <v>185</v>
      </c>
    </row>
    <row r="4" spans="1:2">
      <c r="A4" s="10" t="s">
        <v>134</v>
      </c>
    </row>
    <row r="5" spans="1:2">
      <c r="A5" s="10" t="s">
        <v>131</v>
      </c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3851D-0E9A-45AF-91B9-EB3AA6622DBE}">
  <sheetPr>
    <outlinePr summaryBelow="0" summaryRight="0"/>
  </sheetPr>
  <dimension ref="A1:B5"/>
  <sheetViews>
    <sheetView zoomScaleNormal="100" workbookViewId="0">
      <selection activeCell="A10" sqref="A10"/>
    </sheetView>
  </sheetViews>
  <sheetFormatPr defaultColWidth="8.875" defaultRowHeight="17.100000000000001"/>
  <cols>
    <col min="1" max="1" width="30" customWidth="1"/>
    <col min="2" max="2" width="50" customWidth="1"/>
  </cols>
  <sheetData>
    <row r="1" spans="1:2" ht="18.95">
      <c r="A1" s="3" t="s">
        <v>205</v>
      </c>
      <c r="B1" s="4" t="s">
        <v>197</v>
      </c>
    </row>
    <row r="2" spans="1:2" ht="18.95">
      <c r="A2" s="3" t="s">
        <v>198</v>
      </c>
      <c r="B2" s="4" t="s">
        <v>216</v>
      </c>
    </row>
    <row r="3" spans="1:2" ht="14.45" customHeight="1">
      <c r="A3" s="10" t="s">
        <v>131</v>
      </c>
    </row>
    <row r="4" spans="1:2">
      <c r="A4" s="10"/>
    </row>
    <row r="5" spans="1:2">
      <c r="A5" s="10"/>
    </row>
  </sheetData>
  <phoneticPr fontId="10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2025-06-19T05:44:55Z</dcterms:created>
  <dcterms:modified xsi:type="dcterms:W3CDTF">2025-08-28T01:49:45Z</dcterms:modified>
  <cp:category/>
  <cp:contentStatus/>
</cp:coreProperties>
</file>