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3.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drawings/drawing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5.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defaultThemeVersion="166925"/>
  <mc:AlternateContent xmlns:mc="http://schemas.openxmlformats.org/markup-compatibility/2006">
    <mc:Choice Requires="x15">
      <x15ac:absPath xmlns:x15ac="http://schemas.microsoft.com/office/spreadsheetml/2010/11/ac" url="https://d.docs.live.net/6071b2e426a8e48f/Documents/Freelance/Envision Blockchain/CDM/AMS I.C. Thermal Energy/"/>
    </mc:Choice>
  </mc:AlternateContent>
  <xr:revisionPtr revIDLastSave="4412" documentId="8_{546D052E-831D-489C-9CA1-1A76456A663E}" xr6:coauthVersionLast="47" xr6:coauthVersionMax="47" xr10:uidLastSave="{34165498-55DC-44A3-9E32-9BFCCB2D464D}"/>
  <bookViews>
    <workbookView xWindow="28680" yWindow="-120" windowWidth="29040" windowHeight="15840" xr2:uid="{79724E58-234A-413E-9351-3ED09633A1D1}"/>
  </bookViews>
  <sheets>
    <sheet name="AMS I.C. Mainframe Schema" sheetId="1" r:id="rId1"/>
    <sheet name="Help Text Notes" sheetId="10" r:id="rId2"/>
    <sheet name="AMS IC MF Defaults" sheetId="11" r:id="rId3"/>
    <sheet name="AMS I.C. MF Dropdown Items" sheetId="2" r:id="rId4"/>
    <sheet name="Tool 01" sheetId="24" r:id="rId5"/>
    <sheet name="(Revised) Tool 03" sheetId="12" r:id="rId6"/>
    <sheet name="Tool 04-SWDS-Yearly" sheetId="28" r:id="rId7"/>
    <sheet name="Tool 04 SWDS Summary Tab " sheetId="29" r:id="rId8"/>
    <sheet name="Tool 4 Dropdown Items" sheetId="30" r:id="rId9"/>
    <sheet name="Tool 05.1" sheetId="13" r:id="rId10"/>
    <sheet name="Tool 05.2 Power Plants" sheetId="14" r:id="rId11"/>
    <sheet name="Tool 05.3 Default Values" sheetId="15" r:id="rId12"/>
    <sheet name="Tool 06" sheetId="36" r:id="rId13"/>
    <sheet name="Tool 09" sheetId="9" r:id="rId14"/>
    <sheet name="Tool 12 - Freight Trans" sheetId="25" r:id="rId15"/>
    <sheet name="Tool 12 Emissions Summary Tab" sheetId="26" r:id="rId16"/>
    <sheet name="Tool 12 Dropdown Items" sheetId="27" r:id="rId17"/>
    <sheet name="Tool 13" sheetId="31" r:id="rId18"/>
    <sheet name="Tool 13.1 MCF Defaults" sheetId="34" r:id="rId19"/>
    <sheet name="Tool 14" sheetId="35" r:id="rId20"/>
    <sheet name="Tool 16.1" sheetId="20" r:id="rId21"/>
    <sheet name="Tool 16.2 Summary Tab " sheetId="21" r:id="rId22"/>
    <sheet name="Tool 16.3 Dropdown Items" sheetId="22" r:id="rId23"/>
    <sheet name="Tool 16.4 Default Values" sheetId="23" r:id="rId24"/>
    <sheet name="Tool 19" sheetId="37" r:id="rId25"/>
    <sheet name="Tool 19 Dropdown Items" sheetId="38" r:id="rId26"/>
    <sheet name="Tool 19 Logic Maps " sheetId="39" r:id="rId27"/>
    <sheet name="Tool 21" sheetId="40" r:id="rId28"/>
    <sheet name="Tool 22" sheetId="41" r:id="rId29"/>
    <sheet name="Tool 22 Dropdown Items" sheetId="42" r:id="rId30"/>
    <sheet name="Tool 22 Reference Tables" sheetId="43" r:id="rId31"/>
    <sheet name="IWA Properties" sheetId="47" r:id="rId3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9" i="1" l="1"/>
  <c r="D187" i="1" s="1"/>
  <c r="D173" i="1"/>
  <c r="D171" i="1"/>
  <c r="D170" i="1"/>
  <c r="D168" i="1"/>
  <c r="F164" i="1" l="1"/>
  <c r="D159" i="1"/>
  <c r="D160" i="1" s="1"/>
  <c r="D153" i="1"/>
  <c r="E149" i="1"/>
  <c r="D132" i="1"/>
  <c r="D124" i="1"/>
  <c r="D127" i="1" s="1"/>
  <c r="E121" i="1"/>
  <c r="D119" i="1"/>
  <c r="D118" i="1"/>
  <c r="E114" i="1"/>
  <c r="E113" i="1"/>
  <c r="E110" i="1"/>
  <c r="F98" i="1"/>
  <c r="D95" i="1"/>
  <c r="D96" i="1" s="1"/>
  <c r="F95" i="1"/>
  <c r="D98" i="1"/>
  <c r="F107" i="1"/>
  <c r="F104" i="1"/>
  <c r="F99" i="1"/>
  <c r="D92" i="1"/>
  <c r="E84" i="1"/>
  <c r="D72" i="1"/>
  <c r="F71" i="1"/>
  <c r="D67" i="1"/>
  <c r="H98" i="1" s="1"/>
  <c r="C26" i="9"/>
  <c r="D103" i="1" s="1"/>
  <c r="D106" i="1" s="1"/>
  <c r="F67" i="1"/>
  <c r="F76" i="1"/>
  <c r="E68" i="1"/>
  <c r="E67" i="1"/>
  <c r="E66" i="1"/>
  <c r="E65" i="1"/>
  <c r="E64" i="1"/>
  <c r="E60" i="1"/>
  <c r="E58" i="1"/>
  <c r="F58" i="1"/>
  <c r="B55" i="1"/>
  <c r="B54" i="1"/>
  <c r="B53" i="1"/>
  <c r="B52" i="1"/>
  <c r="B51" i="1"/>
  <c r="B50" i="1"/>
  <c r="B49" i="1"/>
  <c r="D47" i="1"/>
  <c r="D46" i="1"/>
  <c r="C89" i="20"/>
  <c r="C91" i="20"/>
  <c r="C66" i="20"/>
  <c r="C54" i="20"/>
  <c r="C56" i="20" s="1"/>
  <c r="C111" i="20"/>
  <c r="C48" i="28"/>
  <c r="C44" i="28"/>
  <c r="C45" i="28" s="1"/>
  <c r="C54" i="28"/>
  <c r="C75" i="28" s="1"/>
  <c r="C28" i="28"/>
  <c r="E31" i="1"/>
  <c r="D68" i="1" l="1"/>
  <c r="D109" i="1"/>
  <c r="H103" i="1"/>
  <c r="D87" i="1"/>
  <c r="D82" i="1"/>
  <c r="D83" i="1" s="1"/>
  <c r="D133" i="1"/>
  <c r="D135" i="1" s="1"/>
  <c r="D76" i="1"/>
  <c r="D77" i="1" s="1"/>
  <c r="F176" i="1"/>
  <c r="F166" i="1"/>
  <c r="F145" i="1"/>
  <c r="F143" i="1"/>
  <c r="F131" i="1"/>
  <c r="F125" i="1"/>
  <c r="F123" i="1"/>
  <c r="F91" i="1"/>
  <c r="F87" i="1"/>
  <c r="F86" i="1"/>
  <c r="F81" i="1"/>
  <c r="F66" i="1"/>
  <c r="F36" i="1"/>
  <c r="F34" i="1"/>
  <c r="E179" i="1"/>
  <c r="E173" i="1"/>
  <c r="E172" i="1"/>
  <c r="E171" i="1"/>
  <c r="E162" i="1"/>
  <c r="E170" i="1"/>
  <c r="E169" i="1"/>
  <c r="E168" i="1"/>
  <c r="E165" i="1"/>
  <c r="E164" i="1"/>
  <c r="E163" i="1"/>
  <c r="E89" i="1"/>
  <c r="E159" i="1"/>
  <c r="E158" i="1"/>
  <c r="E155" i="1"/>
  <c r="E154" i="1"/>
  <c r="E150" i="1"/>
  <c r="E148" i="1"/>
  <c r="E147" i="1"/>
  <c r="E146" i="1"/>
  <c r="E135" i="1"/>
  <c r="E134" i="1"/>
  <c r="E133" i="1"/>
  <c r="E132" i="1"/>
  <c r="E131" i="1"/>
  <c r="E130" i="1"/>
  <c r="E129" i="1"/>
  <c r="E128" i="1"/>
  <c r="E122" i="1"/>
  <c r="E120" i="1"/>
  <c r="E112" i="1"/>
  <c r="E115" i="1"/>
  <c r="E111" i="1"/>
  <c r="E183" i="1"/>
  <c r="E182" i="1"/>
  <c r="B16" i="41"/>
  <c r="B10" i="41"/>
  <c r="E180" i="1" s="1"/>
  <c r="B12" i="41"/>
  <c r="C23" i="41" s="1"/>
  <c r="B11" i="41"/>
  <c r="B19" i="41" s="1"/>
  <c r="B5" i="41"/>
  <c r="H87" i="1" l="1"/>
  <c r="D88" i="1"/>
  <c r="D185" i="1"/>
  <c r="H76" i="1"/>
  <c r="H82" i="1"/>
  <c r="H95" i="1"/>
  <c r="H67" i="1"/>
  <c r="H133" i="1"/>
  <c r="C17" i="41"/>
  <c r="B23" i="41"/>
  <c r="C13" i="41"/>
  <c r="C15" i="41"/>
  <c r="C19" i="41"/>
  <c r="C20" i="41"/>
  <c r="C21" i="41"/>
  <c r="B18" i="41"/>
  <c r="C22" i="41"/>
  <c r="C16" i="41"/>
  <c r="C14" i="41"/>
  <c r="C18" i="41"/>
  <c r="E181" i="1" l="1"/>
  <c r="B26" i="37"/>
  <c r="C22" i="37"/>
  <c r="B22" i="37"/>
  <c r="C21" i="37"/>
  <c r="C20" i="37"/>
  <c r="C19" i="37"/>
  <c r="C18" i="37"/>
  <c r="B18" i="37"/>
  <c r="C17" i="37"/>
  <c r="C16" i="37"/>
  <c r="C15" i="37"/>
  <c r="C14" i="37"/>
  <c r="B14" i="37"/>
  <c r="C13" i="37"/>
  <c r="C12" i="37"/>
  <c r="C11" i="37"/>
  <c r="C10" i="37"/>
  <c r="C9" i="37"/>
  <c r="B8" i="37"/>
  <c r="B29" i="37" s="1"/>
  <c r="C5" i="37"/>
  <c r="C4" i="37"/>
  <c r="C106" i="20" l="1"/>
  <c r="C90" i="20"/>
  <c r="F67" i="35" l="1"/>
  <c r="F63" i="35"/>
  <c r="F67" i="36"/>
  <c r="F64" i="36"/>
  <c r="F50" i="36"/>
  <c r="F48" i="36"/>
  <c r="F65" i="36" s="1"/>
  <c r="F47" i="36"/>
  <c r="F45" i="36"/>
  <c r="F44" i="36" s="1"/>
  <c r="F66" i="36" l="1"/>
  <c r="F62" i="36" s="1"/>
  <c r="F60" i="36"/>
  <c r="F61" i="36" l="1"/>
  <c r="F58" i="36" s="1"/>
  <c r="F59" i="36" l="1"/>
  <c r="F57" i="36" s="1"/>
  <c r="F56" i="36" s="1"/>
  <c r="F54" i="36" s="1"/>
  <c r="F52" i="36" s="1"/>
  <c r="F69" i="36" s="1"/>
  <c r="F55" i="35"/>
  <c r="F47" i="35"/>
  <c r="F66" i="35" l="1"/>
  <c r="F65" i="35" s="1"/>
  <c r="C135" i="20" s="1"/>
  <c r="F87" i="35"/>
  <c r="F85" i="35"/>
  <c r="F83" i="35"/>
  <c r="F79" i="35"/>
  <c r="F77" i="35"/>
  <c r="F75" i="35"/>
  <c r="F74" i="35"/>
  <c r="F72" i="35"/>
  <c r="F69" i="35"/>
  <c r="F17" i="35"/>
  <c r="F60" i="35"/>
  <c r="F57" i="35"/>
  <c r="F15" i="35"/>
  <c r="F52" i="35"/>
  <c r="F49" i="35" s="1"/>
  <c r="F14" i="35" s="1"/>
  <c r="F42" i="35"/>
  <c r="F35" i="35"/>
  <c r="F37" i="35" s="1"/>
  <c r="F29" i="35" s="1"/>
  <c r="F28" i="35" s="1"/>
  <c r="F34" i="35"/>
  <c r="F31" i="35" s="1"/>
  <c r="F33" i="35"/>
  <c r="F32" i="35"/>
  <c r="F26" i="35"/>
  <c r="F24" i="35" s="1"/>
  <c r="F19" i="35" s="1"/>
  <c r="F23" i="35"/>
  <c r="F16" i="35"/>
  <c r="F13" i="35"/>
  <c r="E119" i="1" l="1"/>
  <c r="E118" i="1"/>
  <c r="E117" i="1"/>
  <c r="E116" i="1"/>
  <c r="E109" i="1"/>
  <c r="E107" i="1"/>
  <c r="E106" i="1"/>
  <c r="E104" i="1"/>
  <c r="E103" i="1"/>
  <c r="E102" i="1"/>
  <c r="E99" i="1"/>
  <c r="E98" i="1"/>
  <c r="E97" i="1"/>
  <c r="E96" i="1"/>
  <c r="E95" i="1"/>
  <c r="E94" i="1"/>
  <c r="E93" i="1"/>
  <c r="E92" i="1"/>
  <c r="E91" i="1"/>
  <c r="E90" i="1"/>
  <c r="E88" i="1"/>
  <c r="E87" i="1"/>
  <c r="E86" i="1"/>
  <c r="E85" i="1"/>
  <c r="E83" i="1"/>
  <c r="E82" i="1"/>
  <c r="E81" i="1"/>
  <c r="E80" i="1"/>
  <c r="E79" i="1"/>
  <c r="E78" i="1"/>
  <c r="F75" i="1"/>
  <c r="E77" i="1"/>
  <c r="E76" i="1"/>
  <c r="E75" i="1"/>
  <c r="E73" i="1"/>
  <c r="E74" i="1"/>
  <c r="E70" i="1"/>
  <c r="E72" i="1"/>
  <c r="E71" i="1"/>
  <c r="E69" i="1"/>
  <c r="E44" i="1"/>
  <c r="E43" i="1"/>
  <c r="E38" i="1"/>
  <c r="C17" i="25"/>
  <c r="G53" i="31"/>
  <c r="G53" i="34"/>
  <c r="G20" i="31" l="1"/>
  <c r="G16" i="31"/>
  <c r="C132" i="20"/>
  <c r="C131" i="20"/>
  <c r="C123" i="20"/>
  <c r="C122" i="20"/>
  <c r="C116" i="20"/>
  <c r="C94" i="20"/>
  <c r="C103" i="20"/>
  <c r="C102" i="20"/>
  <c r="C101" i="20"/>
  <c r="C93" i="20"/>
  <c r="C20" i="25"/>
  <c r="C21" i="25" s="1"/>
  <c r="C119" i="20" s="1"/>
  <c r="I3" i="26" l="1"/>
  <c r="I7" i="26" s="1"/>
  <c r="C73" i="20"/>
  <c r="C74" i="20"/>
  <c r="C76" i="20"/>
  <c r="C92" i="20"/>
  <c r="C95" i="20" s="1"/>
  <c r="C121" i="20"/>
  <c r="C124" i="20" s="1"/>
  <c r="G62" i="31" l="1"/>
  <c r="G55" i="31"/>
  <c r="G54" i="31"/>
  <c r="G51" i="31"/>
  <c r="G50" i="31"/>
  <c r="G49" i="31"/>
  <c r="G44" i="31"/>
  <c r="G43" i="31" s="1"/>
  <c r="G28" i="31"/>
  <c r="G27" i="31"/>
  <c r="G24" i="31"/>
  <c r="G22" i="31" s="1"/>
  <c r="G9" i="31"/>
  <c r="G3" i="31" l="1"/>
  <c r="C105" i="20" l="1"/>
  <c r="D2" i="29"/>
  <c r="D8" i="29" s="1"/>
  <c r="C85" i="28"/>
  <c r="C84" i="28"/>
  <c r="C33" i="28" s="1"/>
  <c r="C83" i="28"/>
  <c r="D71" i="28"/>
  <c r="D69" i="28"/>
  <c r="C69" i="28"/>
  <c r="D66" i="28"/>
  <c r="C66" i="28"/>
  <c r="D65" i="28"/>
  <c r="D64" i="28"/>
  <c r="D62" i="28"/>
  <c r="C62" i="28"/>
  <c r="C82" i="28" s="1"/>
  <c r="D59" i="28"/>
  <c r="C59" i="28"/>
  <c r="D58" i="28"/>
  <c r="D57" i="28"/>
  <c r="D56" i="28"/>
  <c r="D54" i="28"/>
  <c r="D53" i="28"/>
  <c r="D52" i="28"/>
  <c r="D51" i="28"/>
  <c r="D50" i="28"/>
  <c r="D48" i="28"/>
  <c r="D45" i="28"/>
  <c r="D44" i="28"/>
  <c r="C76" i="28"/>
  <c r="D43" i="28"/>
  <c r="D42" i="28"/>
  <c r="D40" i="28"/>
  <c r="D38" i="28"/>
  <c r="D35" i="28"/>
  <c r="D34" i="28"/>
  <c r="D33" i="28"/>
  <c r="D32" i="28"/>
  <c r="C32" i="28"/>
  <c r="D31" i="28"/>
  <c r="C31" i="28"/>
  <c r="D30" i="28"/>
  <c r="C30" i="28"/>
  <c r="D29" i="28"/>
  <c r="C29" i="28"/>
  <c r="D28" i="28"/>
  <c r="D26" i="28"/>
  <c r="C26" i="28"/>
  <c r="D22" i="28"/>
  <c r="D21" i="28"/>
  <c r="D19" i="28"/>
  <c r="D18" i="28"/>
  <c r="D17" i="28"/>
  <c r="D16" i="28"/>
  <c r="D15" i="28"/>
  <c r="D14" i="28"/>
  <c r="D13" i="28"/>
  <c r="D12" i="28"/>
  <c r="D11" i="28"/>
  <c r="C34" i="28" l="1"/>
  <c r="C35" i="28" s="1"/>
  <c r="C77" i="28" s="1"/>
  <c r="C86" i="28" s="1"/>
  <c r="B2" i="29"/>
  <c r="B8" i="29" s="1"/>
  <c r="C87" i="20"/>
  <c r="C86" i="20"/>
  <c r="C85" i="20"/>
  <c r="C78" i="20"/>
  <c r="C77" i="20"/>
  <c r="I13" i="26"/>
  <c r="I17" i="26" s="1"/>
  <c r="H13" i="26"/>
  <c r="G13" i="26"/>
  <c r="F13" i="26"/>
  <c r="E13" i="26"/>
  <c r="D13" i="26"/>
  <c r="C13" i="26"/>
  <c r="B13" i="26"/>
  <c r="H3" i="26"/>
  <c r="G3" i="26"/>
  <c r="F3" i="26"/>
  <c r="E3" i="26"/>
  <c r="D3" i="26"/>
  <c r="C3" i="26"/>
  <c r="B3" i="26"/>
  <c r="A3" i="26"/>
  <c r="D21" i="25"/>
  <c r="D20" i="25"/>
  <c r="D19" i="25"/>
  <c r="D18" i="25"/>
  <c r="D17" i="25"/>
  <c r="D16" i="25"/>
  <c r="D15" i="25"/>
  <c r="D14" i="25"/>
  <c r="F89" i="35" l="1"/>
  <c r="G65" i="31"/>
  <c r="C134" i="20" s="1"/>
  <c r="C88" i="20"/>
  <c r="C133" i="20"/>
  <c r="C104" i="20"/>
  <c r="C107" i="20" s="1"/>
  <c r="C2" i="29"/>
  <c r="C8" i="29" s="1"/>
  <c r="C42" i="20"/>
  <c r="C41" i="20"/>
  <c r="C17" i="20"/>
  <c r="D25" i="9"/>
  <c r="F103" i="1"/>
  <c r="F126" i="1"/>
  <c r="F94" i="1"/>
  <c r="D155" i="1"/>
  <c r="D156" i="1" s="1"/>
  <c r="D161" i="1" s="1"/>
  <c r="E160" i="1"/>
  <c r="G3" i="12"/>
  <c r="F113" i="1"/>
  <c r="F114" i="1"/>
  <c r="F111" i="1"/>
  <c r="E178" i="1"/>
  <c r="E177" i="1"/>
  <c r="B11" i="21"/>
  <c r="B4" i="21"/>
  <c r="B3" i="21"/>
  <c r="D136" i="20"/>
  <c r="D135" i="20"/>
  <c r="D134" i="20"/>
  <c r="D133" i="20"/>
  <c r="D132" i="20"/>
  <c r="D131" i="20"/>
  <c r="D130" i="20"/>
  <c r="C130" i="20"/>
  <c r="D129" i="20"/>
  <c r="D128" i="20"/>
  <c r="D127" i="20"/>
  <c r="D126" i="20"/>
  <c r="D125" i="20"/>
  <c r="D124" i="20"/>
  <c r="D123" i="20"/>
  <c r="D122" i="20"/>
  <c r="D121" i="20"/>
  <c r="D120" i="20"/>
  <c r="D119" i="20"/>
  <c r="D118" i="20"/>
  <c r="D117" i="20"/>
  <c r="D116" i="20"/>
  <c r="B10" i="21"/>
  <c r="D115" i="20"/>
  <c r="D114" i="20"/>
  <c r="D113" i="20"/>
  <c r="D112" i="20"/>
  <c r="D111" i="20"/>
  <c r="B9" i="21"/>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C79" i="20"/>
  <c r="D78" i="20"/>
  <c r="D77" i="20"/>
  <c r="D76" i="20"/>
  <c r="D75" i="20"/>
  <c r="D74" i="20"/>
  <c r="D73" i="20"/>
  <c r="D72" i="20"/>
  <c r="D71" i="20"/>
  <c r="D70" i="20"/>
  <c r="D69" i="20"/>
  <c r="D68" i="20"/>
  <c r="D66" i="20"/>
  <c r="C70" i="20"/>
  <c r="D65" i="20"/>
  <c r="D64" i="20"/>
  <c r="D63" i="20"/>
  <c r="D62" i="20"/>
  <c r="D61" i="20"/>
  <c r="D60" i="20"/>
  <c r="D59" i="20"/>
  <c r="D58" i="20"/>
  <c r="D57" i="20"/>
  <c r="D56" i="20"/>
  <c r="D55" i="20"/>
  <c r="D54" i="20"/>
  <c r="D53" i="20"/>
  <c r="D52" i="20"/>
  <c r="D51" i="20"/>
  <c r="D50" i="20"/>
  <c r="D48" i="20"/>
  <c r="D47" i="20"/>
  <c r="C47" i="20"/>
  <c r="C48" i="20" s="1"/>
  <c r="D46" i="20"/>
  <c r="D45" i="20"/>
  <c r="D44" i="20"/>
  <c r="D43" i="20"/>
  <c r="C43" i="20"/>
  <c r="D42" i="20"/>
  <c r="D41" i="20"/>
  <c r="D40" i="20"/>
  <c r="D38" i="20"/>
  <c r="C38" i="20"/>
  <c r="D37" i="20"/>
  <c r="D36" i="20"/>
  <c r="D35" i="20"/>
  <c r="D34" i="20"/>
  <c r="D33" i="20"/>
  <c r="D32" i="20"/>
  <c r="D31" i="20"/>
  <c r="D30" i="20"/>
  <c r="D29" i="20"/>
  <c r="D28" i="20"/>
  <c r="D27" i="20"/>
  <c r="D26" i="20"/>
  <c r="D25" i="20"/>
  <c r="D24" i="20"/>
  <c r="D23" i="20"/>
  <c r="D22" i="20"/>
  <c r="D21" i="20"/>
  <c r="D20" i="20"/>
  <c r="D19" i="20"/>
  <c r="D16" i="20"/>
  <c r="D15" i="20"/>
  <c r="D14" i="20"/>
  <c r="D13" i="20"/>
  <c r="D12" i="20"/>
  <c r="D11" i="20"/>
  <c r="D10" i="20"/>
  <c r="D9" i="20"/>
  <c r="D8" i="20"/>
  <c r="D7" i="20"/>
  <c r="D6" i="20"/>
  <c r="C71" i="20" l="1"/>
  <c r="B5" i="21"/>
  <c r="C136" i="20"/>
  <c r="B6" i="21"/>
  <c r="E166" i="1"/>
  <c r="E167" i="1"/>
  <c r="D143" i="1"/>
  <c r="E151" i="1"/>
  <c r="E152" i="1"/>
  <c r="E153" i="1"/>
  <c r="E156" i="1"/>
  <c r="D145" i="1"/>
  <c r="G37" i="13"/>
  <c r="G6" i="13"/>
  <c r="G10" i="14"/>
  <c r="G7" i="14" s="1"/>
  <c r="G11" i="14"/>
  <c r="G22" i="14"/>
  <c r="G19" i="14" s="1"/>
  <c r="G23" i="14"/>
  <c r="G34" i="14"/>
  <c r="G31" i="14" s="1"/>
  <c r="G35" i="14"/>
  <c r="G7" i="13"/>
  <c r="G12" i="13"/>
  <c r="G11" i="13" s="1"/>
  <c r="G17" i="13"/>
  <c r="G16" i="13" s="1"/>
  <c r="G22" i="13"/>
  <c r="G23" i="13"/>
  <c r="D186" i="1" l="1"/>
  <c r="D188" i="1" s="1"/>
  <c r="B2" i="21"/>
  <c r="B7" i="21" s="1"/>
  <c r="B12" i="21"/>
  <c r="B13" i="21" s="1"/>
  <c r="G3" i="14"/>
  <c r="G32" i="14"/>
  <c r="G8" i="14"/>
  <c r="G20" i="14"/>
  <c r="G37" i="12"/>
  <c r="G33" i="12"/>
  <c r="G32" i="12"/>
  <c r="G30" i="12"/>
  <c r="G28" i="12" s="1"/>
  <c r="G19" i="12"/>
  <c r="G15" i="12"/>
  <c r="G14" i="12"/>
  <c r="G12" i="12"/>
  <c r="G10" i="12"/>
  <c r="F133" i="1"/>
  <c r="E123" i="1"/>
  <c r="E127" i="1"/>
  <c r="E126" i="1"/>
  <c r="E125" i="1"/>
  <c r="G4" i="14" l="1"/>
  <c r="G38" i="13" s="1"/>
  <c r="F82" i="1"/>
  <c r="D14" i="9"/>
  <c r="D24" i="9"/>
  <c r="D23" i="9"/>
  <c r="D22" i="9"/>
  <c r="D21" i="9"/>
  <c r="D20" i="9"/>
  <c r="D19" i="9"/>
  <c r="D18" i="9"/>
  <c r="D17" i="9"/>
  <c r="D16" i="9"/>
  <c r="D15" i="9"/>
  <c r="D13" i="9"/>
  <c r="D12" i="9"/>
  <c r="D11" i="9"/>
  <c r="D10" i="9"/>
  <c r="D9" i="9"/>
  <c r="D8" i="9"/>
  <c r="D7" i="9"/>
  <c r="D5" i="9"/>
  <c r="D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tc={E9F574A9-2D6D-4994-9242-3093A5765C35}</author>
    <author>tc={8EF7B507-3A6B-4B4C-A1B2-48BDA6091CB3}</author>
    <author>tc={4A55794C-E86A-477F-97BE-1AF3800031AB}</author>
    <author>tc={CB866406-10DB-4499-A0F2-D4379F538C4A}</author>
    <author>tc={B863AA90-220F-4A9B-983C-B662D46DCF56}</author>
    <author>tc={4994BC64-B5E5-488C-8CBE-4D3279A86268}</author>
    <author>tc={42BC1F88-3754-46B8-AE5E-16FAA65A37A3}</author>
    <author>tc={A9987061-F169-47CB-8DB6-0F63FDA7C012}</author>
    <author>tc={7B85D47F-4BDB-4088-93E1-5A9870A4E1CC}</author>
    <author>tc={A9305493-4BF7-47D9-B359-5522D280C1AB}</author>
    <author>tc={4C2044EC-CABA-4FC4-AB32-B616067B697B}</author>
    <author>tc={B1430963-98FB-41EA-9F7F-43150F43C332}</author>
    <author>tc={F6DEB045-0A1C-4D34-8EB5-FAFC9BB2A52B}</author>
    <author>tc={DB9CB7FA-2186-4414-A203-A0CA7A46C778}</author>
    <author>tc={78CF84C8-9CD8-4279-85DF-3610A777C338}</author>
    <author>tc={15C99BC9-1B9B-4C55-A169-E701F88AA4DC}</author>
    <author>tc={92C6E4FA-8091-49CF-809E-6004E44DE6A9}</author>
    <author>tc={381C20A4-BC65-4787-80E6-0B1729D5A4DB}</author>
    <author>tc={ECB4DBBA-B647-4728-BFBB-08D55F7C4B36}</author>
    <author>tc={1FD797BB-FC39-4976-BBB3-7E435F564CB8}</author>
    <author>tc={795DAC96-16E0-4F8E-8999-F85346F5F34F}</author>
    <author>tc={A3B019C2-4792-433D-A11C-5494A8897F1D}</author>
    <author>tc={4403C6BD-A216-4617-ACAE-85F34684C9F4}</author>
    <author>tc={16EE3180-13B8-435D-AB4B-B41BF8A82A34}</author>
    <author>tc={8D84DCE0-338F-4530-A106-7ED33C8619C8}</author>
  </authors>
  <commentList>
    <comment ref="C68" authorId="0" shapeId="0" xr:uid="{E9F574A9-2D6D-4994-9242-3093A5765C35}">
      <text>
        <t>[Threaded comment]
Your version of Excel allows you to read this threaded comment; however, any edits to it will get removed if the file is opened in a newer version of Excel. Learn more: https://go.microsoft.com/fwlink/?linkid=870924
Comment:
    Equation 1</t>
      </text>
    </comment>
    <comment ref="C72" authorId="1" shapeId="0" xr:uid="{8EF7B507-3A6B-4B4C-A1B2-48BDA6091CB3}">
      <text>
        <t>[Threaded comment]
Your version of Excel allows you to read this threaded comment; however, any edits to it will get removed if the file is opened in a newer version of Excel. Learn more: https://go.microsoft.com/fwlink/?linkid=870924
Comment:
    Equation 2</t>
      </text>
    </comment>
    <comment ref="C77" authorId="2" shapeId="0" xr:uid="{4A55794C-E86A-477F-97BE-1AF3800031AB}">
      <text>
        <t>[Threaded comment]
Your version of Excel allows you to read this threaded comment; however, any edits to it will get removed if the file is opened in a newer version of Excel. Learn more: https://go.microsoft.com/fwlink/?linkid=870924
Comment:
    Equation 3</t>
      </text>
    </comment>
    <comment ref="C83" authorId="3" shapeId="0" xr:uid="{CB866406-10DB-4499-A0F2-D4379F538C4A}">
      <text>
        <t>[Threaded comment]
Your version of Excel allows you to read this threaded comment; however, any edits to it will get removed if the file is opened in a newer version of Excel. Learn more: https://go.microsoft.com/fwlink/?linkid=870924
Comment:
    Equation 4</t>
      </text>
    </comment>
    <comment ref="C88" authorId="4" shapeId="0" xr:uid="{B863AA90-220F-4A9B-983C-B662D46DCF56}">
      <text>
        <t>[Threaded comment]
Your version of Excel allows you to read this threaded comment; however, any edits to it will get removed if the file is opened in a newer version of Excel. Learn more: https://go.microsoft.com/fwlink/?linkid=870924
Comment:
    Equation 5</t>
      </text>
    </comment>
    <comment ref="C92" authorId="5" shapeId="0" xr:uid="{4994BC64-B5E5-488C-8CBE-4D3279A86268}">
      <text>
        <t>[Threaded comment]
Your version of Excel allows you to read this threaded comment; however, any edits to it will get removed if the file is opened in a newer version of Excel. Learn more: https://go.microsoft.com/fwlink/?linkid=870924
Comment:
    Equation 2</t>
      </text>
    </comment>
    <comment ref="C96" authorId="6" shapeId="0" xr:uid="{42BC1F88-3754-46B8-AE5E-16FAA65A37A3}">
      <text>
        <t>[Threaded comment]
Your version of Excel allows you to read this threaded comment; however, any edits to it will get removed if the file is opened in a newer version of Excel. Learn more: https://go.microsoft.com/fwlink/?linkid=870924
Comment:
    Equation 1</t>
      </text>
    </comment>
    <comment ref="C99" authorId="7" shapeId="0" xr:uid="{A9987061-F169-47CB-8DB6-0F63FDA7C012}">
      <text>
        <t>[Threaded comment]
Your version of Excel allows you to read this threaded comment; however, any edits to it will get removed if the file is opened in a newer version of Excel. Learn more: https://go.microsoft.com/fwlink/?linkid=870924
Comment:
    Equation 8</t>
      </text>
    </comment>
    <comment ref="C104" authorId="8" shapeId="0" xr:uid="{7B85D47F-4BDB-4088-93E1-5A9870A4E1CC}">
      <text>
        <t>[Threaded comment]
Your version of Excel allows you to read this threaded comment; however, any edits to it will get removed if the file is opened in a newer version of Excel. Learn more: https://go.microsoft.com/fwlink/?linkid=870924
Comment:
    Equation 8</t>
      </text>
    </comment>
    <comment ref="C106" authorId="9" shapeId="0" xr:uid="{A9305493-4BF7-47D9-B359-5522D280C1AB}">
      <text>
        <t>[Threaded comment]
Your version of Excel allows you to read this threaded comment; however, any edits to it will get removed if the file is opened in a newer version of Excel. Learn more: https://go.microsoft.com/fwlink/?linkid=870924
Comment:
    Equation 7</t>
      </text>
    </comment>
    <comment ref="C107" authorId="10" shapeId="0" xr:uid="{4C2044EC-CABA-4FC4-AB32-B616067B697B}">
      <text>
        <t>[Threaded comment]
Your version of Excel allows you to read this threaded comment; however, any edits to it will get removed if the file is opened in a newer version of Excel. Learn more: https://go.microsoft.com/fwlink/?linkid=870924
Comment:
    Equation 9</t>
      </text>
    </comment>
    <comment ref="C109" authorId="11" shapeId="0" xr:uid="{B1430963-98FB-41EA-9F7F-43150F43C332}">
      <text>
        <t xml:space="preserve">[Threaded comment]
Your version of Excel allows you to read this threaded comment; however, any edits to it will get removed if the file is opened in a newer version of Excel. Learn more: https://go.microsoft.com/fwlink/?linkid=870924
Comment:
    Equation 6 </t>
      </text>
    </comment>
    <comment ref="C118" authorId="12" shapeId="0" xr:uid="{F6DEB045-0A1C-4D34-8EB5-FAFC9BB2A52B}">
      <text>
        <t>[Threaded comment]
Your version of Excel allows you to read this threaded comment; however, any edits to it will get removed if the file is opened in a newer version of Excel. Learn more: https://go.microsoft.com/fwlink/?linkid=870924
Comment:
    Equation 11</t>
      </text>
    </comment>
    <comment ref="C119" authorId="13" shapeId="0" xr:uid="{DB9CB7FA-2186-4414-A203-A0CA7A46C778}">
      <text>
        <t>[Threaded comment]
Your version of Excel allows you to read this threaded comment; however, any edits to it will get removed if the file is opened in a newer version of Excel. Learn more: https://go.microsoft.com/fwlink/?linkid=870924
Comment:
    Equation 10</t>
      </text>
    </comment>
    <comment ref="C124" authorId="14" shapeId="0" xr:uid="{78CF84C8-9CD8-4279-85DF-3610A777C338}">
      <text>
        <t>[Threaded comment]
Your version of Excel allows you to read this threaded comment; however, any edits to it will get removed if the file is opened in a newer version of Excel. Learn more: https://go.microsoft.com/fwlink/?linkid=870924
Comment:
    Equation 12</t>
      </text>
    </comment>
    <comment ref="C127" authorId="15" shapeId="0" xr:uid="{15C99BC9-1B9B-4C55-A169-E701F88AA4DC}">
      <text>
        <t>[Threaded comment]
Your version of Excel allows you to read this threaded comment; however, any edits to it will get removed if the file is opened in a newer version of Excel. Learn more: https://go.microsoft.com/fwlink/?linkid=870924
Comment:
    Equation 13</t>
      </text>
    </comment>
    <comment ref="C135" authorId="16" shapeId="0" xr:uid="{92C6E4FA-8091-49CF-809E-6004E44DE6A9}">
      <text>
        <t>[Threaded comment]
Your version of Excel allows you to read this threaded comment; however, any edits to it will get removed if the file is opened in a newer version of Excel. Learn more: https://go.microsoft.com/fwlink/?linkid=870924
Comment:
    Equation 14</t>
      </text>
    </comment>
    <comment ref="C153" authorId="17" shapeId="0" xr:uid="{381C20A4-BC65-4787-80E6-0B1729D5A4DB}">
      <text>
        <t>[Threaded comment]
Your version of Excel allows you to read this threaded comment; however, any edits to it will get removed if the file is opened in a newer version of Excel. Learn more: https://go.microsoft.com/fwlink/?linkid=870924
Comment:
    Equation 17</t>
      </text>
    </comment>
    <comment ref="C156" authorId="18" shapeId="0" xr:uid="{ECB4DBBA-B647-4728-BFBB-08D55F7C4B36}">
      <text>
        <t>[Threaded comment]
Your version of Excel allows you to read this threaded comment; however, any edits to it will get removed if the file is opened in a newer version of Excel. Learn more: https://go.microsoft.com/fwlink/?linkid=870924
Comment:
    Equation 18</t>
      </text>
    </comment>
    <comment ref="C160" authorId="19" shapeId="0" xr:uid="{1FD797BB-FC39-4976-BBB3-7E435F564CB8}">
      <text>
        <t>[Threaded comment]
Your version of Excel allows you to read this threaded comment; however, any edits to it will get removed if the file is opened in a newer version of Excel. Learn more: https://go.microsoft.com/fwlink/?linkid=870924
Comment:
    Equation 18</t>
      </text>
    </comment>
    <comment ref="C161" authorId="20" shapeId="0" xr:uid="{795DAC96-16E0-4F8E-8999-F85346F5F34F}">
      <text>
        <t>[Threaded comment]
Your version of Excel allows you to read this threaded comment; however, any edits to it will get removed if the file is opened in a newer version of Excel. Learn more: https://go.microsoft.com/fwlink/?linkid=870924
Comment:
    Equation 16</t>
      </text>
    </comment>
    <comment ref="C170" authorId="21" shapeId="0" xr:uid="{A3B019C2-4792-433D-A11C-5494A8897F1D}">
      <text>
        <t>[Threaded comment]
Your version of Excel allows you to read this threaded comment; however, any edits to it will get removed if the file is opened in a newer version of Excel. Learn more: https://go.microsoft.com/fwlink/?linkid=870924
Comment:
    Equation 19</t>
      </text>
    </comment>
    <comment ref="C171" authorId="22" shapeId="0" xr:uid="{4403C6BD-A216-4617-ACAE-85F34684C9F4}">
      <text>
        <t>[Threaded comment]
Your version of Excel allows you to read this threaded comment; however, any edits to it will get removed if the file is opened in a newer version of Excel. Learn more: https://go.microsoft.com/fwlink/?linkid=870924
Comment:
    Equation 20</t>
      </text>
    </comment>
    <comment ref="C186" authorId="23" shapeId="0" xr:uid="{16EE3180-13B8-435D-AB4B-B41BF8A82A34}">
      <text>
        <t>[Threaded comment]
Your version of Excel allows you to read this threaded comment; however, any edits to it will get removed if the file is opened in a newer version of Excel. Learn more: https://go.microsoft.com/fwlink/?linkid=870924
Comment:
    Equation 15</t>
      </text>
    </comment>
    <comment ref="C188" authorId="24" shapeId="0" xr:uid="{8D84DCE0-338F-4530-A106-7ED33C8619C8}">
      <text>
        <t>[Threaded comment]
Your version of Excel allows you to read this threaded comment; however, any edits to it will get removed if the file is opened in a newer version of Excel. Learn more: https://go.microsoft.com/fwlink/?linkid=870924
Comment:
    Equation 21</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tc={5074F6AA-10FE-4BCA-A0ED-59878898ACED}</author>
    <author>tc={CE05C2A6-D1CB-4273-896C-9DC939EBE70A}</author>
    <author>tc={4420B24A-07E2-4D18-AE5F-BE347E4013F8}</author>
    <author>tc={D3B5BD3E-ACFA-4118-80C6-952B87D2434F}</author>
    <author>tc={FFED7DE8-2328-4160-95EE-6653F3917F9E}</author>
    <author>tc={7F0B004F-A16A-4480-AC4F-0660D3412EB6}</author>
    <author>tc={03CA6374-60E3-4A04-BEC7-A0C5F1DBF2AF}</author>
    <author>tc={6AEC3A2E-8A90-4FBF-AB3A-6B30815B8E95}</author>
    <author>tc={83621BEF-7F05-4699-B058-23F41D25521E}</author>
  </authors>
  <commentList>
    <comment ref="F9" authorId="0" shapeId="0" xr:uid="{5074F6AA-10FE-4BCA-A0ED-59878898ACED}">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CE05C2A6-D1CB-4273-896C-9DC939EBE70A}">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4420B24A-07E2-4D18-AE5F-BE347E4013F8}">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D3B5BD3E-ACFA-4118-80C6-952B87D2434F}">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FFED7DE8-2328-4160-95EE-6653F3917F9E}">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7F0B004F-A16A-4480-AC4F-0660D3412EB6}">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03CA6374-60E3-4A04-BEC7-A0C5F1DBF2AF}">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6AEC3A2E-8A90-4FBF-AB3A-6B30815B8E95}">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83621BEF-7F05-4699-B058-23F41D25521E}">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tc={EFDF5DDA-058A-4C9B-988A-A1DFA97F35A0}</author>
    <author>tc={1274B20E-4957-4F2A-B73E-83DB3286E45B}</author>
    <author>tc={7F8C15E1-A88B-424C-8E66-6EA2D1BE76A4}</author>
    <author>tc={F14A9CA8-D1EE-4766-BD7A-43DBEC291D4B}</author>
    <author>tc={04A705DC-3817-499B-82E7-597568884FC2}</author>
    <author>tc={1AFCAF0C-3F68-4518-9503-FB97259A2C77}</author>
    <author>tc={FC21E873-0038-46DA-ABF2-A3FB83826BF5}</author>
    <author>tc={CEC7F70E-070F-4DEC-B31A-E52CB42FBDBA}</author>
    <author>tc={42AD66A2-3419-47C1-9E83-C08531E799E8}</author>
    <author>tc={85EAE3C4-3A39-4904-9FCB-EFFCD60B7747}</author>
    <author>tc={684ABE80-48F4-4DCB-AAD0-C7FA41BCA2FF}</author>
    <author>tc={28A8904D-750A-4F6D-9EC0-B11A48B95AFD}</author>
    <author>tc={EA056C27-489E-44DA-893B-CA9F55FE7FF2}</author>
    <author>tc={EC2446AC-121B-48D3-AF2A-8FB85C5FA91A}</author>
    <author>tc={9B89EF84-2890-42D9-95AB-5A82A63D9E4E}</author>
    <author>tc={DD321998-C426-4F6A-BF1B-825CE8242589}</author>
    <author>tc={BFB86B4C-3E55-4DB3-84A4-B982B0828E2E}</author>
    <author>tc={7107C21F-9792-4347-9CDC-479CE463C6C2}</author>
    <author>tc={CB98C320-0DDC-4CAB-924D-45591CCF9C9F}</author>
    <author>tc={FFEB4DF2-F791-4D49-992C-AD59E5D4AD90}</author>
    <author>tc={6A91C035-AF86-402A-B7ED-D1C19BE66B2D}</author>
    <author>tc={A3CED1DD-38A8-48B3-B410-A6E69B893D4C}</author>
    <author>tc={6F043615-F552-4609-A168-F59A9BDF222B}</author>
    <author>tc={0DEEF430-F308-4F40-8ABF-4AD4E3616F9E}</author>
    <author>tc={064EC417-825B-41F6-824E-6BAB53AACC12}</author>
    <author>tc={1024BF4E-1409-4DF0-9EA9-82C58C3C8579}</author>
    <author>tc={6C28D4D4-469D-414A-BA69-DC9F609D71DF}</author>
  </authors>
  <commentList>
    <comment ref="E13" authorId="0" shapeId="0" xr:uid="{EFDF5DDA-058A-4C9B-988A-A1DFA97F35A0}">
      <text>
        <t>[Threaded comment]
Your version of Excel allows you to read this threaded comment; however, any edits to it will get removed if the file is opened in a newer version of Excel. Learn more: https://go.microsoft.com/fwlink/?linkid=870924
Comment:
    Eq 1</t>
      </text>
    </comment>
    <comment ref="E14" authorId="1" shapeId="0" xr:uid="{1274B20E-4957-4F2A-B73E-83DB3286E45B}">
      <text>
        <t>[Threaded comment]
Your version of Excel allows you to read this threaded comment; however, any edits to it will get removed if the file is opened in a newer version of Excel. Learn more: https://go.microsoft.com/fwlink/?linkid=870924
Comment:
    Eq 3</t>
      </text>
    </comment>
    <comment ref="E15" authorId="2" shapeId="0" xr:uid="{7F8C15E1-A88B-424C-8E66-6EA2D1BE76A4}">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3" shapeId="0" xr:uid="{F14A9CA8-D1EE-4766-BD7A-43DBEC291D4B}">
      <text>
        <t>[Threaded comment]
Your version of Excel allows you to read this threaded comment; however, any edits to it will get removed if the file is opened in a newer version of Excel. Learn more: https://go.microsoft.com/fwlink/?linkid=870924
Comment:
    Comes from tool 03</t>
      </text>
    </comment>
    <comment ref="E16" authorId="4" shapeId="0" xr:uid="{04A705DC-3817-499B-82E7-597568884FC2}">
      <text>
        <t>[Threaded comment]
Your version of Excel allows you to read this threaded comment; however, any edits to it will get removed if the file is opened in a newer version of Excel. Learn more: https://go.microsoft.com/fwlink/?linkid=870924
Comment:
    Eq 4</t>
      </text>
    </comment>
    <comment ref="E19" authorId="5" shapeId="0" xr:uid="{1AFCAF0C-3F68-4518-9503-FB97259A2C77}">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E24" authorId="6" shapeId="0" xr:uid="{FC21E873-0038-46DA-ABF2-A3FB83826BF5}">
      <text>
        <t>[Threaded comment]
Your version of Excel allows you to read this threaded comment; however, any edits to it will get removed if the file is opened in a newer version of Excel. Learn more: https://go.microsoft.com/fwlink/?linkid=870924
Comment:
    Eq 3</t>
      </text>
    </comment>
    <comment ref="E28" authorId="7" shapeId="0" xr:uid="{CEC7F70E-070F-4DEC-B31A-E52CB42FBDBA}">
      <text>
        <t>[Threaded comment]
Your version of Excel allows you to read this threaded comment; however, any edits to it will get removed if the file is opened in a newer version of Excel. Learn more: https://go.microsoft.com/fwlink/?linkid=870924
Comment:
    Eq 9</t>
      </text>
    </comment>
    <comment ref="E29" authorId="8" shapeId="0" xr:uid="{42AD66A2-3419-47C1-9E83-C08531E799E8}">
      <text>
        <t>[Threaded comment]
Your version of Excel allows you to read this threaded comment; however, any edits to it will get removed if the file is opened in a newer version of Excel. Learn more: https://go.microsoft.com/fwlink/?linkid=870924
Comment:
    Eq 15</t>
      </text>
    </comment>
    <comment ref="E31" authorId="9" shapeId="0" xr:uid="{85EAE3C4-3A39-4904-9FCB-EFFCD60B7747}">
      <text>
        <t>[Threaded comment]
Your version of Excel allows you to read this threaded comment; however, any edits to it will get removed if the file is opened in a newer version of Excel. Learn more: https://go.microsoft.com/fwlink/?linkid=870924
Comment:
    Eq 10</t>
      </text>
    </comment>
    <comment ref="F34" authorId="10" shapeId="0" xr:uid="{684ABE80-48F4-4DCB-AAD0-C7FA41BCA2FF}">
      <text>
        <t>[Threaded comment]
Your version of Excel allows you to read this threaded comment; however, any edits to it will get removed if the file is opened in a newer version of Excel. Learn more: https://go.microsoft.com/fwlink/?linkid=870924
Comment:
    Methane</t>
      </text>
    </comment>
    <comment ref="E37" authorId="11" shapeId="0" xr:uid="{28A8904D-750A-4F6D-9EC0-B11A48B95AFD}">
      <text>
        <t>[Threaded comment]
Your version of Excel allows you to read this threaded comment; however, any edits to it will get removed if the file is opened in a newer version of Excel. Learn more: https://go.microsoft.com/fwlink/?linkid=870924
Comment:
    Eq 16</t>
      </text>
    </comment>
    <comment ref="E38" authorId="12" shapeId="0" xr:uid="{EA056C27-489E-44DA-893B-CA9F55FE7FF2}">
      <text>
        <t>[Threaded comment]
Your version of Excel allows you to read this threaded comment; however, any edits to it will get removed if the file is opened in a newer version of Excel. Learn more: https://go.microsoft.com/fwlink/?linkid=870924
Comment:
    Eq 17</t>
      </text>
    </comment>
    <comment ref="E42" authorId="13" shapeId="0" xr:uid="{EC2446AC-121B-48D3-AF2A-8FB85C5FA91A}">
      <text>
        <t>[Threaded comment]
Your version of Excel allows you to read this threaded comment; however, any edits to it will get removed if the file is opened in a newer version of Excel. Learn more: https://go.microsoft.com/fwlink/?linkid=870924
Comment:
    Eq 2</t>
      </text>
    </comment>
    <comment ref="C46" authorId="14" shapeId="0" xr:uid="{9B89EF84-2890-42D9-95AB-5A82A63D9E4E}">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47" authorId="15" shapeId="0" xr:uid="{DD321998-C426-4F6A-BF1B-825CE8242589}">
      <text>
        <t>[Threaded comment]
Your version of Excel allows you to read this threaded comment; however, any edits to it will get removed if the file is opened in a newer version of Excel. Learn more: https://go.microsoft.com/fwlink/?linkid=870924
Comment:
    Eq 1
Reply:
    Tool 05</t>
      </text>
    </comment>
    <comment ref="E49" authorId="16" shapeId="0" xr:uid="{BFB86B4C-3E55-4DB3-84A4-B982B0828E2E}">
      <text>
        <t>[Threaded comment]
Your version of Excel allows you to read this threaded comment; however, any edits to it will get removed if the file is opened in a newer version of Excel. Learn more: https://go.microsoft.com/fwlink/?linkid=870924
Comment:
    Eq 3</t>
      </text>
    </comment>
    <comment ref="C54" authorId="17" shapeId="0" xr:uid="{7107C21F-9792-4347-9CDC-479CE463C6C2}">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E55" authorId="18" shapeId="0" xr:uid="{CB98C320-0DDC-4CAB-924D-45591CCF9C9F}">
      <text>
        <t>[Threaded comment]
Your version of Excel allows you to read this threaded comment; however, any edits to it will get removed if the file is opened in a newer version of Excel. Learn more: https://go.microsoft.com/fwlink/?linkid=870924
Comment:
    Eq 1
Reply:
    Tool 03</t>
      </text>
    </comment>
    <comment ref="E57" authorId="19" shapeId="0" xr:uid="{FFEB4DF2-F791-4D49-992C-AD59E5D4AD90}">
      <text>
        <t>[Threaded comment]
Your version of Excel allows you to read this threaded comment; however, any edits to it will get removed if the file is opened in a newer version of Excel. Learn more: https://go.microsoft.com/fwlink/?linkid=870924
Comment:
    Eq 4</t>
      </text>
    </comment>
    <comment ref="C62" authorId="20" shapeId="0" xr:uid="{6A91C035-AF86-402A-B7ED-D1C19BE66B2D}">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E63" authorId="21" shapeId="0" xr:uid="{A3CED1DD-38A8-48B3-B410-A6E69B893D4C}">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E65" authorId="22" shapeId="0" xr:uid="{6F043615-F552-4609-A168-F59A9BDF222B}">
      <text>
        <t>[Threaded comment]
Your version of Excel allows you to read this threaded comment; however, any edits to it will get removed if the file is opened in a newer version of Excel. Learn more: https://go.microsoft.com/fwlink/?linkid=870924
Comment:
    Eq 5</t>
      </text>
    </comment>
    <comment ref="E69" authorId="23" shapeId="0" xr:uid="{0DEEF430-F308-4F40-8ABF-4AD4E3616F9E}">
      <text>
        <t>[Threaded comment]
Your version of Excel allows you to read this threaded comment; however, any edits to it will get removed if the file is opened in a newer version of Excel. Learn more: https://go.microsoft.com/fwlink/?linkid=870924
Comment:
    Eq 6</t>
      </text>
    </comment>
    <comment ref="E77" authorId="24" shapeId="0" xr:uid="{064EC417-825B-41F6-824E-6BAB53AACC12}">
      <text>
        <t>[Threaded comment]
Your version of Excel allows you to read this threaded comment; however, any edits to it will get removed if the file is opened in a newer version of Excel. Learn more: https://go.microsoft.com/fwlink/?linkid=870924
Comment:
    Eq 7</t>
      </text>
    </comment>
    <comment ref="E83" authorId="25" shapeId="0" xr:uid="{1024BF4E-1409-4DF0-9EA9-82C58C3C8579}">
      <text>
        <t>[Threaded comment]
Your version of Excel allows you to read this threaded comment; however, any edits to it will get removed if the file is opened in a newer version of Excel. Learn more: https://go.microsoft.com/fwlink/?linkid=870924
Comment:
    Eq 8</t>
      </text>
    </comment>
    <comment ref="E89" authorId="26" shapeId="0" xr:uid="{6C28D4D4-469D-414A-BA69-DC9F609D71DF}">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tc={32FA8A95-6B76-407D-BC9C-40C7B9953587}</author>
    <author>tc={6E12116C-0A59-49FE-AF8A-A72E2BF5E4DA}</author>
    <author>tc={D56DA566-7BDB-45EF-A73B-5C923C436A87}</author>
    <author>tc={FBAF497E-85D6-4FD2-820C-0F5F1DB9F488}</author>
    <author>tc={79D68DEA-F821-4CA7-A135-C637D3D8054C}</author>
    <author>tc={DE13F090-AC71-40EF-A1C3-055A74F27437}</author>
    <author>tc={90D6E656-59B1-419F-A59F-E455154D837D}</author>
    <author>tc={10E10ADF-24FB-4B7F-8B86-797E55343D23}</author>
    <author>tc={B016F1F1-7648-4B34-98A9-E47FA86D2124}</author>
    <author>tc={3B1E88A7-05A0-4C50-9912-CF70E20052C7}</author>
    <author>tc={014DE7F0-9F34-4FCA-8D8B-AE816DB7C32E}</author>
    <author>tc={7BFC8B06-ED72-4038-9088-EB05019B5FD5}</author>
    <author>tc={E62CC87F-DC2A-4AB0-847B-8B9A4F40BC17}</author>
    <author>tc={1A26B14B-C7F7-47D4-89EA-3D250CA62444}</author>
    <author>tc={A49D0B75-908A-4DA5-8C3C-E70DA8D9CB41}</author>
  </authors>
  <commentList>
    <comment ref="B38" authorId="0" shapeId="0" xr:uid="{32FA8A95-6B76-407D-BC9C-40C7B9953587}">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6E12116C-0A59-49FE-AF8A-A72E2BF5E4DA}">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D56DA566-7BDB-45EF-A73B-5C923C436A87}">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FBAF497E-85D6-4FD2-820C-0F5F1DB9F488}">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79D68DEA-F821-4CA7-A135-C637D3D8054C}">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DE13F090-AC71-40EF-A1C3-055A74F27437}">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0D6E656-59B1-419F-A59F-E455154D837D}">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10E10ADF-24FB-4B7F-8B86-797E55343D23}">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B016F1F1-7648-4B34-98A9-E47FA86D2124}">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3B1E88A7-05A0-4C50-9912-CF70E20052C7}">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014DE7F0-9F34-4FCA-8D8B-AE816DB7C32E}">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7BFC8B06-ED72-4038-9088-EB05019B5FD5}">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E62CC87F-DC2A-4AB0-847B-8B9A4F40BC17}">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1A26B14B-C7F7-47D4-89EA-3D250CA62444}">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A49D0B75-908A-4DA5-8C3C-E70DA8D9CB41}">
      <text>
        <t>[Threaded comment]
Your version of Excel allows you to read this threaded comment; however, any edits to it will get removed if the file is opened in a newer version of Excel. Learn more: https://go.microsoft.com/fwlink/?linkid=870924
Comment:
    Equation 15</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tc={61EA5ED5-8317-454F-A287-0A43790CC627}</author>
    <author>tc={D3F87FD9-BE36-4EDC-8E9B-A72F54C89FAE}</author>
    <author>tc={FB548790-7C20-4FFF-A73A-39537544D145}</author>
  </authors>
  <commentList>
    <comment ref="A1" authorId="0" shapeId="0" xr:uid="{61EA5ED5-8317-454F-A287-0A43790CC627}">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D3F87FD9-BE36-4EDC-8E9B-A72F54C89FAE}">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FB548790-7C20-4FFF-A73A-39537544D145}">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tc={9646E5F7-3E1A-4E49-B9C5-3983831050A3}</author>
    <author>tc={637CF8C4-E155-4E8D-80AE-D80627BC9E62}</author>
    <author>tc={A78B2F68-F132-4329-A5D7-B46F1AB8D31C}</author>
    <author>tc={049ECA95-B8B2-495B-A9C6-1F4592632A4F}</author>
    <author>tc={17A5C06D-2972-4EAC-9223-CD92F00F5A56}</author>
    <author>tc={C164D4E7-A8A6-49D7-AB3C-5A1D1AE930D1}</author>
  </authors>
  <commentList>
    <comment ref="A4" authorId="0" shapeId="0" xr:uid="{9646E5F7-3E1A-4E49-B9C5-3983831050A3}">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637CF8C4-E155-4E8D-80AE-D80627BC9E62}">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A78B2F68-F132-4329-A5D7-B46F1AB8D31C}">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049ECA95-B8B2-495B-A9C6-1F4592632A4F}">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17A5C06D-2972-4EAC-9223-CD92F00F5A56}">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C164D4E7-A8A6-49D7-AB3C-5A1D1AE930D1}">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tc={0AD5071C-DEAC-4769-AF64-0356E24E47A3}</author>
    <author>tc={3B4726AF-84F7-4AE7-83B1-3957285E188B}</author>
    <author>tc={2C22FCA1-4B5B-4DC6-9E3A-2C83EC7E0420}</author>
    <author>tc={89892774-869F-4252-8378-0EE0C69254EA}</author>
    <author>tc={6F180D35-4927-4632-9AFC-2FDE53D52E48}</author>
    <author>tc={A4F8213A-6AD8-42CF-9085-E399E8236FE7}</author>
    <author>tc={88D565B5-7F2E-4CA5-8307-26B396850929}</author>
  </authors>
  <commentList>
    <comment ref="A6" authorId="0" shapeId="0" xr:uid="{0AD5071C-DEAC-4769-AF64-0356E24E47A3}">
      <text>
        <t xml:space="preserve">[Threaded comment]
Your version of Excel allows you to read this threaded comment; however, any edits to it will get removed if the file is opened in a newer version of Excel. Learn more: https://go.microsoft.com/fwlink/?linkid=870924
Comment:
    Help Text: For biomass from forests and biomass from croplands or grasslands, the project boundary shall include the area where the biomass is extracted or produced. </t>
      </text>
    </comment>
    <comment ref="A9" authorId="1" shapeId="0" xr:uid="{3B4726AF-84F7-4AE7-83B1-3957285E188B}">
      <text>
        <t xml:space="preserve">[Threaded comment]
Your version of Excel allows you to read this threaded comment; however, any edits to it will get removed if the file is opened in a newer version of Excel. Learn more: https://go.microsoft.com/fwlink/?linkid=870924
Comment:
    Help Text: These emission sources may be project emissions (if under the control of project participants, i.e. if the land area where the biomass is grown is included in the project boundary) or sources of leakage (if the source is not under control of project participants).
</t>
      </text>
    </comment>
    <comment ref="A13" authorId="2" shapeId="0" xr:uid="{2C22FCA1-4B5B-4DC6-9E3A-2C83EC7E0420}">
      <text>
        <t xml:space="preserve">[Threaded comment]
Your version of Excel allows you to read this threaded comment; however, any edits to it will get removed if the file is opened in a newer version of Excel. Learn more: https://go.microsoft.com/fwlink/?linkid=870924
Comment:
    Help Text: Shifts of pre-project activities are relevant where in the absence of the project activity the land areas would be used for other purposes (i.e. agriculture). Consequently, as a first guidance, project participants may neglect leakage effects due to shifts in pre-project activities, where the land would not be used or where the land use (inside the project boundary) does not change as a result of the project activity. For other types of biomass, deforestation on other land areas as a result of shifts of preproject activities might be the most important potential leakage source. For the assessment of whether a project activity results in deforestation elsewhere, it can be necessary to evaluate whether there is significant land pressure in the area. 
</t>
      </text>
    </comment>
    <comment ref="A17" authorId="3" shapeId="0" xr:uid="{89892774-869F-4252-8378-0EE0C69254EA}">
      <text>
        <t>[Threaded comment]
Your version of Excel allows you to read this threaded comment; however, any edits to it will get removed if the file is opened in a newer version of Excel. Learn more: https://go.microsoft.com/fwlink/?linkid=870924
Comment:
    Help Text: These emissions sources shall respectively be included in a simplified manner, not involving any significant transaction costs. All other emission sources are likely to be smaller than 10% (each) - including transportation of raw materials and biomass, fossil fuel consumption for the cultivation of plantations - and can therefore be neglected in the context of SSC project activities.</t>
      </text>
    </comment>
    <comment ref="A18" authorId="4" shapeId="0" xr:uid="{6F180D35-4927-4632-9AFC-2FDE53D52E48}">
      <text>
        <t xml:space="preserve">[Threaded comment]
Your version of Excel allows you to read this threaded comment; however, any edits to it will get removed if the file is opened in a newer version of Excel. Learn more: https://go.microsoft.com/fwlink/?linkid=870924
Comment:
    Help Text: Project participants shall monitor the type and quantity of fertilizer applied to the land areas. N2O emissions from the use of synthetic and organic fertilizers shall be estimated according to provisions outlined in the Revised 1996 IPCC Guidelines for National Greenhouse Gas Inventories (Chapter. 4.5). </t>
      </text>
    </comment>
    <comment ref="A19" authorId="5" shapeId="0" xr:uid="{A4F8213A-6AD8-42CF-9085-E399E8236FE7}">
      <text>
        <t>[Threaded comment]
Your version of Excel allows you to read this threaded comment; however, any edits to it will get removed if the file is opened in a newer version of Excel. Learn more: https://go.microsoft.com/fwlink/?linkid=870924
Comment:
    Help Text: Project emissions from clearance of lands can be significant in cases where an area is deforested to produce the biomass. In other cases, the land area (e.g., abandoned land) can regenerate in the absence of production of the biomass resulting in increasing carbon stocks in carbon pools. As a consequence, carbon stocks in carbon pools could be higher in the baseline scenario than in the project scenario. However, as a simplification, it is suggested to neglect this latter case. The potential of deforestation due to the implementation of the CDM project activity must be addressed by considering the following applicability condition: Where the project activity involves the use of a type of renewable biomass that is not a biomass residues or waste, project participants shall demonstrate that the area where the biomass is grown is not a forest (as per DNA forest definition) and has not been deforested, according to the forest definition by the national DNA, during the last 10 years prior to the implementation of the project activity. In the absence of forest definition from the DNA, definitions provided by relevant international organisations (e.g., FAO) shall be used.</t>
      </text>
    </comment>
    <comment ref="A22" authorId="6" shapeId="0" xr:uid="{88D565B5-7F2E-4CA5-8307-26B396850929}">
      <text>
        <t xml:space="preserve">[Threaded comment]
Your version of Excel allows you to read this threaded comment; however, any edits to it will get removed if the file is opened in a newer version of Excel. Learn more: https://go.microsoft.com/fwlink/?linkid=870924
Comment:
    Help Text: This shall be demonstrated using published literature, official reports, surveys etc. The surplus must be at least 25% larger than the quantity of biomass that is utilized including the project activity.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tc={0BA5137B-8946-4F75-8E4F-7213735590D7}</author>
  </authors>
  <commentList>
    <comment ref="F10" authorId="0" shapeId="0" xr:uid="{0BA5137B-8946-4F75-8E4F-7213735590D7}">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tc={8C8B3660-61F4-4070-BB38-C8EB414278E6}</author>
    <author>tc={B426CF24-C624-4583-88A2-FF224D7F8164}</author>
    <author>tc={84BEC392-622E-44A6-9937-C0CBEAC0D297}</author>
    <author>tc={B1E967E5-39F5-433C-B1E7-FA43747AF180}</author>
    <author>tc={394E0161-FDCA-4FDF-A3F2-92373E6D4313}</author>
    <author>tc={4D7F7A5F-5E6F-496D-86FC-F3F47690119E}</author>
    <author>tc={9B0D2B2A-EFBF-406A-A2A9-13B9B4108A67}</author>
    <author>tc={FDAA42E9-80D5-4A76-89B0-F8C7FD979787}</author>
  </authors>
  <commentList>
    <comment ref="B34" authorId="0" shapeId="0" xr:uid="{8C8B3660-61F4-4070-BB38-C8EB414278E6}">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B426CF24-C624-4583-88A2-FF224D7F8164}">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84BEC392-622E-44A6-9937-C0CBEAC0D297}">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B1E967E5-39F5-433C-B1E7-FA43747AF180}">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394E0161-FDCA-4FDF-A3F2-92373E6D4313}">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4D7F7A5F-5E6F-496D-86FC-F3F47690119E}">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9B0D2B2A-EFBF-406A-A2A9-13B9B4108A67}">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FDAA42E9-80D5-4A76-89B0-F8C7FD979787}">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tc={6ED1E757-956C-44A3-9A6F-DF8412497CC2}</author>
  </authors>
  <commentList>
    <comment ref="A2" authorId="0" shapeId="0" xr:uid="{6ED1E757-956C-44A3-9A6F-DF8412497CC2}">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tc={241EE2ED-CE98-4676-AA0C-8DD60FB90173}</author>
    <author>tc={7CADBB56-0B15-4698-AEB1-970EDD8D17C5}</author>
    <author>tc={7F42A2CC-2F1A-4447-9050-2A00D298BE13}</author>
    <author>tc={F21DB304-5220-4FCE-AF2B-2D546477592C}</author>
    <author>tc={D2D680F3-426B-42AA-A25F-FD54436691E7}</author>
    <author>tc={9F177AB6-C37A-41EE-A80D-3D70F736921B}</author>
    <author>tc={17CD2BC9-6009-44AD-AAC4-EC7DDFA3861E}</author>
    <author>tc={5697C82E-AF2E-4C2F-A1E6-A6B7A8CCC2CB}</author>
  </authors>
  <commentList>
    <comment ref="F6" authorId="0" shapeId="0" xr:uid="{241EE2ED-CE98-4676-AA0C-8DD60FB90173}">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7CADBB56-0B15-4698-AEB1-970EDD8D17C5}">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7F42A2CC-2F1A-4447-9050-2A00D298BE13}">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F21DB304-5220-4FCE-AF2B-2D546477592C}">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D2D680F3-426B-42AA-A25F-FD54436691E7}">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9F177AB6-C37A-41EE-A80D-3D70F736921B}">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17CD2BC9-6009-44AD-AAC4-EC7DDFA3861E}">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5697C82E-AF2E-4C2F-A1E6-A6B7A8CCC2CB}">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tc={5DF69D01-9AF8-4916-AED2-4CC42D3D3D7F}</author>
    <author>tc={36F33592-294F-42E7-B6D0-40972BB70E0E}</author>
    <author>tc={883228E2-12A7-4FA8-9C1A-59CD5A780E4F}</author>
    <author>tc={84E32CD5-D768-42EE-A4CA-4F823F79EC35}</author>
    <author>tc={91D9319F-A48C-40A6-8018-29A549EFB79D}</author>
    <author>tc={205E3575-77B9-43E6-8AAD-7880C7AF2054}</author>
    <author>tc={2FBB5051-3BFA-4411-AC08-20C88E3F23A3}</author>
    <author>tc={41D7256F-5CFA-454E-82BF-212022FDCC69}</author>
    <author>tc={7F35FA82-03DB-4E7E-95DC-871394863968}</author>
    <author>tc={7088DA55-8C55-4D98-8085-F3B19DA646EC}</author>
    <author>tc={561F0F56-8782-48BD-871B-30BFD0799816}</author>
    <author>tc={7E958901-C323-4395-A38A-282B49A34328}</author>
    <author>tc={449C686F-8C4E-4181-84A2-2E57384DD0AD}</author>
    <author>tc={CBC54725-94F6-401C-9E21-06BAB1DF8238}</author>
    <author>tc={AF039C15-3A0E-460B-BD9F-6984DBBDF6CB}</author>
    <author>tc={B1C7C0B3-4DEA-42B2-B973-62967AE13D67}</author>
    <author>tc={7E8B5D89-B3A0-45CF-9CF9-2E70983FAEA7}</author>
    <author>tc={3E062CAE-7853-466B-ACB6-DD046D9B1624}</author>
    <author>tc={7A6A337D-CB72-42EA-BABD-A6404572377A}</author>
    <author>tc={0CA0F82F-842C-4B13-A56F-182C2E6095F1}</author>
  </authors>
  <commentList>
    <comment ref="F3" authorId="0" shapeId="0" xr:uid="{5DF69D01-9AF8-4916-AED2-4CC42D3D3D7F}">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36F33592-294F-42E7-B6D0-40972BB70E0E}">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883228E2-12A7-4FA8-9C1A-59CD5A780E4F}">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84E32CD5-D768-42EE-A4CA-4F823F79EC35}">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91D9319F-A48C-40A6-8018-29A549EFB79D}">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205E3575-77B9-43E6-8AAD-7880C7AF205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2FBB5051-3BFA-4411-AC08-20C88E3F23A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41D7256F-5CFA-454E-82BF-212022FDCC69}">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7F35FA82-03DB-4E7E-95DC-871394863968}">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7088DA55-8C55-4D98-8085-F3B19DA646EC}">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61F0F56-8782-48BD-871B-30BFD0799816}">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7E958901-C323-4395-A38A-282B49A34328}">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449C686F-8C4E-4181-84A2-2E57384DD0AD}">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CBC54725-94F6-401C-9E21-06BAB1DF823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AF039C15-3A0E-460B-BD9F-6984DBBDF6CB}">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B1C7C0B3-4DEA-42B2-B973-62967AE13D67}">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7E8B5D89-B3A0-45CF-9CF9-2E70983FAEA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3E062CAE-7853-466B-ACB6-DD046D9B162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7A6A337D-CB72-42EA-BABD-A6404572377A}">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0CA0F82F-842C-4B13-A56F-182C2E6095F1}">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tc={E6C92DB4-D90E-4933-BDAD-2E4F7DB1697C}</author>
  </authors>
  <commentList>
    <comment ref="D3" authorId="0" shapeId="0" xr:uid="{E6C92DB4-D90E-4933-BDAD-2E4F7DB1697C}">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tc={38836FAA-1F8D-4B77-96D1-AE2E4987DF9E}</author>
    <author>tc={B39D5E90-222E-40D5-A048-84DAD73DA21E}</author>
    <author>tc={368356BB-DB3B-48F4-9F08-D195A73C7FFD}</author>
    <author>tc={32CA48B0-23F5-4EB4-B56B-5CD94038C17D}</author>
    <author>tc={09FD1F75-F2BE-494F-8D27-B3940F03A6A6}</author>
    <author>tc={9690CDFA-4726-4BE0-8747-403900AC0739}</author>
    <author>tc={557A884A-ABC3-4C4E-A37A-743BE117F2ED}</author>
    <author>tc={2C731843-F625-4B2E-A4B2-9A3FD1DE3A43}</author>
    <author>tc={AE5E0DF2-CD96-4C0E-949F-40AD50485CAE}</author>
    <author>tc={6B9DD6DA-9BC6-48A1-B716-B0C9EBF4A13C}</author>
    <author>tc={84B450C3-ACC6-4F60-9CE7-F80353EE4165}</author>
    <author>tc={12197156-05F5-481D-9267-716FEE5C36DE}</author>
    <author>tc={B71DBA06-0373-454F-961D-6379E6EC0699}</author>
    <author>tc={B5E2E43F-80FB-47BE-9803-9B19A3FBDEF0}</author>
    <author>tc={7E621A16-4BDC-463A-9F64-3221C9B5E8FB}</author>
    <author>tc={32FD0FDE-1DF9-4BB5-8EB7-8504AE8F8DD6}</author>
    <author>tc={3935870F-A1E2-444D-A861-1E594BC6EC6A}</author>
    <author>tc={70E2437A-75F7-4F2E-B8C7-DD0A8B243530}</author>
    <author>tc={7DD12030-2471-4CCE-BF5E-72FBE37FD1AB}</author>
  </authors>
  <commentList>
    <comment ref="C44" authorId="0" shapeId="0" xr:uid="{38836FAA-1F8D-4B77-96D1-AE2E4987DF9E}">
      <text>
        <t>[Threaded comment]
Your version of Excel allows you to read this threaded comment; however, any edits to it will get removed if the file is opened in a newer version of Excel. Learn more: https://go.microsoft.com/fwlink/?linkid=870924
Comment:
    Eq 5</t>
      </text>
    </comment>
    <comment ref="C45" authorId="1" shapeId="0" xr:uid="{B39D5E90-222E-40D5-A048-84DAD73DA21E}">
      <text>
        <t>[Threaded comment]
Your version of Excel allows you to read this threaded comment; however, any edits to it will get removed if the file is opened in a newer version of Excel. Learn more: https://go.microsoft.com/fwlink/?linkid=870924
Comment:
    Eq 6</t>
      </text>
    </comment>
    <comment ref="C48" authorId="2" shapeId="0" xr:uid="{368356BB-DB3B-48F4-9F08-D195A73C7FFD}">
      <text>
        <t>[Threaded comment]
Your version of Excel allows you to read this threaded comment; however, any edits to it will get removed if the file is opened in a newer version of Excel. Learn more: https://go.microsoft.com/fwlink/?linkid=870924
Comment:
    Eq 7</t>
      </text>
    </comment>
    <comment ref="C49" authorId="3" shapeId="0" xr:uid="{32CA48B0-23F5-4EB4-B56B-5CD94038C17D}">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0" authorId="4" shapeId="0" xr:uid="{09FD1F75-F2BE-494F-8D27-B3940F03A6A6}">
      <text>
        <t>[Threaded comment]
Your version of Excel allows you to read this threaded comment; however, any edits to it will get removed if the file is opened in a newer version of Excel. Learn more: https://go.microsoft.com/fwlink/?linkid=870924
Comment:
    Eq 5 in tool 08</t>
      </text>
    </comment>
    <comment ref="C51" authorId="5" shapeId="0" xr:uid="{9690CDFA-4726-4BE0-8747-403900AC0739}">
      <text>
        <t>[Threaded comment]
Your version of Excel allows you to read this threaded comment; however, any edits to it will get removed if the file is opened in a newer version of Excel. Learn more: https://go.microsoft.com/fwlink/?linkid=870924
Comment:
    Comes from tool 08</t>
      </text>
    </comment>
    <comment ref="C54" authorId="6" shapeId="0" xr:uid="{557A884A-ABC3-4C4E-A37A-743BE117F2ED}">
      <text>
        <t>[Threaded comment]
Your version of Excel allows you to read this threaded comment; however, any edits to it will get removed if the file is opened in a newer version of Excel. Learn more: https://go.microsoft.com/fwlink/?linkid=870924
Comment:
    Eq 3</t>
      </text>
    </comment>
    <comment ref="C56" authorId="7" shapeId="0" xr:uid="{2C731843-F625-4B2E-A4B2-9A3FD1DE3A43}">
      <text>
        <t>[Threaded comment]
Your version of Excel allows you to read this threaded comment; however, any edits to it will get removed if the file is opened in a newer version of Excel. Learn more: https://go.microsoft.com/fwlink/?linkid=870924
Comment:
    Eq 4</t>
      </text>
    </comment>
    <comment ref="C57" authorId="8" shapeId="0" xr:uid="{AE5E0DF2-CD96-4C0E-949F-40AD50485CAE}">
      <text>
        <t>[Threaded comment]
Your version of Excel allows you to read this threaded comment; however, any edits to it will get removed if the file is opened in a newer version of Excel. Learn more: https://go.microsoft.com/fwlink/?linkid=870924
Comment:
    Eq 8</t>
      </text>
    </comment>
    <comment ref="C58" authorId="9" shapeId="0" xr:uid="{6B9DD6DA-9BC6-48A1-B716-B0C9EBF4A13C}">
      <text>
        <t>[Threaded comment]
Your version of Excel allows you to read this threaded comment; however, any edits to it will get removed if the file is opened in a newer version of Excel. Learn more: https://go.microsoft.com/fwlink/?linkid=870924
Comment:
    Eq 9</t>
      </text>
    </comment>
    <comment ref="C59" authorId="10" shapeId="0" xr:uid="{84B450C3-ACC6-4F60-9CE7-F80353EE4165}">
      <text>
        <t>[Threaded comment]
Your version of Excel allows you to read this threaded comment; however, any edits to it will get removed if the file is opened in a newer version of Excel. Learn more: https://go.microsoft.com/fwlink/?linkid=870924
Comment:
    Eq 10</t>
      </text>
    </comment>
    <comment ref="C60" authorId="11" shapeId="0" xr:uid="{12197156-05F5-481D-9267-716FEE5C36DE}">
      <text>
        <t>[Threaded comment]
Your version of Excel allows you to read this threaded comment; however, any edits to it will get removed if the file is opened in a newer version of Excel. Learn more: https://go.microsoft.com/fwlink/?linkid=870924
Comment:
    Eq 11</t>
      </text>
    </comment>
    <comment ref="C61" authorId="12" shapeId="0" xr:uid="{B71DBA06-0373-454F-961D-6379E6EC0699}">
      <text>
        <t>[Threaded comment]
Your version of Excel allows you to read this threaded comment; however, any edits to it will get removed if the file is opened in a newer version of Excel. Learn more: https://go.microsoft.com/fwlink/?linkid=870924
Comment:
    Eq 12</t>
      </text>
    </comment>
    <comment ref="C62" authorId="13" shapeId="0" xr:uid="{B5E2E43F-80FB-47BE-9803-9B19A3FBDEF0}">
      <text>
        <t>[Threaded comment]
Your version of Excel allows you to read this threaded comment; however, any edits to it will get removed if the file is opened in a newer version of Excel. Learn more: https://go.microsoft.com/fwlink/?linkid=870924
Comment:
    Eq 13</t>
      </text>
    </comment>
    <comment ref="C64" authorId="14" shapeId="0" xr:uid="{7E621A16-4BDC-463A-9F64-3221C9B5E8FB}">
      <text>
        <t>[Threaded comment]
Your version of Excel allows you to read this threaded comment; however, any edits to it will get removed if the file is opened in a newer version of Excel. Learn more: https://go.microsoft.com/fwlink/?linkid=870924
Comment:
    Eq 14</t>
      </text>
    </comment>
    <comment ref="C65" authorId="15" shapeId="0" xr:uid="{32FD0FDE-1DF9-4BB5-8EB7-8504AE8F8DD6}">
      <text>
        <t>[Threaded comment]
Your version of Excel allows you to read this threaded comment; however, any edits to it will get removed if the file is opened in a newer version of Excel. Learn more: https://go.microsoft.com/fwlink/?linkid=870924
Comment:
    Eq 14</t>
      </text>
    </comment>
    <comment ref="C66" authorId="16" shapeId="0" xr:uid="{3935870F-A1E2-444D-A861-1E594BC6EC6A}">
      <text>
        <t>[Threaded comment]
Your version of Excel allows you to read this threaded comment; however, any edits to it will get removed if the file is opened in a newer version of Excel. Learn more: https://go.microsoft.com/fwlink/?linkid=870924
Comment:
    Eq 14</t>
      </text>
    </comment>
    <comment ref="C67" authorId="17" shapeId="0" xr:uid="{70E2437A-75F7-4F2E-B8C7-DD0A8B243530}">
      <text>
        <t>[Threaded comment]
Your version of Excel allows you to read this threaded comment; however, any edits to it will get removed if the file is opened in a newer version of Excel. Learn more: https://go.microsoft.com/fwlink/?linkid=870924
Comment:
    Eq 14</t>
      </text>
    </comment>
    <comment ref="C69" authorId="18" shapeId="0" xr:uid="{7DD12030-2471-4CCE-BF5E-72FBE37FD1AB}">
      <text>
        <t>[Threaded comment]
Your version of Excel allows you to read this threaded comment; however, any edits to it will get removed if the file is opened in a newer version of Excel. Learn more: https://go.microsoft.com/fwlink/?linkid=870924
Comment:
    Eq 15</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tc={C7DB4D59-E2AB-4627-A4E7-DF36EAC198CB}</author>
  </authors>
  <commentList>
    <comment ref="A3" authorId="0" shapeId="0" xr:uid="{C7DB4D59-E2AB-4627-A4E7-DF36EAC198CB}">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sharedStrings.xml><?xml version="1.0" encoding="utf-8"?>
<sst xmlns="http://schemas.openxmlformats.org/spreadsheetml/2006/main" count="4825" uniqueCount="2312">
  <si>
    <t>Properties</t>
  </si>
  <si>
    <t>Parameter</t>
  </si>
  <si>
    <t xml:space="preserve">Question </t>
  </si>
  <si>
    <t xml:space="preserve">Answer </t>
  </si>
  <si>
    <t>Required</t>
  </si>
  <si>
    <t>Help Text</t>
  </si>
  <si>
    <t>Dev Notes</t>
  </si>
  <si>
    <t>Schema Type</t>
  </si>
  <si>
    <t>Allow Multiple Answers</t>
  </si>
  <si>
    <t>Selective Disclosure</t>
  </si>
  <si>
    <t>Project Details</t>
  </si>
  <si>
    <t>NA</t>
  </si>
  <si>
    <t>Summary of the Project Description</t>
  </si>
  <si>
    <t xml:space="preserve">J.N.P. Products is a bulk drug manufacturing unit with a current production capacity of 19200 MTPA of Para Amino Phenol, the key raw material for manufacturing paracetamol. J.N.P. Products requires 6 tons/hr of steam in their manufacturing process.
The CDM project activity involves installation of new solid fuel based Combipac, Steam Boiler capable of generating 6 Ton/hr steam, at a design pressure of 10.54 kg/cm2 and design temperature of 185oC with fuel source as briquetted Biomass made from mechanical treatment of agricultural wastes like Groundnut shells, etc.
The prime objective of the project activity is to produce process steam through renewable energy sources. </t>
  </si>
  <si>
    <t>Yes</t>
  </si>
  <si>
    <t>String</t>
  </si>
  <si>
    <t>No</t>
  </si>
  <si>
    <t>ActivityImpactModule.projectScope</t>
  </si>
  <si>
    <t>Sectoral Scope</t>
  </si>
  <si>
    <t xml:space="preserve">Sectoral scope(s): 01 – Energy Industries </t>
  </si>
  <si>
    <t>ActivityImpactModule.projectType</t>
  </si>
  <si>
    <t>Project Type</t>
  </si>
  <si>
    <t>Type I: Renewable energy</t>
  </si>
  <si>
    <t>Type of Activity</t>
  </si>
  <si>
    <t>The project activity is a ‘Renewable energy project’ which has an output capacity less than 15 megawatts equivalent</t>
  </si>
  <si>
    <t>ActivityImpactModule.projectScale</t>
  </si>
  <si>
    <t>Project Scale</t>
  </si>
  <si>
    <t>Small</t>
  </si>
  <si>
    <t>Select One</t>
  </si>
  <si>
    <t>ActivityImpactModule.GeographicLocation.latitude</t>
  </si>
  <si>
    <t>Project Location Latitude</t>
  </si>
  <si>
    <t>21.7200 deg N</t>
  </si>
  <si>
    <t>ActivityImpactModule.GeographicLocation.longitude</t>
  </si>
  <si>
    <t>Project Location Longitude</t>
  </si>
  <si>
    <t>73.1506 deg E</t>
  </si>
  <si>
    <t>ActivityImpactModule.GeographicLocation.geoJsonOrKml</t>
  </si>
  <si>
    <t>Project Location GeoJSON (GeoJSON supports the following geometry types: Point, LineString, Polygon, MultiPoint, MultiLineString, MultiPolygon.)</t>
  </si>
  <si>
    <t>[-104.99404, 39.75621]</t>
  </si>
  <si>
    <t>Project Eligibility</t>
  </si>
  <si>
    <t>As per the “CDM-EB07-A04-GLOS- Glossary Of the CDM Terms” Version 09.0.0, Annex 1, EB 941SSC CDM project activity is “A measure, operation or action that aims to reduce GHG emissions, whether as a whole project or as a component of a project, in one of the following categories: (a)Type I project activities: Renewable energy project activities which have an output capacity up to 15 megawatts (or an appropriate equivalent), in accordance with the CDM rules and requirements;  (b)Type II project activities: Energy efficiency improvement project activities which reduce energy consumption, on the supply and/or demand side, to a maximum output of 60 GWh per year (or an appropriate equivalent) in accordance with the CDM rules and requirements; (c) Type III project activities: SSC CDM project activities other than Type I and Type II project activities that result in emission reductions of less than or equal to 60kt carbon dioxide equivalent annually, in accordance with the CDM rules and requirements”.</t>
  </si>
  <si>
    <t>AccountableImpactOrganization.name</t>
  </si>
  <si>
    <t>Project Participant Organization Name</t>
  </si>
  <si>
    <t>J.N.P. Products</t>
  </si>
  <si>
    <t>Project Participant Contact Person</t>
  </si>
  <si>
    <t xml:space="preserve">John Doe </t>
  </si>
  <si>
    <t>Name</t>
  </si>
  <si>
    <t xml:space="preserve">Project Participant Title </t>
  </si>
  <si>
    <t xml:space="preserve">Owner </t>
  </si>
  <si>
    <t>AccountableImpactOrganization.addresses</t>
  </si>
  <si>
    <t xml:space="preserve">Project Participant Address </t>
  </si>
  <si>
    <t xml:space="preserve">123 Fake Street </t>
  </si>
  <si>
    <t>Address</t>
  </si>
  <si>
    <t xml:space="preserve">Project Participant Telephone </t>
  </si>
  <si>
    <t>555-123-4567</t>
  </si>
  <si>
    <t>Phone Number</t>
  </si>
  <si>
    <t>Project Participant Email</t>
  </si>
  <si>
    <t>j.doe@yahoo.net</t>
  </si>
  <si>
    <t>Email</t>
  </si>
  <si>
    <t>Participation under other GHG Programs</t>
  </si>
  <si>
    <t>Other Forms of Environmental Credit</t>
  </si>
  <si>
    <t>QualityStandard.methodologyAndTools</t>
  </si>
  <si>
    <t>Title and Reference of Methodologies</t>
  </si>
  <si>
    <t>AMS-I.C Version 22.0 - Thermal energy production with or without electricity</t>
  </si>
  <si>
    <t xml:space="preserve">Select all that apply </t>
  </si>
  <si>
    <t>ActivityImpactModule.projectStartDate</t>
  </si>
  <si>
    <t>Project Start Date</t>
  </si>
  <si>
    <t xml:space="preserve">Date  </t>
  </si>
  <si>
    <t>ActivityImpactModule.projectCreditingPeriod</t>
  </si>
  <si>
    <t>Crediting Period</t>
  </si>
  <si>
    <t>01/01/2018-01/01/2019</t>
  </si>
  <si>
    <t>Date Range</t>
  </si>
  <si>
    <t>ActivityImpactModule.projectMonitoringPeriod</t>
  </si>
  <si>
    <t>Monitoring Period</t>
  </si>
  <si>
    <t>Monitoring Plan</t>
  </si>
  <si>
    <t xml:space="preserve">Data and parameters monitored based on the requirements of AMS-I.C Version 22.0 - Thermal energy production with or without electricity.  </t>
  </si>
  <si>
    <t>Compliance with Laws, Statutes and Other Regulatory Frameworks</t>
  </si>
  <si>
    <t>The project participant herein determines the relevant project activities are in compliance with all mandatory applicable legal and regulatory requirements.</t>
  </si>
  <si>
    <t>CoBenefit.unSdg</t>
  </si>
  <si>
    <t>Sustainable development</t>
  </si>
  <si>
    <t xml:space="preserve">The project activity contributes to sustainable development and mitigation of climate change through the following:  
Environmental Benefits: Reduction of fossil fuels consumption: With the implementation of the proposed project activity, the renewable energy source will replace the fossil fuels source thus contributing to reduced GHG emissions. Utilization of Agricultural residues – The project activity utilizes agricultural residue, which form part of the regular carbon cycle and hence do not contribute to additional atmospheric CO2 emission. The project activity helps in proper utilization of groundnut shells etc., which otherwise would have been dumped or burnt openly. As the biomass residues have inherently low sulphur and nitrogen content, the problems of NOX and SOX emissions is almost nil. The agricultural residues are burnt on the fields providing zero economic value and causing air pollution and soil pollution to the local area. The project activity would ensure the agricultural residues are combusted efficiently in the boiler with proper air treatment and handling systems. Thus preventing air and soil pollution and getting economic value from the wastes.
Social benefits: Improvement of air quality in the nearby region: With the avoidance of fossil fuel combustion in the proposed project activity, the exhaust gas emissions and direct localised air pollution will be substantially reduced in the neighboring region. Air Pollution due to burning of agricultural residues on the fields will be reduced. Better quality employment creation: Besides providing direct employment to the local population in the operation of the boiler, the project activity also provides indirect employment to number of people in activities associated with biomass collection, processing, transportation, and operation of the boiler. The project activity also encourages biomass related agro industries in the area to be setup. As there is no discrimination, the project activity contributes to the removal of social disparities by providing employment to all strata of the social structure throughout the lifetime of the project. The proposed project activity will increase employment and entrepreneurs amongst the rural area where biomass is available in abundance. </t>
  </si>
  <si>
    <t>Further Information</t>
  </si>
  <si>
    <t xml:space="preserve">Applicability and Additionality </t>
  </si>
  <si>
    <t xml:space="preserve">Does the project involve renewable energy technologies that supply users i.e. residential, industrial or commercial facilities with thermal energy that displaces fossil fuel use?  </t>
  </si>
  <si>
    <t xml:space="preserve">Does the project involve biomass-based cogeneration and trigeneration systems? </t>
  </si>
  <si>
    <t xml:space="preserve">Select the applicable activities/emission reductions resulting from biomass cogeneration or trigeneration system. </t>
  </si>
  <si>
    <t xml:space="preserve">Do the project activities seek to retrofit or modify an existing facility for renewable energy generation? </t>
  </si>
  <si>
    <t xml:space="preserve">Do the project activities seek to retrofit or modify an existing facility to enhance the energy conversion efficiency? </t>
  </si>
  <si>
    <t xml:space="preserve">Do the project activities seek to retrofit or modify an existing facility for the purpose of fuel switch from fossil fuels to biomass in heat generation equipment? </t>
  </si>
  <si>
    <t xml:space="preserve">Does the project involve new facilities (Greenfield projects) and/or capacity additions? </t>
  </si>
  <si>
    <t xml:space="preserve">What is the total installed/rated thermal energy generation capacity of the project equipment? </t>
  </si>
  <si>
    <t>Number</t>
  </si>
  <si>
    <t xml:space="preserve">Do the project activities involve the use of solid biomass fuel (e.g., briquette)? </t>
  </si>
  <si>
    <t xml:space="preserve">Is the project participant not the producer of the processed solid biomass fuel? </t>
  </si>
  <si>
    <t xml:space="preserve">Is the electricity and/or thermal energy produced by the project activity delivered to a third party i.e. another facility or facilities within the project boundary? </t>
  </si>
  <si>
    <t xml:space="preserve">Do the project activities recover and utilize biogas for producing electricity and/or thermal energy and apply this methodology on a standalone basis, i.e., without using a Type III component of an SSC methodology? </t>
  </si>
  <si>
    <t>If project equipment contains refrigerants, does the refrigerant used in the project have no ozone depleting potential (ODP).</t>
  </si>
  <si>
    <t xml:space="preserve">Do the project activities involve charcoal-based biomass energy generation? </t>
  </si>
  <si>
    <t xml:space="preserve">Is the charcoal produced from renewable biomass sources? </t>
  </si>
  <si>
    <t xml:space="preserve">Is the charcoal produced in kilns equipped with methane recovery and destruction facility? </t>
  </si>
  <si>
    <t xml:space="preserve">Will the project activities utilize biomass and/or biomass residues? </t>
  </si>
  <si>
    <t>Applicability</t>
  </si>
  <si>
    <t>Auto-calculation</t>
  </si>
  <si>
    <t>Additionality</t>
  </si>
  <si>
    <t>Additional Requirements</t>
  </si>
  <si>
    <t xml:space="preserve">Baseline Emissions </t>
  </si>
  <si>
    <t xml:space="preserve">Do the project activities involve producing both electricity and thermal energy? </t>
  </si>
  <si>
    <t xml:space="preserve">Select the applicable baseline scenario. </t>
  </si>
  <si>
    <t>C. A combination of A and B.</t>
  </si>
  <si>
    <t xml:space="preserve">Will the project  activities be implemented in existing facilities? </t>
  </si>
  <si>
    <t xml:space="preserve">Does the existing facility have reliable operational data/information such as efficiency, energy consumption and output? </t>
  </si>
  <si>
    <t xml:space="preserve">Is the baseline scenario a cogeneration or trigeneration plant (e.g. using a steam turbine and steam generator that would have been built in the absence of the project activity)? </t>
  </si>
  <si>
    <t xml:space="preserve">Does the baseline scenario involve household or commercial applications/systems, whose maximum output capacity is less than 45 kW thermal and where it can be demonstrated that the metering of thermal energy output is not plausible? </t>
  </si>
  <si>
    <t xml:space="preserve">Do the project activities involve new renewable energy units? </t>
  </si>
  <si>
    <t>Baseline emissions for electricity produced in captive plants</t>
  </si>
  <si>
    <t>𝐸𝐺𝑐𝑎𝑝𝑡𝑒𝑙𝑒𝑐,𝑃𝐽,y</t>
  </si>
  <si>
    <t>Amount of electricity produced by the project activity during the year y (MWh)</t>
  </si>
  <si>
    <t>𝐸𝐹bl,ff,co2</t>
  </si>
  <si>
    <t>CO2 emission factor of the fossil fuel that would have been used in the baseline plant (t CO2/MWh)</t>
  </si>
  <si>
    <t xml:space="preserve">"Table. Default baseline efficiency values for different technologies" contains the defaults for the user's reference. </t>
  </si>
  <si>
    <t>Nbl,𝑐𝑎𝑝𝑡𝑖𝑣𝑒 𝑝𝑙𝑎𝑛t</t>
  </si>
  <si>
    <t xml:space="preserve">Efficiency of the plant using fossil fuel that would have been used in the absence of the project activity </t>
  </si>
  <si>
    <t xml:space="preserve">Depending on the questionnaire responses, this may be either a referenced parameter from tool 09, or a user input number guided by help text. See if/then logic in the schema type and help text cells. </t>
  </si>
  <si>
    <t>𝐵𝐸𝑐𝑎𝑝𝑡𝑒𝑙𝑒𝑐,y</t>
  </si>
  <si>
    <t>Baseline emissions from electricity displaced by the project activity during the year y (t CO2)</t>
  </si>
  <si>
    <t>Baseline emissions for supply of electricity to and/or displacement of electricity from a grid</t>
  </si>
  <si>
    <t>𝐸𝐺𝑔𝑟𝑖𝑑,y</t>
  </si>
  <si>
    <t>Amount of grid electricity displaced by project in year y (MWh)</t>
  </si>
  <si>
    <t>𝐸𝐹𝑔𝑟𝑖𝑑,y</t>
  </si>
  <si>
    <t>Emission factor of the grid (t CO2e/MWh)</t>
  </si>
  <si>
    <t>𝐵𝐸𝑔𝑟𝑖𝑑,y</t>
  </si>
  <si>
    <t>Baseline emissions for supply of electricity to and/or displacement of electricity from a grid (t CO2)</t>
  </si>
  <si>
    <t>Baseline emissions from thermal energy displaced by the project activity</t>
  </si>
  <si>
    <t>𝐸𝐺𝑡ℎ𝑒𝑟𝑚𝑎𝑙,y</t>
  </si>
  <si>
    <t>Net quantity of thermal energy supplied by the project activity during the year y (TJ)</t>
  </si>
  <si>
    <t>𝐸𝐹ff,co2</t>
  </si>
  <si>
    <t>CO2 emission factor of the fossil fuel that would have been used in the baseline plant obtained from reliable local or national data if available, alternatively, IPCC default emission factors can be used (t CO2/TJ)</t>
  </si>
  <si>
    <t>Nbl,𝑡ℎ𝑒𝑟𝑚𝑎l</t>
  </si>
  <si>
    <t>Efficiency of the plant using fossil fuel that would have been used in the absence of the project activity</t>
  </si>
  <si>
    <t xml:space="preserve">Depending on the questionnaire responses, this may be either a referenced parameter from tool 09, or a user input number guided by help text.   See if/then logic in the schema type and help text cells. </t>
  </si>
  <si>
    <t>𝐵𝐸𝑡ℎ𝑒𝑟𝑚𝑎𝑙,𝐶𝑜2,y</t>
  </si>
  <si>
    <t>Baseline emissions from thermal energy displaced by the project activity during the year y (t CO2)</t>
  </si>
  <si>
    <t>Baseline emissions from electricity and thermal energy displaced by the project activity</t>
  </si>
  <si>
    <t>𝐸𝐺pj,𝑒𝑙𝑒𝑐𝑡𝑟𝑖𝑐𝑎𝑙,y</t>
  </si>
  <si>
    <t>Amount of electricity supplied by the project activity during the year y; (GWh)</t>
  </si>
  <si>
    <t>𝐸𝐺pj,tℎ𝑒𝑟𝑚𝑎𝑙,y</t>
  </si>
  <si>
    <t>CO2 emission factor of the fossil fuel that would have been used in the baseline cogeneration plant obtained from reliable local or national data if available, alternatively, IPCC default emission factors can be used (t CO2/TJ)</t>
  </si>
  <si>
    <t xml:space="preserve">Nbl,𝑐𝑜𝑔𝑒𝑛/𝑡𝑟𝑖𝑔𝑒𝑛 </t>
  </si>
  <si>
    <t xml:space="preserve">Total annual average efficiency of the cogeneration or trigeneration plant using fossil fuel </t>
  </si>
  <si>
    <t>𝐵𝐸𝑐𝑜𝑔𝑒𝑛/𝑡𝑟𝑖𝑔𝑒𝑛,𝐶𝑂2,y</t>
  </si>
  <si>
    <t>Baseline emissions from electricity and thermal energy displaced by the project activity (t CO2)</t>
  </si>
  <si>
    <t>Baseline emissions for co-fired systems</t>
  </si>
  <si>
    <t>𝐸𝐺𝑐𝑜𝑓𝑖𝑟𝑒,𝑃𝐽,y</t>
  </si>
  <si>
    <t>Net quantity of energy (electricity/thermal) supplied by the project activity during the year y (TJ)</t>
  </si>
  <si>
    <t>𝐸𝐹𝑐𝑜𝑓𝑖𝑟𝑒,𝐶𝑂2</t>
  </si>
  <si>
    <t>CO2 emission factor of the baseline co-fired plant established using three years’ average historical data (t CO2/TJ)</t>
  </si>
  <si>
    <t>Nbl,𝑐𝑜𝑓𝑖𝑟e</t>
  </si>
  <si>
    <t xml:space="preserve">Efficiency of the co-fired plant that would have been used in the absence of the project activity </t>
  </si>
  <si>
    <t>𝐵𝐸𝑐𝑜𝑓𝑖𝑟𝑒,co2,y</t>
  </si>
  <si>
    <t>Baseline emissions from thermal and/or electrical energy displaced by the project activity during the year y (t CO2e)</t>
  </si>
  <si>
    <t>Baseline emissions for trigeneration systems</t>
  </si>
  <si>
    <t>Baseline emissions associated with the grid electricity displaced by the project in year y (t CO2e)</t>
  </si>
  <si>
    <t xml:space="preserve">Chiller Name </t>
  </si>
  <si>
    <t>Chiller 1</t>
  </si>
  <si>
    <t>𝐶𝑂𝑃𝑐,i</t>
  </si>
  <si>
    <t>Coefficient of Performance (COP) of the baseline scenario chiller(s) i (MWhth/MWhe). The COP  estimated as ‘cooling output divided by electricity input’</t>
  </si>
  <si>
    <t xml:space="preserve">Depending on the questionnaire responses, this may be either a referenced parameter from tool 09, or a user input number guided by help text.  See if/then logic in the schema type and help text cells. </t>
  </si>
  <si>
    <t>𝐶𝑃,𝑖,y</t>
  </si>
  <si>
    <t>Cooling output of baseline scenario chiller(s) i in year y (MWhth)</t>
  </si>
  <si>
    <t>𝐶𝑃,𝑖,y [Supporting Doc]</t>
  </si>
  <si>
    <t>Provide the supporting documentation for equation 8  [Cooling output of baseline scenario chiller(s) i in year y (MWhth)]</t>
  </si>
  <si>
    <t>Document upload</t>
  </si>
  <si>
    <t xml:space="preserve">[Click to add chiller] </t>
  </si>
  <si>
    <t>Chiller 2</t>
  </si>
  <si>
    <t>Only required if the user clicks to add chiller</t>
  </si>
  <si>
    <t xml:space="preserve">Only required if the user clicks to add chiller. Depending on the questionnaire responses, this may be either a referenced parameter from tool 09, or a user input number guided by help text.   See if/then logic in the schema type and help text cells. </t>
  </si>
  <si>
    <t>𝐵Ebc,y</t>
  </si>
  <si>
    <t>Baseline emissions associated with the cooling (e.g. chilled water) produced in year y (t CO2e)</t>
  </si>
  <si>
    <t>Plus (CP,i,y/COPi,i) for each chiller added</t>
  </si>
  <si>
    <t>𝐵𝐸bh,y</t>
  </si>
  <si>
    <t>Baseline emissions associated with the heat (e.g. steam or hot water) produced in year y (t CO2e)</t>
  </si>
  <si>
    <t xml:space="preserve">𝐵𝐸bh,y [Supporting Doc] </t>
  </si>
  <si>
    <t xml:space="preserve">Provide the supporting documentation for equation 9  [Baseline emissions associated with the heat (t CO2e)] </t>
  </si>
  <si>
    <t>BEy</t>
  </si>
  <si>
    <t xml:space="preserve">Baseline emissions </t>
  </si>
  <si>
    <t>Baseline emissions for project activities involving new renewable energy units</t>
  </si>
  <si>
    <t xml:space="preserve">Do the project activities involve the addition of renewable energy units at an existing renewable energy production facility, where the existing and new units share the use of common and limited renewable resources (e.g. biomass residues)? </t>
  </si>
  <si>
    <t xml:space="preserve">Select One </t>
  </si>
  <si>
    <t xml:space="preserve">Do the project activities involve the addition of new energy production units (e.g. turbines) at an existing facility? </t>
  </si>
  <si>
    <t xml:space="preserve">Will the existing units be shut down, be derated, or otherwise become limited in production under the project scenario? </t>
  </si>
  <si>
    <t xml:space="preserve">Will the existing units be subject to modifications or retrofits that increase production? </t>
  </si>
  <si>
    <t>𝐸𝐺𝑡ℎ𝑒𝑟𝑚𝑎𝑙,𝑃𝐽,y</t>
  </si>
  <si>
    <t>Total actual thermal energy produced in year y by all units, existing and new project units (TJ)</t>
  </si>
  <si>
    <t xml:space="preserve">Number </t>
  </si>
  <si>
    <t>𝐸𝐺𝑡ℎ𝑒𝑟𝑚𝑎𝑙,𝑎𝑐𝑡𝑢𝑎𝑙,y</t>
  </si>
  <si>
    <t>Actual, measured thermal energy production of the existing units in year y (TJ)</t>
  </si>
  <si>
    <t>𝐸𝐺𝑡ℎ𝑒𝑟𝑚𝑎𝑙,𝑒𝑠𝑡𝑖𝑚𝑎𝑡𝑒𝑑,y</t>
  </si>
  <si>
    <t>Estimated thermal energy that would have been produced by the existing units under the observed availability of the renewable resource for year y (TJ)</t>
  </si>
  <si>
    <t>𝐸𝐺𝑡ℎ𝑒𝑟𝑚𝑎𝑙,𝑜𝑙𝑑,y</t>
  </si>
  <si>
    <t>Estimated thermal energy that would have been produced by existing units (installed before the project activity) in year y in the absence of the project activity (TJ)</t>
  </si>
  <si>
    <t>Auto-calculate</t>
  </si>
  <si>
    <t>𝐸𝐺𝑡ℎ𝑒𝑟𝑚𝑎𝑙,𝑎𝑑𝑑,y</t>
  </si>
  <si>
    <t>Net increase in thermal energy generation at existing plant in year y that should be considered as energy baseline (EGBL) (TJ)</t>
  </si>
  <si>
    <t>Baseline emissions for retrofit project activities</t>
  </si>
  <si>
    <t>𝐸𝐺hy,𝑡ℎ𝑒𝑟𝑚𝑎𝑙,𝑟𝑒𝑡𝑟𝑜𝑓𝑖𝑡,y</t>
  </si>
  <si>
    <t>Average of historical thermal energy levels delivered by the existing facility, spanning all data from the most recent available year (or month, week or other time period) to the time at which the facility was constructed, retrofitted, or modified in a manner that significantly affected output (i.e. by five per cent or more) (TJ)</t>
  </si>
  <si>
    <t>𝐸𝐺𝑒𝑠𝑡𝑖𝑚𝑎𝑡𝑒𝑑,𝑡ℎ𝑒𝑟𝑚𝑎𝑙,y</t>
  </si>
  <si>
    <t>Estimated thermal energy that would have been produced by the existing units under the observed availability of renewable resources in year y (TJ)</t>
  </si>
  <si>
    <t>𝐷𝐴𝑇𝐸𝐵𝑎𝑠𝑒𝑙𝑖𝑛𝑒𝑅𝑒𝑡𝑟𝑜𝑓𝑖t</t>
  </si>
  <si>
    <t>Date at which the existing generation facility is likely to be replaced or retrofitted in the absence of the CDM project activity</t>
  </si>
  <si>
    <t xml:space="preserve">Date </t>
  </si>
  <si>
    <t xml:space="preserve">𝐸𝐺𝐵𝐿,𝑡ℎ𝑒𝑟𝑚𝑎𝑙,𝑟𝑒𝑡𝑟𝑜𝑓𝑖𝑡,𝑦 </t>
  </si>
  <si>
    <t>Thermal energy production by an existing facility in the absence of the project activity in year y (TJ)</t>
  </si>
  <si>
    <t>In the absence of the CDM project activity, the existing facility would continue to provide thermal energy EGBL,thermal,retrofit,y at historical average levels EGHY,thermal,retrofit,y, until the time at which the thermal energy facility would be likely to be replaced or retrofitted in the absence of the CDM project activity (DATEBaselineRetrofit). From that point of time onwards, the baseline scenario is assumed to correspond to the project activity, and baseline thermal energy production is assumed to equal project thermal energy production and no emission reductions are assumed to occur.</t>
  </si>
  <si>
    <t>𝐸𝐺𝑡ℎ𝑒𝑟𝑚𝑎𝑙,𝑟𝑒𝑡𝑟𝑜𝑓𝑖𝑡,y</t>
  </si>
  <si>
    <t>Thermal energy supplied by the project activity (after retrofit) in year y (TJ)</t>
  </si>
  <si>
    <t>𝐸𝐹ff,𝐶𝑂2</t>
  </si>
  <si>
    <t>CO2 emission factor of the fossil fuel that would have been used in the baseline plant to generate the incremental energy obtained from reliable local or national data if available, alternatively, IPCC default emission factors can be used (t CO2/TJ)</t>
  </si>
  <si>
    <t>𝐵𝐸𝑟𝑒𝑡𝑟𝑜𝑓𝑖𝑡,𝐶𝑂2,y</t>
  </si>
  <si>
    <t>Baseline emissions from the incremental thermal energy supplied due to retrofit (t CO2)</t>
  </si>
  <si>
    <t>Baseline emissions for project activities with capacity less than 45 kW thermal</t>
  </si>
  <si>
    <t>𝐵𝑏𝑖𝑜𝑚𝑎𝑠𝑠,𝑃𝐽,y</t>
  </si>
  <si>
    <t>Net quantity of the biomass consumed in year y (tonnes)</t>
  </si>
  <si>
    <t>𝑁𝐶𝑉𝑏𝑖𝑜𝑚𝑎𝑠s</t>
  </si>
  <si>
    <t>Net calorific value of the biomass (TJ/tonnes)</t>
  </si>
  <si>
    <t>Npj</t>
  </si>
  <si>
    <t xml:space="preserve">Efficiency of the project equipment </t>
  </si>
  <si>
    <t>𝐻𝐺𝑃𝐽,y</t>
  </si>
  <si>
    <t>Net quantity of thermal energy supplied by the project activity using renewable biomass during the year y (TJ)</t>
  </si>
  <si>
    <t>Nbl</t>
  </si>
  <si>
    <t xml:space="preserve">Efficiency of the baseline equipment being replaced </t>
  </si>
  <si>
    <t>CO2 emission factor of the fossil fuel that would have been used in the baseline (t CO2/TJ)</t>
  </si>
  <si>
    <t>𝐵𝐸y</t>
  </si>
  <si>
    <t>Baseline emissions from thermal energy displaced by the project activity using renewable biomass during the year y (t CO2)</t>
  </si>
  <si>
    <t>Ex ante estimations</t>
  </si>
  <si>
    <t xml:space="preserve">Explain the quantities and types of biomass and the biomass to fossil fuel ratio (in the case of cofired systems) to be used during the crediting period. </t>
  </si>
  <si>
    <t xml:space="preserve">Document the quantities and types of biomass and the biomass to fossil fuel ratio (in the case of cofired systems) to be used during the crediting period. </t>
  </si>
  <si>
    <t>Project emissions</t>
  </si>
  <si>
    <t xml:space="preserve">Will the project activities involve thermal energy? </t>
  </si>
  <si>
    <t xml:space="preserve">Will the project activities involve trigeneration systems or otherwise use refrigerants? </t>
  </si>
  <si>
    <t>Emissions from fuel combustion</t>
  </si>
  <si>
    <t>𝑃𝐸ff,y</t>
  </si>
  <si>
    <t>Project emissions from fossil fuel consumption during the year y (t CO2)</t>
  </si>
  <si>
    <t>Referenced Parameter</t>
  </si>
  <si>
    <t>Emissions from electricity consumption</t>
  </si>
  <si>
    <t>𝑃𝐸e𝑐,y</t>
  </si>
  <si>
    <t>Project emissions from electricity consumption during the year y (t CO2)</t>
  </si>
  <si>
    <t>Emissions from geothermal project activities</t>
  </si>
  <si>
    <t xml:space="preserve">Do the project activities involve fugitive emissions of carbon dioxide and methane due to release of non-condensable gases from produced steam? </t>
  </si>
  <si>
    <t>Do the project activities involve carbon dioxide emissions resulting from combustion of fossil fuels related to the operation of the geothermal power plant</t>
  </si>
  <si>
    <t>𝑤𝑀𝑎𝑖𝑛,co2</t>
  </si>
  <si>
    <t>Average mass fraction of carbon dioxide in the produced steam (nondimensional)</t>
  </si>
  <si>
    <t>𝑤𝑀𝑎𝑖𝑛,ch4</t>
  </si>
  <si>
    <t>Average mass fraction of methane in the produced steam (nondimensional)</t>
  </si>
  <si>
    <t>𝐺𝑊𝑃ch4</t>
  </si>
  <si>
    <t>Global warming potential of methane valid for the relevant commitment period (t CO2e/t CH4)</t>
  </si>
  <si>
    <t>𝑀𝑠,y</t>
  </si>
  <si>
    <t>Quantity of steam produced during the year y (tonnes)</t>
  </si>
  <si>
    <t>𝑃𝐸𝑠,y</t>
  </si>
  <si>
    <t>Project emissions of carbon dioxide and methane due to the release of non-condensable gases from the steam produced in the geothermal power plant in year y (t CO2)</t>
  </si>
  <si>
    <t xml:space="preserve">Process Name </t>
  </si>
  <si>
    <t>Process 1</t>
  </si>
  <si>
    <t>𝑃𝐸𝐹𝐶,𝑗,y</t>
  </si>
  <si>
    <t xml:space="preserve">CO2 emissions from fossil fuel combustion in process j during the year y (t CO2) </t>
  </si>
  <si>
    <t>Project emissions from combustion of fossil fuels related to the operation of the geothermal power plant in year y (t CO2)</t>
  </si>
  <si>
    <t>[Click to add Process]</t>
  </si>
  <si>
    <t>Process 2</t>
  </si>
  <si>
    <t>Only required if the user clicks to add process</t>
  </si>
  <si>
    <t>𝑃𝐸𝐺𝑒𝑜,y</t>
  </si>
  <si>
    <t>Project emissions from a geothermal project activity in year y (t CO2)</t>
  </si>
  <si>
    <t>𝑃𝐸𝑠,y plus the sum of PEff,y for all processes added</t>
  </si>
  <si>
    <t>Project emissions from use of refrigerant</t>
  </si>
  <si>
    <t xml:space="preserve">Is this the first year of the monitoring period? </t>
  </si>
  <si>
    <t>Please select which option you will use for determining the quantity of refrigerant used in year y to replace refrigerant that has leaked in year y (tonnes)</t>
  </si>
  <si>
    <t>Option B</t>
  </si>
  <si>
    <t>The monitored quantity of refrigerant used for top-up to compensate for the leaked quantity during the year y</t>
  </si>
  <si>
    <t>The typical refrigerant leakage rate for the type of cooling equipment</t>
  </si>
  <si>
    <t>𝑄𝑟𝑒𝑓,pj,𝑠𝑡𝑎𝑟t</t>
  </si>
  <si>
    <t>Quantity of refrigerant charge in new cooling equipment at its start of operation (tonnes)</t>
  </si>
  <si>
    <t>𝑄𝑟𝑒𝑓,pj,y</t>
  </si>
  <si>
    <t>Quantity of refrigerant used in year y to replace refrigerant that has leaked in year y (tonnes)</t>
  </si>
  <si>
    <t>𝐺𝑊𝑃𝑟𝑒𝑓,pj</t>
  </si>
  <si>
    <t>Global warming potential of the refrigerant that is used in new cooling equipment (t CO2e/t refrigerant)</t>
  </si>
  <si>
    <t>𝑃𝐸𝑟𝑒𝑓,1</t>
  </si>
  <si>
    <t>Project emissions from physical leakage of refrigerant from new cooling equipment in year y (t CO2e)</t>
  </si>
  <si>
    <t>𝑃𝐸𝑟𝑒𝑓,y</t>
  </si>
  <si>
    <t>Project emissions from use of refrigerant in project activity in year y (t CO2)</t>
  </si>
  <si>
    <t>Project emissions associated with biomass and biomass residues</t>
  </si>
  <si>
    <t>𝑃𝐸biomass,y</t>
  </si>
  <si>
    <t>Project emissions associated with biomass and biomass residues in year y (t CO2e)</t>
  </si>
  <si>
    <t xml:space="preserve">Leakage </t>
  </si>
  <si>
    <t xml:space="preserve">Will energy generating equipment currently being utilized be transferred from outside the boundary to the project activity? </t>
  </si>
  <si>
    <t xml:space="preserve">Will refrigerants that are a greenhouse gas as defined in annex A of the Kyoto Protocol or in paragraph 1 of the Convention be displaced and not destroyed?  </t>
  </si>
  <si>
    <t>Leakage emissions from energy generating equipment currently being utilized being transferred from outside the boundary to the project activity in year y (t CO2)</t>
  </si>
  <si>
    <t>Leakage emissions from refrigerant storage or usage in equipment in year y (t CO2)</t>
  </si>
  <si>
    <t>LEbiomass,y</t>
  </si>
  <si>
    <t>Leakage Emissions (LE) from Biomass</t>
  </si>
  <si>
    <t xml:space="preserve">Justify the omission of leakage emissions due to shift of pre-project activities resulting from cultivation of biomass in a dedicated plantation (LEbc,y). </t>
  </si>
  <si>
    <t xml:space="preserve">Justify the omission of leakage emissions due to diversion of biomass residues from other
applications (LEbr,div,y). </t>
  </si>
  <si>
    <t xml:space="preserve">Justify the omission of leakage emissions due to the transportation of biomass residues outside
of the project boundary (LEbrt,y).  </t>
  </si>
  <si>
    <t xml:space="preserve">Justify the omission of leakage emissions due to  processing of biomass residues outside the
project boundary (LEbrp,y).  </t>
  </si>
  <si>
    <t xml:space="preserve">Emission Reductions </t>
  </si>
  <si>
    <t>ImpactClaimCheckpoint.efBefore</t>
  </si>
  <si>
    <t>Baseline emissions in year y (t CO2e)</t>
  </si>
  <si>
    <t>ImpactClaimCheckpoint.efAfter</t>
  </si>
  <si>
    <t>𝑃𝐸y</t>
  </si>
  <si>
    <t>Project emissions from the project activity during the year y (t CO2)</t>
  </si>
  <si>
    <t>LEy</t>
  </si>
  <si>
    <t>Emission reductions in year y (t CO2e)</t>
  </si>
  <si>
    <t>ImpactClaim.quantity</t>
  </si>
  <si>
    <t>𝐸𝑅y</t>
  </si>
  <si>
    <t>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t>
  </si>
  <si>
    <t xml:space="preserve">Help Text: In the case of an existing baseline cogeneration or trigeneration plant, the efficiency shall be calculated as the total annual energy produced using the historical data or a performance test/measurement campaign as prescribed below (total electricity generated and total thermal energy extracted divided by the thermal energy value of the fuel use). Baseline calculations shall be based on operational data on energy use (e.g. electricity, fossil fuel) and plant output (e.g. thermal and/or electrical energy) using: a. Most recent three years’ operational data immediately prior to the start date of the project activity in case of existing facilities which have more than three years of operation history; b. A minimum of most recent one-year data in case of existing facilities which have more than three years of operation history but do not have three years’ operational data. In the case where multiple chillers exist, average performance data shall be used in a conservative manner with consideration of the historic output and power consumption of each chiller. </t>
  </si>
  <si>
    <t>Help Text: In the case of a Greenfield project cogeneration or trigeneration plant where the baseline is a cogeneration or trigeneration plant (e.g. using a steam turbine and steam generator that would have been built in the absence of the project activity), the total annual average efficiency of the cogeneration or trigeneration plant using fossil fuel shall be defined as the ratio of thermal energy and electricity produced to total thermal energy value of the fuel use. This ratio shall be determined using one of the two following options (in preferential order):
(a) Calculated as a single value with consideration of the following: (i) Step 1: a. The total annual average efficiency of the cogeneration or trigeneration plant using fossil fuel is determined using documented efficiency specification for new steam turbines and steam generators provided by two or more manufacturers for each type of such equipment within in the region; b. Efficiency values for the steam turbine(s) and steam generator(s) shall be based on turbines and steam generators with specifications nearly equivalent to baseline units that would have been utilized in the absence of the project activity; c. The efficiency values utilized shall be the highest individual efficiency values (over the full range of expected operating conditions of the baseline cogeneration or trigeneration system) that can be achieved by the steam turbine(s) and steam generator(s). (ii) Step 2: a. The total annual average efficiency of the cogeneration or trigeneration plant using fossil fuel is then calculated as the product of the highest efficiency value for the steam turbine(s) and the highest efficiency value of the steam generator(s), assuming both efficiencies are in the form of a percentage of output per input. 
(b) Calculated as a single value with consideration of the following: (i) Step 1: a. A default steam turbine efficiency of 100 per cent; b. Default steam generator efficiency determined using the values provided in appendix (see Table. Default baseline efficiency values for different technologies); (ii) Step 2: a. The total annual average efficiency of the cogeneration or trigeneration plant using fossil fuel is then calculated as the product of the efficiency value for the steam turbine(s) and the efficiency value of the steam generator(s), assuming both efficiencies are in the form of a percentage of output per input.</t>
  </si>
  <si>
    <t>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t>
  </si>
  <si>
    <t>Help Text: For household or commercial applications/systems, whose maximum output capacity is less than 45 kW thermal and where it can be demonstrated that the metering of thermal energy output is not plausible, as in the case of cooking stoves, gasifiers, driers, water heaters etc., efficiency of the baseline units shall be determined by adopting one of the following criteria: (a) Highest measured operational efficiency over the full range of operating conditions of a representative sample of units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Highest efficiency from referenced literature values or default efficiency of 100 per cent.</t>
  </si>
  <si>
    <t xml:space="preserve">Help Text: If the baseline scenario is a chiller or chillers that would have been built (i.e. not existing chillers), the COP shall be determined as the highest COP full load performance value provided by two or more manufacturers for chillers commonly sold in the project country for the indicated commercial application. </t>
  </si>
  <si>
    <t>Help Text: The potential for the project activity to reduce the amount of renewable resource available to, and thus thermal energy production by, existing units must be considered in the determination of baseline emissions, project emissions, and/or leakage, as relevant.</t>
  </si>
  <si>
    <t>Help Text: If the existing units shut down are derated, or otherwise become limited in production, the project activity should not get credit for generating thermal energy from the same renewable resources that would have otherwise been used by the existing units (or their replacements). Therefore, the equation for EGthermal,old,y still holds, and the value for EGthermal,estimated,y should continue to be estimated assuming the capacity and operating parameters are the same as that at the time of the start of the project activity.</t>
  </si>
  <si>
    <t>Help Text: If the existing units are subject to modifications or retrofits that increase production, then EGthermal,old,y can be estimated using the procedures described for EGBL,thermal,retrofit,y below.</t>
  </si>
  <si>
    <t>Help Text: For project activities that seek to retrofit or modify an existing facility for the purpose of fuel switch from fossil fuels to biomass in heat generation equipment, the baseline emissions shall be calculated as per equation 3.</t>
  </si>
  <si>
    <t>Help Text: Thermal energy generation capacity shall be manufacturer’s rated thermal energy output, or if that rating is not available the capacity shall be determined by taking the difference between enthalpy of total output (for example steam or hot air or chilled water in kcal/kg or kcal/m3 ) leaving the project equipment and the total enthalpy of input (for example feed water or air in kcal/kg or kcal/m3 ) entering the project equipment. For boilers, condensate return (if any) must be incorporated into enthalpy of the feed. 
A conversion factor of 1:3 shall be used for converting electrical energy to thermal energy. 
For co-fired systems, use the total installed thermal energy generation capacity of the project equipment, when using both fossil and renewable fuel.
For biomass cogeneration and trigeneration units, if the emission reductions of the project activity are on account of thermal and electrical energy production, use the total installed thermal and electrical energy generation capacity of the project equipment.
For biomass cogeneration and trigeneration units, if the emission reductions of the project activity are solely on account of electrical energy production (i.e. no emission reductions accrue from the thermal energy component), the total installed electrical energy generation capacity of the project equipment shall be converted to thermal energy based on a 1:3 ratio (i.e., electrical capacity multiplied by 3). 
Project activities that involve the addition of renewable energy units at an existing renewable energy facility, the total capacity of the units added by the project shall comply with capacity limits specified above, and shall be physically distinct from the existing units.</t>
  </si>
  <si>
    <t>Additional requirements from “General guidelines for SSC CDM methodologies” for Type-II and Type-III Greenfield/capacity expansion project activities apply.</t>
  </si>
  <si>
    <t>It shall be demonstrated that biomass has been produced using solely renewable biomass and all project or leakage emissions associated with its production shall be taken into account in the emissions reduction calculation.</t>
  </si>
  <si>
    <t>The project participant and the producer shall be bound by a contract that shall enable the project participant to monitor the source of the renewable biomass to account for any emissions associated with solid biomass fuel production. The contract shall also ensure that there is no double-counting of emission reductions.</t>
  </si>
  <si>
    <t>A contract between the supplier and consumer(s) of the energy will have to be entered into that ensures there is no double-counting of emission reductions.</t>
  </si>
  <si>
    <t>Any incremental emissions occurring due to the implementation of the project activity (e.g. physical leakage of the anaerobic digester, emissions due to inefficiency of the flaring), shall be taken into account either as project or leakage emissions as per relevant procedures in the tool “Emissions from solid waste disposal sites” and/or “Project emissions from flaring”. In the event that the biomass fuel (solid/liquid/gas) is sourced from an existing CDM project, then the emissions associated with the production of the fuel shall be accounted with that project.</t>
  </si>
  <si>
    <t>Methane emissions from the production of charcoal shall be considered. These emissions shall be calculated as per the procedures defined in the approved methodology “AMS-III.K.: Avoidance of methane release from charcoal production by shifting from traditional open-ended methods to mechanized charcoaling process”. Alternatively, conservative emission factor values from peer reviewed literature or from a registered CDM project activity can be used, provided that it can be demonstrated that the parameters from these are comparable e.g. source of biomass, characteristics of biomass such as moisture carbon content, type of kiln, operating conditions such as ambient temperature.</t>
  </si>
  <si>
    <t>The “TOOL16: Project and leakage emissions from biomass” shall be applied to determine the relevant project emissions from the cultivation of biomass and the utilization of biomass or biomass residues.</t>
  </si>
  <si>
    <t xml:space="preserve">Help Text: Scenario (g) applies to a project activity that installs a new grid connected biomass cogeneration or trigeneration system that produces surplus electricity and this surplus electricity is exported to a grid.
Scenario (i) applies to a project activity that installs a new biomass cogeneration or trigeneration system that displaces electricity which otherwise would have been imported from a grid.
</t>
  </si>
  <si>
    <t xml:space="preserve">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The emission factor of the grid shall be calculated as per the procedures detailed in AMS-I.D. or AMS-I.F. 
For new facilities, the most conservative (lowest) emission factor of the two power sources (captive power plant and grid) should be used. </t>
  </si>
  <si>
    <t>Help Text: Baseline emissions shall be determined based on three years’ average historical data on the relative share of fossil fuel and biomass in the baseline fuel mix. The relative share is determined based on the energy content of each fuel.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new facilities, the most conservative (lowest) emission factor of the two power sources (captive power plant and grid) should be used. 
In the case where more than one fossil fuel is used by the co-fired plant, the weighted average emission factor (in energy basis) among the identified fossil fuels shall be used.</t>
  </si>
  <si>
    <t>Help Text: In order to estimate the point in time when the existing equipment would need to be replaced in the absence of the project activity (DATEBaselineRetrofit), project participants may follow the procedures described in the “General guidelines for SSC CDM methodologies”.</t>
  </si>
  <si>
    <t>Help Text: The requirements concerning demonstration of the remaining lifetime of the replaced equipment shall be met as described in the “General guidelines for SSC CDM methodologies”. If the remaining lifetime of the affected systems increases due to the project activity, the crediting period shall be limited to the estimated remaining lifetime, i.e. the time when the affected systems would have been replaced in the absence of the project activity.</t>
  </si>
  <si>
    <t>Help Text: Measured using representative sampling methods or based on referenced literature values. The efficiency tests shall be conducted following the guidance provided in the relevant national/international standards.</t>
  </si>
  <si>
    <t>Help Text: Enter the sum of all hours in year y.</t>
  </si>
  <si>
    <t xml:space="preserve">Help Text: Fossil fuels required for the operation of equipment related to the on-site or off-site preparation, storage, processing and transporting of fuels and biomass (e.g. for mechanical treatment of the biomass, conveyor belts, driers, pelletization, shredding, briquetting processes, etc.) shall be treated under PEbiomass,y. </t>
  </si>
  <si>
    <t xml:space="preserve">Help Text: Electricity required for the operation of equipment related to the on-site or off-site preparation, storage, processing and transportation of fuels and biomass (e.g. for mechanical treatment of the biomass, conveyor belts, driers, pelletization, shredding, briquetting processes, etc.) shall be treated under PEbiomass,y. </t>
  </si>
  <si>
    <t>Help Text: Option A: using the higher of the two quantities below: (i) The monitored quantity of refrigerant used for top-up to compensate for the leaked quantity during the year y; or (ii)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 
Option B: use a default value of 35 per cent of the initial refrigerant charge, i.e. Qref,PJ,y = 0.35 x Qref,PJ,start.</t>
  </si>
  <si>
    <t>Help Text: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t>
  </si>
  <si>
    <t>Help Text: The global warming potentials used to calculate the carbon dioxide equivalence of anthropogenic emissions by sources of greenhouse gases not listed in annex A of the Kyoto Protocol, shall be those accepted by the Intergovernmental Panel on Climate Change in its third assessment report.</t>
  </si>
  <si>
    <t xml:space="preserve">Help Text: Calculate the cooling output of baseline scenario chiller(s) i in year y (MWhth) using equation 8 in the methodology and enter here.  </t>
  </si>
  <si>
    <t xml:space="preserve">Help Text: Calculate the baseline emissions associated with the heat (e.g. steam or hot water) produced in year y (t CO2e) using on equation 9 in the methodology and enter here. </t>
  </si>
  <si>
    <t>Baseline scenarios for project activities producing both electricity and thermal energy</t>
  </si>
  <si>
    <t xml:space="preserve">Scale </t>
  </si>
  <si>
    <t>(a) Electricity supply to a grid</t>
  </si>
  <si>
    <t>A. Electricity is imported from a grid and thermal energy is produced using fossil fuel.</t>
  </si>
  <si>
    <t>Option A</t>
  </si>
  <si>
    <t>Micro</t>
  </si>
  <si>
    <t>(b) Electricity and/or thermal energy production for on-site consumption or for consumption by other facilities</t>
  </si>
  <si>
    <t>B. Electricity is produced in an on-site captive power plant using fossil fuel (with a possibility of export to the grid) and thermal energy is produced using fossil fuel.</t>
  </si>
  <si>
    <t>Combination of (a) and (b)</t>
  </si>
  <si>
    <t>Large</t>
  </si>
  <si>
    <t>D. Electricity and thermal energy are produced in a cogeneration or trigeneration unit using fossil fuel (with a possibility of export of electricity to a grid/other facilities and/or thermal energy to other facilities).</t>
  </si>
  <si>
    <t>E. Electricity is imported from a grid and/or produced in an on-site captive power plant using fossil fuels (with a possibility of export to the grid); thermal energy is produced using biomass.</t>
  </si>
  <si>
    <t>F. Electricity is produced in an on-site captive power plant using biomass (with a possibility of export to a grid) and/or imported from a grid; thermal energy is produced using fossil fuel.</t>
  </si>
  <si>
    <t>G. Electricity and thermal energy are produced in a biomass fired cogeneration or trigeneration unit (without a possibility of export of electricity either to a grid or to other facilities and without a possibility of export of thermal energy to other facilities).</t>
  </si>
  <si>
    <t xml:space="preserve">H. Electricity and/or thermal energy produced in a co-fired system. </t>
  </si>
  <si>
    <t>I. Electricity is imported from a grid and/or produced in a biomass fired cogeneration or trigeneration unit (without a possibility of export of electricity either to the grid or to other facilities); thermal energy is produced in a biomass fired cogeneration or trigeneration unit and/or a biomass fired boiler (without a possibility of export of thermal energy to other facilities).</t>
  </si>
  <si>
    <t>J. Electricity is imported from a grid and/or produced in an on-site captive power plant using fossil fuel and thermal energy is produced using electricity.</t>
  </si>
  <si>
    <t>Required Field</t>
  </si>
  <si>
    <t>Multiple Answers</t>
  </si>
  <si>
    <t>Question</t>
  </si>
  <si>
    <t>Answer</t>
  </si>
  <si>
    <t>Notes</t>
  </si>
  <si>
    <t>TOOL 01: For the demonstration and assessment of additionality</t>
  </si>
  <si>
    <t>no</t>
  </si>
  <si>
    <t xml:space="preserve">if/then </t>
  </si>
  <si>
    <t xml:space="preserve">Step 0 : First-of-its-kind project activities </t>
  </si>
  <si>
    <t xml:space="preserve">Is the proposed project activity the first-of-its-kind? </t>
  </si>
  <si>
    <t>If Yes: Project is Additional
If No: Move to Step 1</t>
  </si>
  <si>
    <t>yes</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</si>
  <si>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</si>
  <si>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</si>
  <si>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</si>
  <si>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</si>
  <si>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</si>
  <si>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</si>
  <si>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</si>
  <si>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</si>
  <si>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</si>
  <si>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</si>
  <si>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</si>
  <si>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</si>
  <si>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</si>
  <si>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</si>
  <si>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</si>
  <si>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</si>
  <si>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</si>
  <si>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 xml:space="preserve">Tool 03: Tool to calculate project or leakage CO2 emissions from fossil fuel combustion </t>
  </si>
  <si>
    <t>Auto-Calculated</t>
  </si>
  <si>
    <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</si>
  <si>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</si>
  <si>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</si>
  <si>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</si>
  <si>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</si>
  <si>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</si>
  <si>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</si>
  <si>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</si>
  <si>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</si>
  <si>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</si>
  <si>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</si>
  <si>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</si>
  <si>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</si>
  <si>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</si>
  <si>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</si>
  <si>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</si>
  <si>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</si>
  <si>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</si>
  <si>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</si>
  <si>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</si>
  <si>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</si>
  <si>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</si>
  <si>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</si>
  <si>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</si>
  <si>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</si>
  <si>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</si>
  <si>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</si>
  <si>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</si>
  <si>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</si>
  <si>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</si>
  <si>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</si>
  <si>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</si>
  <si>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</si>
  <si>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</si>
  <si>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</si>
  <si>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</si>
  <si>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</si>
  <si>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</si>
  <si>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</si>
  <si>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Volume</t>
  </si>
  <si>
    <t xml:space="preserve">This value will come from cell G32, G33, or G37 depending on the responses from the questionnaire </t>
  </si>
  <si>
    <t xml:space="preserve">Questionnaire </t>
  </si>
  <si>
    <t xml:space="preserve">To which emission category is the tool being applied? </t>
  </si>
  <si>
    <t>Project Emissions (PE)</t>
  </si>
  <si>
    <t>Select one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</si>
  <si>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</si>
  <si>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</si>
  <si>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</si>
  <si>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</si>
  <si>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</si>
  <si>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</si>
  <si>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</si>
  <si>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2 (Estimated)</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</si>
  <si>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</si>
  <si>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</si>
  <si>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</si>
  <si>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</si>
  <si>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</si>
  <si>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</si>
  <si>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</si>
  <si>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</si>
  <si>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</si>
  <si>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</si>
  <si>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</si>
  <si>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</si>
  <si>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</si>
  <si>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Default</t>
  </si>
  <si>
    <t xml:space="preserve">Does the SWDS have a water table above the bottom of the SWDS? </t>
  </si>
  <si>
    <t xml:space="preserve">Select the applicable SWDS condition </t>
  </si>
  <si>
    <t>Anaerobic managed solid waste disposal sites</t>
  </si>
  <si>
    <t>For the methane correction factor (DOCj), will you use a default factor or measure/calculate a project specific value?</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</si>
  <si>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</si>
  <si>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</si>
  <si>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Garden, yard and park waste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</si>
  <si>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</si>
  <si>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</si>
  <si>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</si>
  <si>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</si>
  <si>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</si>
  <si>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</si>
  <si>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</si>
  <si>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</si>
  <si>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</si>
  <si>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</si>
  <si>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</si>
  <si>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</si>
  <si>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</si>
  <si>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</si>
  <si>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</si>
  <si>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</si>
  <si>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</si>
  <si>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</si>
  <si>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</si>
  <si>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</si>
  <si>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</si>
  <si>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</si>
  <si>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</si>
  <si>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</si>
  <si>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</si>
  <si>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</si>
  <si>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</si>
  <si>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</si>
  <si>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</si>
  <si>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</si>
  <si>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</si>
  <si>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</si>
  <si>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</si>
  <si>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</si>
  <si>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</si>
  <si>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</si>
  <si>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</si>
  <si>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</si>
  <si>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</si>
  <si>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</si>
  <si>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</si>
  <si>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</si>
  <si>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</si>
  <si>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</si>
  <si>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</si>
  <si>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</si>
  <si>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</si>
  <si>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</si>
  <si>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</si>
  <si>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</si>
  <si>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</si>
  <si>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</si>
  <si>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</si>
  <si>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</si>
  <si>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</si>
  <si>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</si>
  <si>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</si>
  <si>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</si>
  <si>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</si>
  <si>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</si>
  <si>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</si>
  <si>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</si>
  <si>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</si>
  <si>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</si>
  <si>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</si>
  <si>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</si>
  <si>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</si>
  <si>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</si>
  <si>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</si>
  <si>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</si>
  <si>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</si>
  <si>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</si>
  <si>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</si>
  <si>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</si>
  <si>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</si>
  <si>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</si>
  <si>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</si>
  <si>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</si>
  <si>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</si>
  <si>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</si>
  <si>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</si>
  <si>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</si>
  <si>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</si>
  <si>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Baseline Emissions (BE)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</si>
  <si>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</si>
  <si>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</si>
  <si>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</si>
  <si>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</si>
  <si>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</si>
  <si>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</si>
  <si>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</si>
  <si>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</si>
  <si>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</si>
  <si>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</si>
  <si>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</si>
  <si>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</si>
  <si>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</si>
  <si>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Option 1 (Default)</t>
  </si>
  <si>
    <t>Boreal and Temperate</t>
  </si>
  <si>
    <t>Wood and wood products</t>
  </si>
  <si>
    <t>Weighed</t>
  </si>
  <si>
    <t>Measure</t>
  </si>
  <si>
    <t>Monthly</t>
  </si>
  <si>
    <t>Dry conditions</t>
  </si>
  <si>
    <t>Pulp, paper and cardboard (other than sludge)</t>
  </si>
  <si>
    <t>Unmanaged</t>
  </si>
  <si>
    <t>Semi-aerobic managed solid waste disposal sites</t>
  </si>
  <si>
    <t>Food, food waste, beverages and tobacco (other than sludge)</t>
  </si>
  <si>
    <t>Unmanaged solid waste disposal sites – deep</t>
  </si>
  <si>
    <t>Textiles</t>
  </si>
  <si>
    <t>Unmanaged-shallow solid waste disposal sites or stockpiles that are considered SWDS</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</si>
  <si>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</si>
  <si>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</si>
  <si>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</si>
  <si>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</si>
  <si>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</si>
  <si>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</si>
  <si>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</si>
  <si>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</si>
  <si>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</si>
  <si>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</si>
  <si>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</si>
  <si>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</si>
  <si>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</si>
  <si>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</si>
  <si>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</si>
  <si>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</si>
  <si>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</si>
  <si>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</si>
  <si>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</si>
  <si>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</si>
  <si>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</si>
  <si>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</si>
  <si>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</si>
  <si>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</si>
  <si>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</si>
  <si>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</si>
  <si>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</si>
  <si>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</si>
  <si>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</si>
  <si>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</si>
  <si>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</si>
  <si>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</si>
  <si>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</si>
  <si>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</si>
  <si>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</si>
  <si>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</si>
  <si>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</si>
  <si>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</si>
  <si>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</si>
  <si>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</si>
  <si>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</si>
  <si>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</si>
  <si>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</si>
  <si>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</si>
  <si>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</si>
  <si>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</si>
  <si>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</si>
  <si>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</si>
  <si>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</si>
  <si>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</si>
  <si>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</si>
  <si>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</si>
  <si>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</si>
  <si>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</si>
  <si>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</si>
  <si>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</si>
  <si>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</si>
  <si>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</si>
  <si>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</si>
  <si>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</si>
  <si>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</si>
  <si>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</si>
  <si>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</si>
  <si>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</si>
  <si>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</si>
  <si>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</si>
  <si>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</si>
  <si>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</si>
  <si>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</si>
  <si>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</si>
  <si>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</si>
  <si>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</si>
  <si>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</si>
  <si>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</si>
  <si>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</si>
  <si>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</si>
  <si>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</si>
  <si>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</si>
  <si>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</si>
  <si>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</si>
  <si>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</si>
  <si>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</si>
  <si>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</si>
  <si>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</si>
  <si>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</si>
  <si>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</si>
  <si>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</si>
  <si>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</si>
  <si>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</si>
  <si>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</si>
  <si>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</si>
  <si>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</si>
  <si>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</si>
  <si>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</si>
  <si>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</si>
  <si>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</si>
  <si>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</si>
  <si>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</si>
  <si>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</si>
  <si>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</si>
  <si>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</si>
  <si>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</si>
  <si>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</si>
  <si>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</si>
  <si>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</si>
  <si>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</si>
  <si>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</si>
  <si>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</si>
  <si>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</si>
  <si>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</si>
  <si>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</si>
  <si>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</si>
  <si>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</si>
  <si>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</si>
  <si>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</si>
  <si>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</si>
  <si>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</si>
  <si>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</si>
  <si>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</si>
  <si>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</si>
  <si>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</si>
  <si>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</si>
  <si>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</si>
  <si>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</si>
  <si>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</si>
  <si>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</si>
  <si>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</si>
  <si>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</si>
  <si>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</si>
  <si>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</si>
  <si>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</si>
  <si>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</si>
  <si>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</si>
  <si>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</si>
  <si>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</si>
  <si>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</si>
  <si>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</si>
  <si>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</si>
  <si>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</si>
  <si>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</si>
  <si>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</si>
  <si>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</si>
  <si>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</si>
  <si>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</si>
  <si>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</si>
  <si>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</si>
  <si>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</si>
  <si>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</si>
  <si>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</si>
  <si>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</si>
  <si>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</si>
  <si>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</si>
  <si>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</si>
  <si>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</si>
  <si>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</si>
  <si>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</si>
  <si>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</si>
  <si>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</si>
  <si>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</si>
  <si>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</si>
  <si>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</si>
  <si>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</si>
  <si>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</si>
  <si>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</si>
  <si>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</si>
  <si>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</si>
  <si>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</si>
  <si>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</si>
  <si>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</si>
  <si>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</si>
  <si>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</si>
  <si>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</si>
  <si>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</si>
  <si>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</si>
  <si>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</si>
  <si>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</si>
  <si>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</si>
  <si>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</si>
  <si>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</si>
  <si>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</si>
  <si>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</si>
  <si>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</si>
  <si>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</si>
  <si>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N/A</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</si>
  <si>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</si>
  <si>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</si>
  <si>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</si>
  <si>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</si>
  <si>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</si>
  <si>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</si>
  <si>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</si>
  <si>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</si>
  <si>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</si>
  <si>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</si>
  <si>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</si>
  <si>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</si>
  <si>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</si>
  <si>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</si>
  <si>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</si>
  <si>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</si>
  <si>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</si>
  <si>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</si>
  <si>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</si>
  <si>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</si>
  <si>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</si>
  <si>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</si>
  <si>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</si>
  <si>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</si>
  <si>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</si>
  <si>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</si>
  <si>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</si>
  <si>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</si>
  <si>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</si>
  <si>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</si>
  <si>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</si>
  <si>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GWPCH4</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</si>
  <si>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</si>
  <si>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</si>
  <si>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</si>
  <si>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</si>
  <si>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</si>
  <si>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</si>
  <si>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</si>
  <si>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</si>
  <si>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</si>
  <si>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</si>
  <si>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</si>
  <si>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</si>
  <si>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</si>
  <si>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</si>
  <si>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</si>
  <si>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</si>
  <si>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</si>
  <si>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</si>
  <si>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</si>
  <si>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</si>
  <si>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</si>
  <si>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</si>
  <si>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</si>
  <si>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</si>
  <si>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</si>
  <si>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</si>
  <si>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</si>
  <si>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</si>
  <si>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</si>
  <si>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</si>
  <si>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</si>
  <si>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</si>
  <si>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</si>
  <si>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</si>
  <si>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</si>
  <si>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</si>
  <si>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</si>
  <si>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</si>
  <si>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</si>
  <si>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</si>
  <si>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</si>
  <si>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</si>
  <si>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</si>
  <si>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</si>
  <si>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</si>
  <si>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</si>
  <si>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</si>
  <si>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</si>
  <si>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</si>
  <si>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</si>
  <si>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</si>
  <si>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</si>
  <si>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</si>
  <si>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</si>
  <si>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</si>
  <si>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</si>
  <si>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</si>
  <si>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</si>
  <si>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</si>
  <si>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</si>
  <si>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</si>
  <si>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</si>
  <si>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</si>
  <si>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</si>
  <si>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</si>
  <si>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</si>
  <si>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</si>
  <si>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</si>
  <si>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</si>
  <si>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</si>
  <si>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</si>
  <si>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</si>
  <si>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</si>
  <si>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</si>
  <si>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</si>
  <si>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</si>
  <si>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</si>
  <si>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</si>
  <si>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</si>
  <si>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</si>
  <si>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</si>
  <si>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</si>
  <si>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</si>
  <si>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</si>
  <si>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</si>
  <si>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</si>
  <si>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</si>
  <si>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</si>
  <si>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</si>
  <si>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</si>
  <si>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</si>
  <si>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</si>
  <si>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</si>
  <si>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</si>
  <si>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Notes (Help Text)</t>
  </si>
  <si>
    <t xml:space="preserve">Is the load the main operating parameter that influences the efficiency of the energy generation system? </t>
  </si>
  <si>
    <t>The tool can be applied only if load is the main operating parameter that influences the efficiency of the energy generation system. For cogeneration systems, the heat to power ratio may also be considered a main operating parameter. For cogeneration projects, project participants shall also document and justify the choice of heat to power ratio used in the measurements.</t>
  </si>
  <si>
    <t xml:space="preserve">Select one of the following options to estimate the efficiency of the energy generation system. </t>
  </si>
  <si>
    <t>Option F: Use a default value</t>
  </si>
  <si>
    <t xml:space="preserve">Does the energy generation systems use a single fuel type and fuel mix including waste energy? </t>
  </si>
  <si>
    <t>Indicate the type of measuring equipment used, details of how the measurements were carried out and the measurement results.</t>
  </si>
  <si>
    <t>Options (A) to (E) are applicable only to energy generation systems that use a single fuel type and fuel mix including waste energy. In case of fuel mix, the efficiency of the energy generating equipment is calculated based on the fuel with highest percentage of share in a monitoring year in terms of calorific value.</t>
  </si>
  <si>
    <t>Is this tool being applied to determine a constant efficiency?</t>
  </si>
  <si>
    <t xml:space="preserve">Has the manufacturer of the energy generation system provided load-efficiency functions or performance curves for the system at the time of installation? </t>
  </si>
  <si>
    <t xml:space="preserve">If the manufacturer does provide full load-efficiency functions or performance curves, Option A applies over Option D. </t>
  </si>
  <si>
    <t xml:space="preserve">Do these functions or curves clearly show the efficiency of the system at all applicable loads and for the relevant range of operational conditions? </t>
  </si>
  <si>
    <t>Are the functions or curves consistent with the equipment/system characteristics?</t>
  </si>
  <si>
    <t xml:space="preserve">Has retrofitting been done on the system prior to the implementation of the project activity that could have increased its efficiency? </t>
  </si>
  <si>
    <t xml:space="preserve">Are measured data on the load and other parameters that are required to establish the efficiency of the system available on an hourly basis (or a shorter time period) for the most recent year prior to the implementation of the project activity? </t>
  </si>
  <si>
    <t xml:space="preserve">Are annual data on the efficiency of the energy generation system available for the most recent three years prior to the implementation of the project activity? </t>
  </si>
  <si>
    <t>Option A: Use the manufacturer’s load-efficiency function</t>
  </si>
  <si>
    <t>η=f(L)</t>
  </si>
  <si>
    <t>Load-efficiency function expressing the efficiency of the energy generation system as a function of the load at which the system is operated</t>
  </si>
  <si>
    <t>User-defined function</t>
  </si>
  <si>
    <t xml:space="preserve">No </t>
  </si>
  <si>
    <t>Option B: Establish a load-efficiency function based on measurements and a regression analysis</t>
  </si>
  <si>
    <t>The tests shall be conducted by an independent entity such as the equipment supplier, sectoral experts/consultants etc. and the results of the efficiency tests shall be validated by the DOE.</t>
  </si>
  <si>
    <t>Option C: Establish the efficiency function based on historical data and a regression analysis</t>
  </si>
  <si>
    <t>η</t>
  </si>
  <si>
    <t>Efficiency of the energy generation system as a constant value</t>
  </si>
  <si>
    <t>If the tool is used to establish a constant efficiency, the highest annual efficiency from the most recent three years should be chosen.</t>
  </si>
  <si>
    <t>Project participants shall document the complete data set used to establish the efficiency function.</t>
  </si>
  <si>
    <t>Option D: Use the manufacturer’s efficiency values</t>
  </si>
  <si>
    <t>Option E: Determine the efficiency based on measurements and use a conservative value</t>
  </si>
  <si>
    <t>Document the measurement procedures and results transparently. A minimum of 10 measurements shall be taken at different loads in the full operation range or rated capacity and among the measurements, the highest efficiency shall be considered as a conservative approach. Project participants shall justify and document the chosen optimal operating conditions.</t>
  </si>
  <si>
    <t xml:space="preserve">Project participants may use the default values for the applicable technology from the appendix as constant efficiency. See default values tables. </t>
  </si>
  <si>
    <t xml:space="preserve">Value to be Used in Main Framework Schema </t>
  </si>
  <si>
    <t>Dropdown Items</t>
  </si>
  <si>
    <t>Efficiency Estimation Options</t>
  </si>
  <si>
    <t>Binary Yes/No</t>
  </si>
  <si>
    <t>Option C: Establish the efficiency based on historical data and a regression analysis</t>
  </si>
  <si>
    <t>Defualt Values</t>
  </si>
  <si>
    <t xml:space="preserve">Multiple Answers </t>
  </si>
  <si>
    <t xml:space="preserve">Selective Disclosure </t>
  </si>
  <si>
    <t xml:space="preserve">Is transportation the main project activity? </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</si>
  <si>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</si>
  <si>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</si>
  <si>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</si>
  <si>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</si>
  <si>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</si>
  <si>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</si>
  <si>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1"/>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</si>
  <si>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</si>
  <si>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</si>
  <si>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</si>
  <si>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</si>
  <si>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</si>
  <si>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</si>
  <si>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</si>
  <si>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</si>
  <si>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</si>
  <si>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</si>
  <si>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</si>
  <si>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B: Using conservative default values</t>
  </si>
  <si>
    <t>For each freight transportation activities (f), select the mode of transportation</t>
  </si>
  <si>
    <t>Road Vehicle</t>
  </si>
  <si>
    <t>For each freight transportation activities (f), select the vehicle class</t>
  </si>
  <si>
    <t>Heavy</t>
  </si>
  <si>
    <t>Option A: Monitoring fuel consumption</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</si>
  <si>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</si>
  <si>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</si>
  <si>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</si>
  <si>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</si>
  <si>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</si>
  <si>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</si>
  <si>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</si>
  <si>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</si>
  <si>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</si>
  <si>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</si>
  <si>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</si>
  <si>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</si>
  <si>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</si>
  <si>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</si>
  <si>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</si>
  <si>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</si>
  <si>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</si>
  <si>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</si>
  <si>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</si>
  <si>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</si>
  <si>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</si>
  <si>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</si>
  <si>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</si>
  <si>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</si>
  <si>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</si>
  <si>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Type of Emissions Estimates</t>
  </si>
  <si>
    <t>Rail</t>
  </si>
  <si>
    <t xml:space="preserve">Light </t>
  </si>
  <si>
    <t>Leakage emissions (LEtr,m)</t>
  </si>
  <si>
    <t>Project emissions from composting</t>
  </si>
  <si>
    <t>Auto-Calculate</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</si>
  <si>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</si>
  <si>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</si>
  <si>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</si>
  <si>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</si>
  <si>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</si>
  <si>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</si>
  <si>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</si>
  <si>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</si>
  <si>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</si>
  <si>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</si>
  <si>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</si>
  <si>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</si>
  <si>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</si>
  <si>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</si>
  <si>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</si>
  <si>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</si>
  <si>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</si>
  <si>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</si>
  <si>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</si>
  <si>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</si>
  <si>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</si>
  <si>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</si>
  <si>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</si>
  <si>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</si>
  <si>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</si>
  <si>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</si>
  <si>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</si>
  <si>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</si>
  <si>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</si>
  <si>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</si>
  <si>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</si>
  <si>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</si>
  <si>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</si>
  <si>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</si>
  <si>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</si>
  <si>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</si>
  <si>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</si>
  <si>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</si>
  <si>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</si>
  <si>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</si>
  <si>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</si>
  <si>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</si>
  <si>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</si>
  <si>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</si>
  <si>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</si>
  <si>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</si>
  <si>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</si>
  <si>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</si>
  <si>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</si>
  <si>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</si>
  <si>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</si>
  <si>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</si>
  <si>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</si>
  <si>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</si>
  <si>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</si>
  <si>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</si>
  <si>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</si>
  <si>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</si>
  <si>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</si>
  <si>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</si>
  <si>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</si>
  <si>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</si>
  <si>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</si>
  <si>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</si>
  <si>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</si>
  <si>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</si>
  <si>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</si>
  <si>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</si>
  <si>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</si>
  <si>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</si>
  <si>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</si>
  <si>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</si>
  <si>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</si>
  <si>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</si>
  <si>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</si>
  <si>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</si>
  <si>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</si>
  <si>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</si>
  <si>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</si>
  <si>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</si>
  <si>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</si>
  <si>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</si>
  <si>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</si>
  <si>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</si>
  <si>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</si>
  <si>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</si>
  <si>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</si>
  <si>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</si>
  <si>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</si>
  <si>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</si>
  <si>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</si>
  <si>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</si>
  <si>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</si>
  <si>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</si>
  <si>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</si>
  <si>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</si>
  <si>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Determination of the quantity of methane produced in the digester (QCH4,y)</t>
  </si>
  <si>
    <t>Is your project small-scale or large-scale?</t>
  </si>
  <si>
    <t>Small-scale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</si>
  <si>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</si>
  <si>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</si>
  <si>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t>Default Values</t>
  </si>
  <si>
    <r>
      <t>Default Values or Monitored Data</t>
    </r>
    <r>
      <rPr>
        <sz val="11"/>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</si>
  <si>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</si>
  <si>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</si>
  <si>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</si>
  <si>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</si>
  <si>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</si>
  <si>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</si>
  <si>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</si>
  <si>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r>
      <t xml:space="preserve">Is the digestate is stored under the following anaerobic
conditions?
</t>
    </r>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t>
    </r>
    <r>
      <rPr>
        <b/>
        <sz val="11"/>
        <color rgb="FF000000"/>
        <rFont val="Calibri"/>
        <family val="2"/>
        <scheme val="minor"/>
      </rPr>
      <t>Option 3-</t>
    </r>
    <r>
      <rPr>
        <sz val="11"/>
        <color rgb="FF000000"/>
        <rFont val="Calibri"/>
        <family val="2"/>
        <scheme val="minor"/>
      </rPr>
      <t xml:space="preserve"> None of the above apply.</t>
    </r>
  </si>
  <si>
    <t>Option 3</t>
  </si>
  <si>
    <t>If option 1 or 2 is selected then follow up with question in D11, if option 3 is selected then F66 will be 0</t>
  </si>
  <si>
    <t>Do you want to use default values or monitored data to calculate leakage emissions associated with storage of digestate?</t>
  </si>
  <si>
    <t>Option 1 has the option between Default Values (row 76) or Monitored Data (row 68), Option 2 has the option between Default Values (row 82) or Monitored Values (Tool 04)</t>
  </si>
  <si>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</si>
  <si>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</si>
  <si>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</si>
  <si>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</si>
  <si>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</si>
  <si>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</si>
  <si>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</si>
  <si>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</si>
  <si>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</si>
  <si>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</si>
  <si>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</si>
  <si>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</si>
  <si>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</si>
  <si>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</si>
  <si>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</si>
  <si>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</si>
  <si>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</si>
  <si>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</si>
  <si>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</si>
  <si>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</si>
  <si>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</si>
  <si>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</si>
  <si>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</si>
  <si>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</si>
  <si>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</si>
  <si>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</si>
  <si>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</si>
  <si>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</si>
  <si>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</si>
  <si>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</si>
  <si>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</si>
  <si>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</si>
  <si>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</si>
  <si>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</si>
  <si>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</si>
  <si>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</si>
  <si>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</si>
  <si>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</si>
  <si>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</si>
  <si>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</si>
  <si>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</si>
  <si>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</si>
  <si>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</si>
  <si>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</si>
  <si>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</si>
  <si>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</si>
  <si>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</si>
  <si>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</si>
  <si>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</si>
  <si>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</si>
  <si>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</si>
  <si>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</si>
  <si>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</si>
  <si>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</si>
  <si>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</si>
  <si>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</si>
  <si>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</si>
  <si>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</si>
  <si>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</si>
  <si>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</si>
  <si>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</si>
  <si>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</si>
  <si>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</si>
  <si>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</si>
  <si>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</si>
  <si>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</si>
  <si>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</si>
  <si>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</si>
  <si>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</si>
  <si>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r>
      <t xml:space="preserve">Please select the digester that is being used in this project: </t>
    </r>
    <r>
      <rPr>
        <b/>
        <sz val="11"/>
        <color theme="1"/>
        <rFont val="Calibri"/>
        <family val="2"/>
        <scheme val="minor"/>
      </rPr>
      <t xml:space="preserve">Option A- </t>
    </r>
    <r>
      <rPr>
        <sz val="11"/>
        <color theme="1"/>
        <rFont val="Calibri"/>
        <family val="2"/>
        <scheme val="minor"/>
      </rPr>
      <t xml:space="preserve">Covered anaerobic lagoons (gravity fed) / conventional digesters 
</t>
    </r>
    <r>
      <rPr>
        <b/>
        <sz val="11"/>
        <color theme="1"/>
        <rFont val="Calibri"/>
        <family val="2"/>
        <scheme val="minor"/>
      </rPr>
      <t xml:space="preserve">Option B- </t>
    </r>
    <r>
      <rPr>
        <sz val="11"/>
        <color theme="1"/>
        <rFont val="Calibri"/>
        <family val="2"/>
        <scheme val="minor"/>
      </rPr>
      <t xml:space="preserve">Upflow anaerobic sludge blanket reactor (UASB) / filter bed reactor for wastewater / fluidized bed reactor </t>
    </r>
    <r>
      <rPr>
        <b/>
        <sz val="11"/>
        <color theme="1"/>
        <rFont val="Calibri"/>
        <family val="2"/>
        <scheme val="minor"/>
      </rPr>
      <t>Option C-</t>
    </r>
    <r>
      <rPr>
        <sz val="11"/>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1"/>
        <color theme="1"/>
        <rFont val="Calibri"/>
        <family val="2"/>
        <scheme val="minor"/>
      </rPr>
      <t xml:space="preserve">Any anaerobic digester for solid waste with preprocessing of wastes (e.g. pulverizing)
</t>
    </r>
    <r>
      <rPr>
        <b/>
        <sz val="11"/>
        <color theme="1"/>
        <rFont val="Calibri"/>
        <family val="2"/>
        <scheme val="minor"/>
      </rPr>
      <t xml:space="preserve">Option E- </t>
    </r>
    <r>
      <rPr>
        <sz val="11"/>
        <color theme="1"/>
        <rFont val="Calibri"/>
        <family val="2"/>
        <scheme val="minor"/>
      </rPr>
      <t>Any digesters other than those specified above, which are fed bygravity, and have no recirculation</t>
    </r>
  </si>
  <si>
    <t xml:space="preserve">FEC,default </t>
  </si>
  <si>
    <t>Default factor for the electricity consumption associated with the anaerobic digester per ton of methane generated (MWh / t CH4)</t>
  </si>
  <si>
    <t>Dependent on response from F51</t>
  </si>
  <si>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</si>
  <si>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</si>
  <si>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</si>
  <si>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</si>
  <si>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</si>
  <si>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</si>
  <si>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r>
      <t xml:space="preserve">What type of digester is used in the project activity? 
</t>
    </r>
    <r>
      <rPr>
        <b/>
        <sz val="11"/>
        <color theme="1"/>
        <rFont val="Calibri"/>
        <family val="2"/>
        <scheme val="minor"/>
      </rPr>
      <t>Option A-</t>
    </r>
    <r>
      <rPr>
        <sz val="11"/>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1"/>
        <color theme="1"/>
        <rFont val="Calibri"/>
        <family val="2"/>
        <scheme val="minor"/>
      </rPr>
      <t xml:space="preserve">UASB type digesters, floating gas holders with no external water seal
</t>
    </r>
    <r>
      <rPr>
        <b/>
        <sz val="11"/>
        <color theme="1"/>
        <rFont val="Calibri"/>
        <family val="2"/>
        <scheme val="minor"/>
      </rPr>
      <t xml:space="preserve">Option C- </t>
    </r>
    <r>
      <rPr>
        <sz val="11"/>
        <color theme="1"/>
        <rFont val="Calibri"/>
        <family val="2"/>
        <scheme val="minor"/>
      </rPr>
      <t xml:space="preserve">Digesters with unlined concrete/ferrocement/brick masonry arched type gas holding section; monolithic fixed dome digesters, covered anaerobic lagoon
</t>
    </r>
    <r>
      <rPr>
        <b/>
        <sz val="11"/>
        <color theme="1"/>
        <rFont val="Calibri"/>
        <family val="2"/>
        <scheme val="minor"/>
      </rPr>
      <t xml:space="preserve">Option D- </t>
    </r>
    <r>
      <rPr>
        <sz val="11"/>
        <color theme="1"/>
        <rFont val="Calibri"/>
        <family val="2"/>
        <scheme val="minor"/>
      </rPr>
      <t>Other</t>
    </r>
  </si>
  <si>
    <t xml:space="preserve">EFCH4,default </t>
  </si>
  <si>
    <t>Default emission factor for the fraction of CH4 produced that leaks from the anaerobic digester (fraction)</t>
  </si>
  <si>
    <t>Dependent on response from F59</t>
  </si>
  <si>
    <t xml:space="preserve">GWPCH4 </t>
  </si>
  <si>
    <t>Global warming potential of CH4 (t CO2 / t CH4)</t>
  </si>
  <si>
    <t>Project emissions from flaring of biogas (PEflare,y)</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</si>
  <si>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</si>
  <si>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</si>
  <si>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</si>
  <si>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</si>
  <si>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</si>
  <si>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</si>
  <si>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 xml:space="preserve">LEcomp,y </t>
  </si>
  <si>
    <t>Leakage emissions associated with composting digestate in year y (t CO2e)</t>
  </si>
  <si>
    <t>Tool 13</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</si>
  <si>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</si>
  <si>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</si>
  <si>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</si>
  <si>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</si>
  <si>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</si>
  <si>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</si>
  <si>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</si>
  <si>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</si>
  <si>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</si>
  <si>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 2 m</t>
  </si>
  <si>
    <t xml:space="preserve">Methane conversion factor </t>
  </si>
  <si>
    <t>Dependent on response from F73</t>
  </si>
  <si>
    <t>Leakage emissions associated with storage of 
liquid digestate (LEstorage,y) (Default Value)</t>
  </si>
  <si>
    <r>
      <t xml:space="preserve">In order to calculate the default factor representing the remaining methane production capacity of liquid digestate select one of the following options: 
</t>
    </r>
    <r>
      <rPr>
        <b/>
        <sz val="11"/>
        <color theme="1"/>
        <rFont val="Calibri"/>
        <family val="2"/>
        <scheme val="minor"/>
      </rPr>
      <t xml:space="preserve">Option 1- </t>
    </r>
    <r>
      <rPr>
        <sz val="11"/>
        <color theme="1"/>
        <rFont val="Calibri"/>
        <family val="2"/>
        <scheme val="minor"/>
      </rPr>
      <t xml:space="preserve">Covered anaerobic lagoons
</t>
    </r>
    <r>
      <rPr>
        <b/>
        <sz val="11"/>
        <color theme="1"/>
        <rFont val="Calibri"/>
        <family val="2"/>
        <scheme val="minor"/>
      </rPr>
      <t>Option 2-</t>
    </r>
    <r>
      <rPr>
        <sz val="11"/>
        <color theme="1"/>
        <rFont val="Calibri"/>
        <family val="2"/>
        <scheme val="minor"/>
      </rPr>
      <t xml:space="preserve"> UASB type digesters / Anaerobic filter bed digesters /Anaerobic fluidized bed digester
</t>
    </r>
    <r>
      <rPr>
        <b/>
        <sz val="11"/>
        <color theme="1"/>
        <rFont val="Calibri"/>
        <family val="2"/>
        <scheme val="minor"/>
      </rPr>
      <t>Option 3-</t>
    </r>
    <r>
      <rPr>
        <sz val="11"/>
        <color theme="1"/>
        <rFont val="Calibri"/>
        <family val="2"/>
        <scheme val="minor"/>
      </rPr>
      <t xml:space="preserve"> Conventional digesters
</t>
    </r>
    <r>
      <rPr>
        <b/>
        <sz val="11"/>
        <color theme="1"/>
        <rFont val="Calibri"/>
        <family val="2"/>
        <scheme val="minor"/>
      </rPr>
      <t xml:space="preserve">Option 4- </t>
    </r>
    <r>
      <rPr>
        <sz val="11"/>
        <color theme="1"/>
        <rFont val="Calibri"/>
        <family val="2"/>
        <scheme val="minor"/>
      </rPr>
      <t>Two stage digesters</t>
    </r>
  </si>
  <si>
    <t xml:space="preserve">Fww,CH4,default </t>
  </si>
  <si>
    <t>Default factor representing the remaining methane production capacity of liquid digestate (fraction)</t>
  </si>
  <si>
    <t>Dependent on response from F78</t>
  </si>
  <si>
    <t>Leakage emissions associated with storage of 
solid digestate (LEstorage,y) (Default Values)</t>
  </si>
  <si>
    <r>
      <t xml:space="preserve">In order to calculate the default factor for the methane generation capacity of solid digestate select one of the following options:
</t>
    </r>
    <r>
      <rPr>
        <b/>
        <sz val="11"/>
        <color theme="1"/>
        <rFont val="Calibri"/>
        <family val="2"/>
        <scheme val="minor"/>
      </rPr>
      <t xml:space="preserve">Option 1- </t>
    </r>
    <r>
      <rPr>
        <sz val="11"/>
        <color theme="1"/>
        <rFont val="Calibri"/>
        <family val="2"/>
        <scheme val="minor"/>
      </rPr>
      <t xml:space="preserve">Two phase digester 
</t>
    </r>
    <r>
      <rPr>
        <b/>
        <sz val="11"/>
        <color theme="1"/>
        <rFont val="Calibri"/>
        <family val="2"/>
        <scheme val="minor"/>
      </rPr>
      <t>Option 2-</t>
    </r>
    <r>
      <rPr>
        <sz val="11"/>
        <color theme="1"/>
        <rFont val="Calibri"/>
        <family val="2"/>
        <scheme val="minor"/>
      </rPr>
      <t xml:space="preserve"> All other technologies</t>
    </r>
  </si>
  <si>
    <t xml:space="preserve">FSD,CH4,default </t>
  </si>
  <si>
    <t>Default factor for the methane generation capacity of solid digestate (fraction)</t>
  </si>
  <si>
    <t>Dependent on response from F85</t>
  </si>
  <si>
    <t>Global warming potential of CH4 (t CO2/t CH4)</t>
  </si>
  <si>
    <t>Leakage emissions associated with storage of 
solid digestate (LEstorage,y) (Monitored Values)</t>
  </si>
  <si>
    <t>Tool 04</t>
  </si>
  <si>
    <t xml:space="preserve">What is the scale of the project </t>
  </si>
  <si>
    <t>Small or Micro</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</si>
  <si>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</si>
  <si>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</si>
  <si>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</si>
  <si>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</si>
  <si>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</si>
  <si>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</si>
  <si>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</si>
  <si>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</si>
  <si>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</si>
  <si>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</si>
  <si>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</si>
  <si>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</si>
  <si>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</si>
  <si>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</si>
  <si>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</si>
  <si>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 xml:space="preserve">Auto-calculate </t>
  </si>
  <si>
    <t xml:space="preserve">Is the tool being used to calculate project emissions (PE) or leakage emissions (LE)? </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</si>
  <si>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</si>
  <si>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</si>
  <si>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</si>
  <si>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</si>
  <si>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1"/>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</si>
  <si>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</si>
  <si>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</si>
  <si>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</si>
  <si>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</si>
  <si>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</si>
  <si>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</si>
  <si>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</si>
  <si>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</si>
  <si>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</si>
  <si>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</si>
  <si>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</si>
  <si>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</si>
  <si>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</si>
  <si>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</si>
  <si>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Omitted</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</si>
  <si>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</si>
  <si>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</si>
  <si>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</si>
  <si>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</si>
  <si>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</si>
  <si>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</si>
  <si>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</si>
  <si>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</si>
  <si>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</si>
  <si>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</si>
  <si>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</si>
  <si>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</si>
  <si>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</si>
  <si>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</si>
  <si>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</si>
  <si>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</si>
  <si>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</si>
  <si>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 xml:space="preserve">Referenced Parameter </t>
  </si>
  <si>
    <t>𝑃𝐸bsh,𝑓𝑢𝑒𝑙,y</t>
  </si>
  <si>
    <t>Project emissions from the consumption of fossil fuels for biomass seeding and harvesting in year y (tCO2e)</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</si>
  <si>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</si>
  <si>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</si>
  <si>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</si>
  <si>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</si>
  <si>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</si>
  <si>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</si>
  <si>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</si>
  <si>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</si>
  <si>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</si>
  <si>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</si>
  <si>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</si>
  <si>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</si>
  <si>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</si>
  <si>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</si>
  <si>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</si>
  <si>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</si>
  <si>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</si>
  <si>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</si>
  <si>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</si>
  <si>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</si>
  <si>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</si>
  <si>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</si>
  <si>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</si>
  <si>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</si>
  <si>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</si>
  <si>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</si>
  <si>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</si>
  <si>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</si>
  <si>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</si>
  <si>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</si>
  <si>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</si>
  <si>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</si>
  <si>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</si>
  <si>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</si>
  <si>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</si>
  <si>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</si>
  <si>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</si>
  <si>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</si>
  <si>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</si>
  <si>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</si>
  <si>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</si>
  <si>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</si>
  <si>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</si>
  <si>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</si>
  <si>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</si>
  <si>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</si>
  <si>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</si>
  <si>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</si>
  <si>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</si>
  <si>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</si>
  <si>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</si>
  <si>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</si>
  <si>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</si>
  <si>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</si>
  <si>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</si>
  <si>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</si>
  <si>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</si>
  <si>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</si>
  <si>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</si>
  <si>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</si>
  <si>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</si>
  <si>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</si>
  <si>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</si>
  <si>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</si>
  <si>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</si>
  <si>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</si>
  <si>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</si>
  <si>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</si>
  <si>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</si>
  <si>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</si>
  <si>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</si>
  <si>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</si>
  <si>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</si>
  <si>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Global warming potential for methane valid for the relevant commitment period (tCO2/tCH4)</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</si>
  <si>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</si>
  <si>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</si>
  <si>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</si>
  <si>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</si>
  <si>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</si>
  <si>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</si>
  <si>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</si>
  <si>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</si>
  <si>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</si>
  <si>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</si>
  <si>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</si>
  <si>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</si>
  <si>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</si>
  <si>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</si>
  <si>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</si>
  <si>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</si>
  <si>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𝑃𝐸bp,comp,y</t>
  </si>
  <si>
    <t>Project emissions resulting from composting due to thermo-chemical, biological and mechanical processing of the biomass in year y (tCO2e)</t>
  </si>
  <si>
    <t>𝑃𝐸bp,ad,y</t>
  </si>
  <si>
    <t>Project emissions resulting from the anaerobic digester due to thermochemical, biological and mechanical processing of the biomass in year y (tCO2e)</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</si>
  <si>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</si>
  <si>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</si>
  <si>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</si>
  <si>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</si>
  <si>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</si>
  <si>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</si>
  <si>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</si>
  <si>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</si>
  <si>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</si>
  <si>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</si>
  <si>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</si>
  <si>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</si>
  <si>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</si>
  <si>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</si>
  <si>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</si>
  <si>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</si>
  <si>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</si>
  <si>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</si>
  <si>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</si>
  <si>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</si>
  <si>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</si>
  <si>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</si>
  <si>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</si>
  <si>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</si>
  <si>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</si>
  <si>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</si>
  <si>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</si>
  <si>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</si>
  <si>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</si>
  <si>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</si>
  <si>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</si>
  <si>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</si>
  <si>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</si>
  <si>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</si>
  <si>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</si>
  <si>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</si>
  <si>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</si>
  <si>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</si>
  <si>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</si>
  <si>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</si>
  <si>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</si>
  <si>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</si>
  <si>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</si>
  <si>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</si>
  <si>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</si>
  <si>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</si>
  <si>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</si>
  <si>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</si>
  <si>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</si>
  <si>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</si>
  <si>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</si>
  <si>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</si>
  <si>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</si>
  <si>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</si>
  <si>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</si>
  <si>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</si>
  <si>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</si>
  <si>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</si>
  <si>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</si>
  <si>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</si>
  <si>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</si>
  <si>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</si>
  <si>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</si>
  <si>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</si>
  <si>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</si>
  <si>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</si>
  <si>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</si>
  <si>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</si>
  <si>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</si>
  <si>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</si>
  <si>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</si>
  <si>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</si>
  <si>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</si>
  <si>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</si>
  <si>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</si>
  <si>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</si>
  <si>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</si>
  <si>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Included or Omitted</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</si>
  <si>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</si>
  <si>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</si>
  <si>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</si>
  <si>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</si>
  <si>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</si>
  <si>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</si>
  <si>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</si>
  <si>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</si>
  <si>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</si>
  <si>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</si>
  <si>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</si>
  <si>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</si>
  <si>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</si>
  <si>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B1: The biomass residues are dumped or left to decay mainly under aerobic conditions. This applies, for example, to dumping and decay of biomass residues on fields.</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</si>
  <si>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</si>
  <si>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</si>
  <si>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</si>
  <si>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</si>
  <si>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</si>
  <si>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</si>
  <si>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</si>
  <si>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</si>
  <si>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</si>
  <si>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</si>
  <si>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</si>
  <si>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</si>
  <si>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</si>
  <si>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No-tillage</t>
  </si>
  <si>
    <t>Tropical montane</t>
  </si>
  <si>
    <t xml:space="preserve">Select the applicable project type. </t>
  </si>
  <si>
    <t>Type I: Project activities up to 5 MW that employ renewable energy as their primary technology.</t>
  </si>
  <si>
    <t xml:space="preserve">Does the project involve multiple components? </t>
  </si>
  <si>
    <t xml:space="preserve">Yes </t>
  </si>
  <si>
    <t xml:space="preserve">Does each component meet the microscale threshold?  </t>
  </si>
  <si>
    <t xml:space="preserve">Must be yes </t>
  </si>
  <si>
    <t xml:space="preserve">Do the sums of each component type meet the respective microscale thresholds?  </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</si>
  <si>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</si>
  <si>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Must be no</t>
  </si>
  <si>
    <t xml:space="preserve">Do the results of "TOOL 20: Assessment of debundling for SSC project activities" deem the project to be either 1) a debundled component of a large-scale activity but can qualify, or 2) not a debundled component of a large-scale activity? </t>
  </si>
  <si>
    <t xml:space="preserve">Type I: Project activities up to 5 MW that employ renewable energy as their primary technology. </t>
  </si>
  <si>
    <t>One must be additional</t>
  </si>
  <si>
    <t xml:space="preserve">The geographic location of the project activity in one of the least developed countries or the small island developing States (LDCs/SIDS) or in a SUZ of the host country? </t>
  </si>
  <si>
    <t xml:space="preserve">If yes, additional </t>
  </si>
  <si>
    <t xml:space="preserve">Is the project activity an off-grid activity supplying energy to households/communities (less than 12 hours’ grid availability per 24 hours is also considered “off-grid” for this assessment)?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</si>
  <si>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</si>
  <si>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</si>
  <si>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 xml:space="preserve">Type II: Energy efficiency project activities that aim to achieve energy savings at a scale of no more than 20 GWh per year. </t>
  </si>
  <si>
    <t xml:space="preserve">Is the geographic location of the project activity is in an LDC/SIDS or SUZ of the host country? </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</si>
  <si>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</si>
  <si>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Type III: Other project activities not included in Type I or Type II that aim to achieve GHG emissions reductions at a scale of no more than 20 ktCO2e per year.</t>
  </si>
  <si>
    <t>Does the project activity consist of one or more of the following technology/measures related to an emission reduction activity where end users of the technology/measure are households, communities, or SMEs? i) Solar lamps; ii) Biogas digesters.</t>
  </si>
  <si>
    <t>Determination of penetration of proposed technology/measure</t>
  </si>
  <si>
    <t>Indicate the market penetration of the proposed technology based on annual sales of units, in the applicable geographic area.</t>
  </si>
  <si>
    <t>Blank</t>
  </si>
  <si>
    <t xml:space="preserve">If &lt;= 2.5%, additional </t>
  </si>
  <si>
    <t>Indicate the market penetration of the proposed technology based on stock of units, in the applicable geographic area.</t>
  </si>
  <si>
    <t xml:space="preserve">If &lt;= 1.5%, additional </t>
  </si>
  <si>
    <t xml:space="preserve">Final Result </t>
  </si>
  <si>
    <t>Applicable Project Types</t>
  </si>
  <si>
    <t>Yes/No</t>
  </si>
  <si>
    <t>Type II: Energy efficiency project activities that aim to achieve energy savings at a scale of no more than 20 GWh per year.</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</si>
  <si>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</si>
  <si>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</si>
  <si>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</si>
  <si>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</si>
  <si>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</si>
  <si>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</si>
  <si>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</si>
  <si>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</si>
  <si>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</si>
  <si>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</si>
  <si>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</si>
  <si>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</si>
  <si>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</si>
  <si>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</si>
  <si>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</si>
  <si>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</si>
  <si>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</si>
  <si>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</si>
  <si>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</si>
  <si>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</si>
  <si>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</si>
  <si>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</si>
  <si>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</si>
  <si>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</si>
  <si>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</si>
  <si>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</si>
  <si>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</si>
  <si>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</si>
  <si>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 xml:space="preserve">Do the project activities use renewable biomass as a source of energy? </t>
  </si>
  <si>
    <t>Must be yes</t>
  </si>
  <si>
    <t xml:space="preserve">Is the project proposed and registered as a small-scale biomass project and does not yet refer to the methodological tool "Project and leakage emissions from biomass"? </t>
  </si>
  <si>
    <t>Does the underlying methodology used provide different instructions for identifying potentially significant sources of leakage and project emissions for renewable biomass projects?</t>
  </si>
  <si>
    <t>Project boundary for biomass projects</t>
  </si>
  <si>
    <t xml:space="preserve">Indicate the type of biomass being considered by the project? </t>
  </si>
  <si>
    <t>Biomass residues or wastes</t>
  </si>
  <si>
    <t xml:space="preserve">See Table 1 </t>
  </si>
  <si>
    <t xml:space="preserve">Indicate the activity/source being considered by the project? </t>
  </si>
  <si>
    <t>Biomass residues or wastes are collected and used</t>
  </si>
  <si>
    <t>Emission sources to be included</t>
  </si>
  <si>
    <t xml:space="preserve">Shift of pre-project activities </t>
  </si>
  <si>
    <t>See Table 1</t>
  </si>
  <si>
    <t>Emissions from biomass generation/cultivation</t>
  </si>
  <si>
    <t xml:space="preserve">Competing use of biomass </t>
  </si>
  <si>
    <t>Percentage of families/households of the community involved in or affected by the project activity displaced (from within to out of the project boundary) due to the project activity</t>
  </si>
  <si>
    <t>Percentage of total production of the main produce (e.g., meat, corn) within the project boundary displaced due to the generation of renewable biomass</t>
  </si>
  <si>
    <t xml:space="preserve">Leakage from the displacement of activities or people </t>
  </si>
  <si>
    <t>Emissions from the production of the renewable biomass</t>
  </si>
  <si>
    <t>Emissions from application of fertilizer</t>
  </si>
  <si>
    <t>Project emissions from clearance of lands</t>
  </si>
  <si>
    <t xml:space="preserve">Competing uses for the biomass </t>
  </si>
  <si>
    <t xml:space="preserve">Is biomass is generated as part of the project activity (new forests or cultivations)? </t>
  </si>
  <si>
    <t>If yes, NA</t>
  </si>
  <si>
    <t xml:space="preserve">Has it been demonstrated at the beginning of the crediting period that there is a surplus of the biomass in the region of the project activity (e.g., 50 km radius), which is not utilized? </t>
  </si>
  <si>
    <t xml:space="preserve">Emissions competing uses for the biomass </t>
  </si>
  <si>
    <t>Biomass type</t>
  </si>
  <si>
    <t>Activity / source</t>
  </si>
  <si>
    <t>Biomass from forests</t>
  </si>
  <si>
    <t>Existing forests</t>
  </si>
  <si>
    <t>Biomass from croplands or grasslands (woody or nonwoody)</t>
  </si>
  <si>
    <t>New forests</t>
  </si>
  <si>
    <t>In the absence of the project the land would be used as cropland/wetland</t>
  </si>
  <si>
    <t>In the absence of the project the land would be abandoned</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</si>
  <si>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</si>
  <si>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</si>
  <si>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</si>
  <si>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</si>
  <si>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</si>
  <si>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</si>
  <si>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</si>
  <si>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</si>
  <si>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AccountableImpactOrganization.owners</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</si>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</sst>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6">
    <font>
      <sz val="11"/>
      <color theme="1"/>
      <name val="Calibri"/>
      <family val="2"/>
      <scheme val="minor"/>
    </font>
    <font>
      <b/>
      <sz val="11"/>
      <color theme="1"/>
      <name val="Calibri"/>
      <family val="2"/>
      <scheme val="minor"/>
    </font>
    <font>
      <b/>
      <sz val="14"/>
      <color theme="1"/>
      <name val="Calibri"/>
      <family val="2"/>
      <scheme val="minor"/>
    </font>
    <font>
      <b/>
      <i/>
      <sz val="11"/>
      <color theme="1"/>
      <name val="Calibri"/>
      <family val="2"/>
      <scheme val="minor"/>
    </font>
    <font>
      <u/>
      <sz val="11"/>
      <color theme="10"/>
      <name val="Calibri"/>
      <family val="2"/>
      <scheme val="minor"/>
    </font>
    <font>
      <b/>
      <sz val="15"/>
      <color theme="1"/>
      <name val="Calibri"/>
      <family val="2"/>
      <scheme val="minor"/>
    </font>
    <font>
      <sz val="8"/>
      <name val="Calibri"/>
      <family val="2"/>
      <scheme val="minor"/>
    </font>
    <font>
      <vertAlign val="superscript"/>
      <sz val="11"/>
      <color theme="1"/>
      <name val="Calibri"/>
      <family val="2"/>
      <scheme val="minor"/>
    </font>
    <font>
      <sz val="11"/>
      <color theme="1"/>
      <name val="Calibri"/>
      <family val="2"/>
      <scheme val="minor"/>
    </font>
    <font>
      <b/>
      <sz val="14"/>
      <color rgb="FF000000"/>
      <name val="Calibri"/>
      <family val="2"/>
      <scheme val="minor"/>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sz val="11"/>
      <color rgb="FF000000"/>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b/>
      <u/>
      <sz val="11"/>
      <color theme="1"/>
      <name val="Calibri"/>
      <family val="2"/>
      <scheme val="minor"/>
    </font>
    <font>
      <sz val="20"/>
      <color theme="1"/>
      <name val="Calibri"/>
      <family val="2"/>
      <scheme val="minor"/>
    </font>
    <font>
      <vertAlign val="subscript"/>
      <sz val="20"/>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sz val="18"/>
      <color rgb="FF000000"/>
      <name val="Calibri"/>
      <family val="2"/>
    </font>
    <font>
      <vertAlign val="subscript"/>
      <sz val="18"/>
      <color rgb="FF000000"/>
      <name val="Calibri"/>
      <family val="2"/>
    </font>
    <font>
      <b/>
      <sz val="11"/>
      <color rgb="FF000000"/>
      <name val="Calibri"/>
      <family val="2"/>
      <scheme val="minor"/>
    </font>
    <font>
      <b/>
      <sz val="12"/>
      <color theme="1"/>
      <name val="Calibri"/>
      <family val="2"/>
      <scheme val="minor"/>
    </font>
    <font>
      <sz val="11"/>
      <name val="Calibri"/>
      <family val="2"/>
      <scheme val="minor"/>
    </font>
    <font>
      <b/>
      <i/>
      <sz val="14"/>
      <color theme="1"/>
      <name val="Calibri"/>
      <family val="2"/>
      <scheme val="minor"/>
    </font>
    <font>
      <i/>
      <sz val="11"/>
      <color theme="1"/>
      <name val="Calibri"/>
      <family val="2"/>
      <scheme val="minor"/>
    </font>
    <font>
      <sz val="14"/>
      <color theme="1"/>
      <name val="Calibri"/>
      <family val="2"/>
      <scheme val="minor"/>
    </font>
    <font>
      <u/>
      <sz val="11"/>
      <color theme="1"/>
      <name val="Calibri"/>
      <family val="2"/>
      <scheme val="minor"/>
    </font>
    <font>
      <sz val="14"/>
      <color rgb="FF000000"/>
      <name val="Calibri"/>
      <family val="2"/>
      <scheme val="minor"/>
    </font>
    <font>
      <sz val="11"/>
      <color rgb="FF9C5700"/>
      <name val="Calibri"/>
      <family val="2"/>
      <scheme val="minor"/>
    </font>
    <font>
      <sz val="10"/>
      <name val="Arial"/>
      <family val="2"/>
    </font>
  </fonts>
  <fills count="14">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9" tint="0.79998168889431442"/>
        <bgColor indexed="64"/>
      </patternFill>
    </fill>
    <fill>
      <patternFill patternType="solid">
        <fgColor rgb="FFBFBFBF"/>
        <bgColor rgb="FF000000"/>
      </patternFill>
    </fill>
    <fill>
      <patternFill patternType="solid">
        <fgColor theme="0" tint="-0.249977111117893"/>
        <bgColor rgb="FF000000"/>
      </patternFill>
    </fill>
    <fill>
      <patternFill patternType="solid">
        <fgColor theme="9" tint="0.59999389629810485"/>
        <bgColor indexed="64"/>
      </patternFill>
    </fill>
    <fill>
      <patternFill patternType="solid">
        <fgColor theme="0" tint="-0.14999847407452621"/>
        <bgColor rgb="FF000000"/>
      </patternFill>
    </fill>
    <fill>
      <patternFill patternType="solid">
        <fgColor rgb="FFFFEB9C"/>
      </patternFill>
    </fill>
    <fill>
      <patternFill patternType="solid">
        <fgColor theme="0" tint="-0.499984740745262"/>
        <bgColor indexed="64"/>
      </patternFill>
    </fill>
    <fill>
      <patternFill patternType="solid">
        <fgColor theme="2" tint="-9.9978637043366805E-2"/>
        <bgColor indexed="64"/>
      </patternFill>
    </fill>
  </fills>
  <borders count="26">
    <border>
      <left/>
      <right/>
      <top/>
      <bottom/>
      <diagonal/>
    </border>
    <border>
      <left/>
      <right/>
      <top style="thick">
        <color auto="1"/>
      </top>
      <bottom style="thick">
        <color auto="1"/>
      </bottom>
      <diagonal/>
    </border>
    <border>
      <left/>
      <right/>
      <top style="thick">
        <color auto="1"/>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right/>
      <top/>
      <bottom style="thick">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43" fontId="8" fillId="0" borderId="0" applyFont="0" applyFill="0" applyBorder="0" applyAlignment="0" applyProtection="0"/>
    <xf numFmtId="0" fontId="34" fillId="11" borderId="0" applyNumberFormat="0" applyBorder="0" applyAlignment="0" applyProtection="0"/>
    <xf numFmtId="0" fontId="35" fillId="0" borderId="0"/>
  </cellStyleXfs>
  <cellXfs count="192">
    <xf numFmtId="0" fontId="0" fillId="0" borderId="0" xfId="0"/>
    <xf numFmtId="0" fontId="0" fillId="0" borderId="0" xfId="0" applyAlignment="1">
      <alignment wrapText="1"/>
    </xf>
    <xf numFmtId="0" fontId="1" fillId="0" borderId="0" xfId="0" applyFont="1"/>
    <xf numFmtId="0" fontId="1" fillId="0" borderId="1" xfId="0" applyFont="1" applyBorder="1" applyAlignment="1">
      <alignment wrapText="1"/>
    </xf>
    <xf numFmtId="0" fontId="1" fillId="0" borderId="1" xfId="0" applyFont="1" applyBorder="1"/>
    <xf numFmtId="0" fontId="0" fillId="2" borderId="0" xfId="0" applyFill="1" applyAlignment="1">
      <alignment wrapText="1"/>
    </xf>
    <xf numFmtId="0" fontId="0" fillId="0" borderId="2" xfId="0" applyBorder="1" applyAlignment="1">
      <alignment horizontal="center" wrapText="1"/>
    </xf>
    <xf numFmtId="0" fontId="2" fillId="0" borderId="0" xfId="0" applyFont="1" applyAlignment="1">
      <alignment wrapText="1"/>
    </xf>
    <xf numFmtId="0" fontId="2" fillId="0" borderId="0" xfId="0" applyFont="1"/>
    <xf numFmtId="0" fontId="2" fillId="3" borderId="0" xfId="0" applyFont="1" applyFill="1" applyAlignment="1">
      <alignment wrapText="1"/>
    </xf>
    <xf numFmtId="0" fontId="2" fillId="3" borderId="0" xfId="0" applyFont="1" applyFill="1"/>
    <xf numFmtId="0" fontId="1" fillId="0" borderId="0" xfId="0" applyFont="1" applyAlignment="1">
      <alignment wrapText="1"/>
    </xf>
    <xf numFmtId="0" fontId="1" fillId="3" borderId="0" xfId="0" applyFont="1" applyFill="1" applyAlignment="1">
      <alignment wrapText="1"/>
    </xf>
    <xf numFmtId="0" fontId="1" fillId="3" borderId="0" xfId="0" applyFont="1" applyFill="1"/>
    <xf numFmtId="0" fontId="1" fillId="4" borderId="0" xfId="0" applyFont="1" applyFill="1"/>
    <xf numFmtId="0" fontId="1" fillId="4" borderId="0" xfId="0" applyFont="1" applyFill="1" applyAlignment="1">
      <alignment wrapText="1"/>
    </xf>
    <xf numFmtId="0" fontId="4" fillId="0" borderId="0" xfId="1" applyAlignment="1">
      <alignment wrapText="1"/>
    </xf>
    <xf numFmtId="0" fontId="5" fillId="0" borderId="0" xfId="0" applyFont="1"/>
    <xf numFmtId="0" fontId="5" fillId="2" borderId="3" xfId="0" applyFont="1" applyFill="1" applyBorder="1"/>
    <xf numFmtId="0" fontId="5" fillId="0" borderId="4" xfId="0" applyFont="1" applyBorder="1" applyAlignment="1">
      <alignment wrapText="1"/>
    </xf>
    <xf numFmtId="0" fontId="5" fillId="0" borderId="5" xfId="0" applyFont="1" applyBorder="1"/>
    <xf numFmtId="0" fontId="0" fillId="4" borderId="0" xfId="0" applyFill="1"/>
    <xf numFmtId="0" fontId="0" fillId="2" borderId="0" xfId="0" applyFill="1"/>
    <xf numFmtId="0" fontId="0" fillId="5" borderId="0" xfId="0" applyFill="1" applyAlignment="1">
      <alignment wrapText="1"/>
    </xf>
    <xf numFmtId="0" fontId="3" fillId="0" borderId="0" xfId="0" applyFont="1" applyAlignment="1">
      <alignment wrapText="1"/>
    </xf>
    <xf numFmtId="0" fontId="0" fillId="6" borderId="0" xfId="0" applyFill="1"/>
    <xf numFmtId="0" fontId="0" fillId="6" borderId="0" xfId="0" applyFill="1" applyAlignment="1">
      <alignment wrapText="1"/>
    </xf>
    <xf numFmtId="0" fontId="0" fillId="0" borderId="1" xfId="0" applyBorder="1"/>
    <xf numFmtId="0" fontId="0" fillId="0" borderId="1" xfId="0" applyBorder="1" applyAlignment="1">
      <alignment wrapText="1"/>
    </xf>
    <xf numFmtId="0" fontId="9" fillId="0" borderId="0" xfId="0" applyFont="1" applyAlignment="1">
      <alignment wrapText="1"/>
    </xf>
    <xf numFmtId="0" fontId="9" fillId="0" borderId="0" xfId="0" applyFont="1" applyAlignment="1">
      <alignment horizontal="left" wrapText="1"/>
    </xf>
    <xf numFmtId="0" fontId="9" fillId="0" borderId="0" xfId="0" applyFont="1" applyAlignment="1">
      <alignment horizontal="left"/>
    </xf>
    <xf numFmtId="0" fontId="11" fillId="2" borderId="0" xfId="0" applyFont="1" applyFill="1"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xf>
    <xf numFmtId="0" fontId="13" fillId="0" borderId="0" xfId="0" applyFont="1"/>
    <xf numFmtId="0" fontId="0" fillId="0" borderId="0" xfId="0" applyAlignment="1">
      <alignment horizontal="left" vertical="center" wrapText="1"/>
    </xf>
    <xf numFmtId="0" fontId="0" fillId="6" borderId="0" xfId="0" applyFill="1" applyAlignment="1">
      <alignment horizontal="left" vertical="center" wrapText="1"/>
    </xf>
    <xf numFmtId="0" fontId="14" fillId="6" borderId="0" xfId="0" applyFont="1" applyFill="1" applyAlignment="1">
      <alignment wrapText="1"/>
    </xf>
    <xf numFmtId="0" fontId="13" fillId="2" borderId="0" xfId="0" applyFont="1" applyFill="1" applyAlignment="1">
      <alignment horizontal="center" vertical="center"/>
    </xf>
    <xf numFmtId="0" fontId="13" fillId="0" borderId="0" xfId="0" applyFont="1" applyAlignment="1">
      <alignment horizontal="center" vertical="center"/>
    </xf>
    <xf numFmtId="0" fontId="0" fillId="0" borderId="0" xfId="0" applyAlignment="1">
      <alignment horizontal="left"/>
    </xf>
    <xf numFmtId="0" fontId="13" fillId="2" borderId="0" xfId="0" applyFont="1" applyFill="1"/>
    <xf numFmtId="0" fontId="0" fillId="2" borderId="0" xfId="0" applyFill="1" applyAlignment="1">
      <alignment vertical="center" wrapText="1"/>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6" borderId="0" xfId="0" applyFill="1" applyAlignment="1">
      <alignment vertical="center" wrapText="1"/>
    </xf>
    <xf numFmtId="0" fontId="19" fillId="2" borderId="0" xfId="0" applyFont="1" applyFill="1" applyAlignment="1">
      <alignment vertical="center"/>
    </xf>
    <xf numFmtId="0" fontId="0" fillId="2" borderId="0" xfId="0" applyFill="1" applyAlignment="1">
      <alignment horizontal="left" wrapText="1"/>
    </xf>
    <xf numFmtId="0" fontId="13" fillId="0" borderId="0" xfId="0" applyFont="1" applyAlignment="1">
      <alignment horizontal="center"/>
    </xf>
    <xf numFmtId="0" fontId="21" fillId="0" borderId="0" xfId="0" applyFont="1"/>
    <xf numFmtId="0" fontId="21" fillId="2" borderId="0" xfId="0" applyFont="1" applyFill="1"/>
    <xf numFmtId="0" fontId="22" fillId="6" borderId="0" xfId="0" applyFont="1" applyFill="1" applyAlignment="1">
      <alignment wrapText="1"/>
    </xf>
    <xf numFmtId="0" fontId="21" fillId="6" borderId="0" xfId="0" applyFont="1" applyFill="1" applyAlignment="1">
      <alignment horizontal="left" vertical="center" wrapText="1"/>
    </xf>
    <xf numFmtId="0" fontId="21" fillId="6" borderId="0" xfId="0" applyFont="1" applyFill="1" applyAlignment="1">
      <alignment horizontal="left" vertical="center"/>
    </xf>
    <xf numFmtId="0" fontId="24" fillId="0" borderId="0" xfId="0" applyFont="1" applyAlignment="1">
      <alignment vertical="center"/>
    </xf>
    <xf numFmtId="0" fontId="24" fillId="2" borderId="0" xfId="0" applyFont="1" applyFill="1" applyAlignment="1">
      <alignment vertical="center"/>
    </xf>
    <xf numFmtId="0" fontId="0" fillId="6" borderId="0" xfId="0" applyFill="1" applyAlignment="1">
      <alignment horizontal="left" wrapText="1"/>
    </xf>
    <xf numFmtId="0" fontId="14" fillId="0" borderId="0" xfId="0" applyFont="1" applyAlignment="1">
      <alignment horizontal="left"/>
    </xf>
    <xf numFmtId="0" fontId="26" fillId="0" borderId="0" xfId="0" applyFont="1" applyAlignment="1">
      <alignment horizontal="left"/>
    </xf>
    <xf numFmtId="0" fontId="0" fillId="2" borderId="0" xfId="0" applyFill="1" applyAlignment="1">
      <alignment vertical="center"/>
    </xf>
    <xf numFmtId="164" fontId="0" fillId="0" borderId="6" xfId="2" applyNumberFormat="1" applyFont="1" applyBorder="1"/>
    <xf numFmtId="0" fontId="0" fillId="0" borderId="7" xfId="0" applyBorder="1"/>
    <xf numFmtId="0" fontId="0" fillId="0" borderId="8" xfId="0" applyBorder="1"/>
    <xf numFmtId="164" fontId="0" fillId="0" borderId="9" xfId="2" applyNumberFormat="1" applyFont="1" applyBorder="1"/>
    <xf numFmtId="0" fontId="0" fillId="0" borderId="10" xfId="0" applyBorder="1"/>
    <xf numFmtId="0" fontId="0" fillId="0" borderId="11" xfId="0" applyBorder="1"/>
    <xf numFmtId="0" fontId="0" fillId="0" borderId="11" xfId="0" applyBorder="1" applyAlignment="1">
      <alignment wrapText="1"/>
    </xf>
    <xf numFmtId="164" fontId="0" fillId="0" borderId="12" xfId="2" applyNumberFormat="1" applyFont="1" applyBorder="1"/>
    <xf numFmtId="0" fontId="0" fillId="0" borderId="13" xfId="0" applyBorder="1"/>
    <xf numFmtId="0" fontId="0" fillId="0" borderId="14" xfId="0" applyBorder="1"/>
    <xf numFmtId="0" fontId="27" fillId="0" borderId="15" xfId="0" applyFont="1" applyBorder="1" applyAlignment="1">
      <alignment horizontal="center" wrapText="1"/>
    </xf>
    <xf numFmtId="0" fontId="27" fillId="0" borderId="15" xfId="0" applyFont="1" applyBorder="1" applyAlignment="1">
      <alignment horizontal="center"/>
    </xf>
    <xf numFmtId="0" fontId="0" fillId="0" borderId="2" xfId="0" applyBorder="1" applyAlignment="1">
      <alignment horizontal="center"/>
    </xf>
    <xf numFmtId="0" fontId="29" fillId="0" borderId="0" xfId="0" applyFont="1" applyAlignment="1">
      <alignment wrapText="1"/>
    </xf>
    <xf numFmtId="0" fontId="1" fillId="2" borderId="1" xfId="0" applyFont="1" applyFill="1" applyBorder="1"/>
    <xf numFmtId="0" fontId="0" fillId="2" borderId="16" xfId="0" applyFill="1" applyBorder="1"/>
    <xf numFmtId="0" fontId="1" fillId="2" borderId="0" xfId="0" applyFont="1" applyFill="1"/>
    <xf numFmtId="0" fontId="0" fillId="0" borderId="17" xfId="0" applyBorder="1"/>
    <xf numFmtId="0" fontId="3" fillId="0" borderId="17" xfId="0" applyFont="1" applyBorder="1" applyAlignment="1">
      <alignment wrapText="1"/>
    </xf>
    <xf numFmtId="0" fontId="0" fillId="0" borderId="2" xfId="0" applyBorder="1"/>
    <xf numFmtId="0" fontId="0" fillId="2" borderId="2" xfId="0" applyFill="1" applyBorder="1"/>
    <xf numFmtId="0" fontId="0" fillId="0" borderId="2" xfId="0" applyBorder="1" applyAlignment="1">
      <alignment wrapText="1"/>
    </xf>
    <xf numFmtId="0" fontId="0" fillId="2" borderId="1" xfId="0" applyFill="1" applyBorder="1"/>
    <xf numFmtId="9" fontId="0" fillId="0" borderId="0" xfId="0" applyNumberFormat="1"/>
    <xf numFmtId="0" fontId="0" fillId="3" borderId="0" xfId="0" applyFill="1"/>
    <xf numFmtId="0" fontId="30" fillId="0" borderId="0" xfId="0" applyFont="1"/>
    <xf numFmtId="0" fontId="30" fillId="2" borderId="0" xfId="0" applyFont="1" applyFill="1"/>
    <xf numFmtId="0" fontId="2" fillId="4" borderId="0" xfId="0" applyFont="1" applyFill="1"/>
    <xf numFmtId="0" fontId="1" fillId="0" borderId="0" xfId="0" applyFont="1" applyAlignment="1">
      <alignment horizontal="center"/>
    </xf>
    <xf numFmtId="0" fontId="30" fillId="0" borderId="0" xfId="0" applyFont="1" applyAlignment="1">
      <alignment wrapText="1"/>
    </xf>
    <xf numFmtId="0" fontId="1" fillId="0" borderId="0" xfId="0" applyFont="1" applyAlignment="1">
      <alignment horizontal="left"/>
    </xf>
    <xf numFmtId="0" fontId="14" fillId="9" borderId="0" xfId="0" applyFont="1" applyFill="1" applyAlignment="1">
      <alignment horizontal="left" vertical="center"/>
    </xf>
    <xf numFmtId="0" fontId="14" fillId="9" borderId="0" xfId="0" applyFont="1" applyFill="1"/>
    <xf numFmtId="0" fontId="31" fillId="9" borderId="0" xfId="0" applyFont="1" applyFill="1" applyAlignment="1">
      <alignment horizontal="left" vertical="center" wrapText="1"/>
    </xf>
    <xf numFmtId="0" fontId="0" fillId="9" borderId="0" xfId="0" applyFill="1" applyAlignment="1">
      <alignment vertical="center" wrapText="1"/>
    </xf>
    <xf numFmtId="0" fontId="0" fillId="9" borderId="0" xfId="0" applyFill="1" applyAlignment="1">
      <alignment horizontal="left"/>
    </xf>
    <xf numFmtId="0" fontId="14" fillId="0" borderId="0" xfId="0" applyFont="1" applyAlignment="1">
      <alignment horizontal="left" vertical="center"/>
    </xf>
    <xf numFmtId="0" fontId="14" fillId="0" borderId="0" xfId="0" applyFont="1"/>
    <xf numFmtId="0" fontId="3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9" fillId="0" borderId="0" xfId="0" applyFont="1" applyAlignment="1">
      <alignment horizontal="center" vertical="center"/>
    </xf>
    <xf numFmtId="0" fontId="0" fillId="3" borderId="0" xfId="0" applyFill="1" applyAlignment="1">
      <alignment wrapText="1"/>
    </xf>
    <xf numFmtId="0" fontId="0" fillId="3" borderId="0" xfId="0" applyFill="1" applyAlignment="1">
      <alignment horizontal="left"/>
    </xf>
    <xf numFmtId="0" fontId="30" fillId="0" borderId="0" xfId="0" applyFont="1" applyAlignment="1">
      <alignment horizontal="center"/>
    </xf>
    <xf numFmtId="3" fontId="0" fillId="0" borderId="0" xfId="0" applyNumberFormat="1" applyAlignment="1">
      <alignment horizontal="left"/>
    </xf>
    <xf numFmtId="0" fontId="1" fillId="0" borderId="18" xfId="0" applyFont="1" applyBorder="1" applyAlignment="1">
      <alignment horizontal="left"/>
    </xf>
    <xf numFmtId="0" fontId="1" fillId="0" borderId="19" xfId="0" applyFont="1" applyBorder="1"/>
    <xf numFmtId="0" fontId="0" fillId="2" borderId="18" xfId="0" applyFill="1" applyBorder="1" applyAlignment="1">
      <alignment horizontal="left"/>
    </xf>
    <xf numFmtId="0" fontId="0" fillId="2" borderId="19" xfId="0" applyFill="1" applyBorder="1"/>
    <xf numFmtId="0" fontId="0" fillId="0" borderId="18" xfId="0" applyBorder="1" applyAlignment="1">
      <alignment horizontal="left"/>
    </xf>
    <xf numFmtId="0" fontId="0" fillId="0" borderId="19" xfId="0" applyBorder="1"/>
    <xf numFmtId="0" fontId="1" fillId="0" borderId="5" xfId="0" applyFont="1" applyBorder="1" applyAlignment="1">
      <alignment horizontal="left"/>
    </xf>
    <xf numFmtId="0" fontId="1" fillId="0" borderId="4" xfId="0" applyFont="1" applyBorder="1"/>
    <xf numFmtId="0" fontId="1" fillId="2" borderId="3" xfId="0" applyFont="1" applyFill="1" applyBorder="1"/>
    <xf numFmtId="0" fontId="1" fillId="0" borderId="20" xfId="0" applyFont="1" applyBorder="1" applyAlignment="1">
      <alignment horizontal="left"/>
    </xf>
    <xf numFmtId="0" fontId="1" fillId="0" borderId="21" xfId="0" applyFont="1" applyBorder="1"/>
    <xf numFmtId="0" fontId="1" fillId="2" borderId="22" xfId="0" applyFont="1" applyFill="1" applyBorder="1"/>
    <xf numFmtId="0" fontId="0" fillId="0" borderId="0" xfId="0" applyAlignment="1">
      <alignment horizontal="left" wrapText="1"/>
    </xf>
    <xf numFmtId="9" fontId="0" fillId="2" borderId="0" xfId="0" applyNumberFormat="1" applyFill="1"/>
    <xf numFmtId="0" fontId="1" fillId="0" borderId="0" xfId="0" applyFont="1" applyAlignment="1">
      <alignment horizontal="center" wrapText="1"/>
    </xf>
    <xf numFmtId="0" fontId="3" fillId="0" borderId="0" xfId="0" applyFont="1" applyAlignment="1">
      <alignment horizontal="center"/>
    </xf>
    <xf numFmtId="0" fontId="3" fillId="0" borderId="0" xfId="0" applyFont="1"/>
    <xf numFmtId="0" fontId="14" fillId="2" borderId="0" xfId="0" applyFont="1" applyFill="1" applyAlignment="1">
      <alignment wrapText="1"/>
    </xf>
    <xf numFmtId="0" fontId="9" fillId="2" borderId="0" xfId="0" applyFont="1" applyFill="1" applyAlignment="1">
      <alignment wrapText="1"/>
    </xf>
    <xf numFmtId="0" fontId="14" fillId="2" borderId="0" xfId="0" applyFont="1" applyFill="1" applyAlignment="1">
      <alignment horizontal="left" wrapText="1"/>
    </xf>
    <xf numFmtId="0" fontId="14" fillId="2" borderId="0" xfId="0" applyFont="1" applyFill="1" applyAlignment="1">
      <alignment horizontal="right"/>
    </xf>
    <xf numFmtId="0" fontId="9" fillId="2" borderId="0" xfId="0" applyFont="1" applyFill="1" applyAlignment="1">
      <alignment horizontal="left" wrapText="1"/>
    </xf>
    <xf numFmtId="0" fontId="0" fillId="0" borderId="0" xfId="0" applyAlignment="1">
      <alignment horizontal="right"/>
    </xf>
    <xf numFmtId="0" fontId="0" fillId="2" borderId="0" xfId="0" applyFill="1" applyAlignment="1">
      <alignment horizontal="right"/>
    </xf>
    <xf numFmtId="0" fontId="14" fillId="0" borderId="0" xfId="0" applyFont="1" applyAlignment="1">
      <alignment horizontal="left" wrapText="1"/>
    </xf>
    <xf numFmtId="0" fontId="2" fillId="0" borderId="3" xfId="0" applyFont="1" applyBorder="1" applyAlignment="1">
      <alignment horizontal="center"/>
    </xf>
    <xf numFmtId="0" fontId="9" fillId="0" borderId="0" xfId="0" applyFont="1"/>
    <xf numFmtId="0" fontId="9" fillId="8" borderId="0" xfId="0" applyFont="1" applyFill="1" applyAlignment="1">
      <alignment horizontal="left"/>
    </xf>
    <xf numFmtId="0" fontId="33" fillId="8" borderId="0" xfId="0" applyFont="1" applyFill="1" applyAlignment="1">
      <alignment horizontal="left"/>
    </xf>
    <xf numFmtId="0" fontId="14" fillId="6" borderId="0" xfId="0" applyFont="1" applyFill="1"/>
    <xf numFmtId="0" fontId="9" fillId="6" borderId="0" xfId="0" applyFont="1" applyFill="1"/>
    <xf numFmtId="0" fontId="14" fillId="6" borderId="0" xfId="0" applyFont="1" applyFill="1" applyAlignment="1">
      <alignment horizontal="left" wrapText="1"/>
    </xf>
    <xf numFmtId="0" fontId="14" fillId="6" borderId="0" xfId="0" applyFont="1" applyFill="1" applyAlignment="1">
      <alignment horizontal="left"/>
    </xf>
    <xf numFmtId="0" fontId="10" fillId="0" borderId="0" xfId="0" applyFont="1" applyAlignment="1">
      <alignment vertical="center" wrapText="1"/>
    </xf>
    <xf numFmtId="0" fontId="2" fillId="0" borderId="16" xfId="0" applyFont="1" applyBorder="1" applyAlignment="1">
      <alignment horizontal="center" wrapText="1"/>
    </xf>
    <xf numFmtId="0" fontId="0" fillId="0" borderId="23" xfId="0" applyBorder="1" applyAlignment="1">
      <alignment wrapText="1"/>
    </xf>
    <xf numFmtId="0" fontId="0" fillId="0" borderId="24" xfId="0" applyBorder="1"/>
    <xf numFmtId="0" fontId="0" fillId="0" borderId="9" xfId="0" applyBorder="1"/>
    <xf numFmtId="0" fontId="0" fillId="0" borderId="6" xfId="0" applyBorder="1"/>
    <xf numFmtId="0" fontId="28" fillId="6" borderId="0" xfId="3" applyFont="1" applyFill="1" applyAlignment="1">
      <alignment wrapText="1"/>
    </xf>
    <xf numFmtId="0" fontId="14" fillId="9" borderId="0" xfId="0" applyFont="1" applyFill="1" applyAlignment="1">
      <alignment horizontal="left"/>
    </xf>
    <xf numFmtId="0" fontId="0" fillId="9" borderId="0" xfId="0" applyFill="1"/>
    <xf numFmtId="0" fontId="0" fillId="9" borderId="0" xfId="0" applyFill="1" applyAlignment="1">
      <alignment wrapText="1"/>
    </xf>
    <xf numFmtId="0" fontId="28" fillId="2" borderId="0" xfId="3" applyFont="1" applyFill="1" applyAlignment="1">
      <alignment horizontal="left" wrapText="1"/>
    </xf>
    <xf numFmtId="0" fontId="34" fillId="2" borderId="0" xfId="3" applyFill="1" applyAlignment="1">
      <alignment wrapText="1"/>
    </xf>
    <xf numFmtId="0" fontId="0" fillId="6" borderId="0" xfId="0" applyFill="1" applyAlignment="1">
      <alignment horizontal="left"/>
    </xf>
    <xf numFmtId="0" fontId="28" fillId="2" borderId="0" xfId="4" applyFont="1" applyFill="1" applyAlignment="1">
      <alignment vertical="top" wrapText="1"/>
    </xf>
    <xf numFmtId="10" fontId="0" fillId="0" borderId="0" xfId="0" applyNumberFormat="1" applyAlignment="1">
      <alignment horizontal="left"/>
    </xf>
    <xf numFmtId="4" fontId="0" fillId="0" borderId="0" xfId="0" applyNumberFormat="1" applyAlignment="1">
      <alignment horizontal="left"/>
    </xf>
    <xf numFmtId="0" fontId="14" fillId="2" borderId="0" xfId="0" applyFont="1" applyFill="1" applyAlignment="1">
      <alignment horizontal="left"/>
    </xf>
    <xf numFmtId="0" fontId="2" fillId="12" borderId="0" xfId="0" applyFont="1" applyFill="1"/>
    <xf numFmtId="10" fontId="0" fillId="0" borderId="0" xfId="0" applyNumberFormat="1"/>
    <xf numFmtId="0" fontId="2" fillId="0" borderId="1" xfId="0" applyFont="1" applyBorder="1"/>
    <xf numFmtId="0" fontId="2" fillId="2" borderId="1" xfId="0" applyFont="1" applyFill="1" applyBorder="1"/>
    <xf numFmtId="0" fontId="14" fillId="0" borderId="0" xfId="0" applyFont="1" applyAlignment="1">
      <alignment wrapText="1"/>
    </xf>
    <xf numFmtId="0" fontId="1" fillId="0" borderId="10" xfId="0" applyFont="1" applyBorder="1" applyAlignment="1">
      <alignment horizontal="center" vertical="top"/>
    </xf>
    <xf numFmtId="0" fontId="1" fillId="0" borderId="25" xfId="0" applyFont="1" applyBorder="1" applyAlignment="1">
      <alignment horizontal="center" vertical="top" wrapText="1"/>
    </xf>
    <xf numFmtId="0" fontId="0" fillId="13" borderId="0" xfId="0" applyFill="1"/>
    <xf numFmtId="0" fontId="14" fillId="0" borderId="0" xfId="0" applyFont="1" applyAlignment="1">
      <alignment horizontal="center"/>
    </xf>
    <xf numFmtId="0" fontId="4" fillId="0" borderId="0" xfId="1" applyFill="1" applyAlignment="1"/>
    <xf numFmtId="14" fontId="14" fillId="0" borderId="0" xfId="0" applyNumberFormat="1" applyFont="1" applyAlignment="1">
      <alignment horizontal="left"/>
    </xf>
    <xf numFmtId="4" fontId="0" fillId="0" borderId="0" xfId="0" applyNumberFormat="1"/>
    <xf numFmtId="3" fontId="0" fillId="0" borderId="0" xfId="0" applyNumberFormat="1"/>
    <xf numFmtId="3" fontId="30" fillId="0" borderId="0" xfId="0" applyNumberFormat="1" applyFont="1"/>
    <xf numFmtId="14" fontId="0" fillId="0" borderId="0" xfId="0" applyNumberFormat="1"/>
    <xf numFmtId="2" fontId="0" fillId="0" borderId="0" xfId="0" applyNumberFormat="1"/>
    <xf numFmtId="0" fontId="0" fillId="6" borderId="0" xfId="0" applyFill="1" applyAlignment="1">
      <alignment wrapText="1"/>
    </xf>
    <xf numFmtId="0" fontId="1" fillId="0" borderId="2" xfId="0" applyFont="1" applyBorder="1" applyAlignment="1">
      <alignment horizontal="center"/>
    </xf>
    <xf numFmtId="0" fontId="0" fillId="0" borderId="2" xfId="0" applyBorder="1" applyAlignment="1">
      <alignment horizontal="center"/>
    </xf>
    <xf numFmtId="0" fontId="10" fillId="7" borderId="0" xfId="0" applyFont="1" applyFill="1" applyAlignment="1">
      <alignment horizontal="center" vertical="center" wrapText="1"/>
    </xf>
    <xf numFmtId="0" fontId="10" fillId="3" borderId="0" xfId="0" applyFont="1" applyFill="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10" fillId="3" borderId="0" xfId="0" applyFont="1" applyFill="1" applyAlignment="1">
      <alignment horizontal="center" vertical="center"/>
    </xf>
    <xf numFmtId="0" fontId="9" fillId="3" borderId="0" xfId="0" applyFont="1" applyFill="1" applyAlignment="1">
      <alignment horizontal="center"/>
    </xf>
    <xf numFmtId="0" fontId="2" fillId="0" borderId="5"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2" fillId="0" borderId="0" xfId="0" applyFont="1" applyAlignment="1">
      <alignment horizontal="center"/>
    </xf>
    <xf numFmtId="0" fontId="30" fillId="0" borderId="0" xfId="0" applyFont="1" applyAlignment="1">
      <alignment horizontal="center"/>
    </xf>
    <xf numFmtId="0" fontId="10" fillId="10" borderId="0" xfId="0" applyFont="1" applyFill="1" applyAlignment="1">
      <alignment horizontal="center" vertical="center" wrapText="1"/>
    </xf>
    <xf numFmtId="0" fontId="10" fillId="7" borderId="21" xfId="0" applyFont="1" applyFill="1" applyBorder="1" applyAlignment="1">
      <alignment horizontal="center" vertical="center" wrapText="1"/>
    </xf>
    <xf numFmtId="0" fontId="1" fillId="0" borderId="0" xfId="0" applyFont="1" applyAlignment="1">
      <alignment horizontal="center"/>
    </xf>
    <xf numFmtId="0" fontId="0" fillId="0" borderId="0" xfId="0" applyAlignment="1">
      <alignment horizontal="center"/>
    </xf>
  </cellXfs>
  <cellStyles count="5">
    <cellStyle name="Comma 2" xfId="2" xr:uid="{3BFD0680-57F7-47ED-9210-B04A95D79A08}"/>
    <cellStyle name="Hyperlink" xfId="1" builtinId="8"/>
    <cellStyle name="Neutral" xfId="3" builtinId="28"/>
    <cellStyle name="Normal" xfId="0" builtinId="0"/>
    <cellStyle name="Normal 3" xfId="4" xr:uid="{EFBD2B27-E652-4930-B5DE-78A8C8D3D14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253365</xdr:colOff>
      <xdr:row>2</xdr:row>
      <xdr:rowOff>140970</xdr:rowOff>
    </xdr:from>
    <xdr:to>
      <xdr:col>19</xdr:col>
      <xdr:colOff>209550</xdr:colOff>
      <xdr:row>27</xdr:row>
      <xdr:rowOff>120016</xdr:rowOff>
    </xdr:to>
    <xdr:pic>
      <xdr:nvPicPr>
        <xdr:cNvPr id="2" name="Picture 1">
          <a:extLst>
            <a:ext uri="{FF2B5EF4-FFF2-40B4-BE49-F238E27FC236}">
              <a16:creationId xmlns:a16="http://schemas.microsoft.com/office/drawing/2014/main" id="{6F0E5DB3-EF69-2B4B-9DC1-438781A83D89}"/>
            </a:ext>
          </a:extLst>
        </xdr:cNvPr>
        <xdr:cNvPicPr>
          <a:picLocks noChangeAspect="1"/>
        </xdr:cNvPicPr>
      </xdr:nvPicPr>
      <xdr:blipFill rotWithShape="1">
        <a:blip xmlns:r="http://schemas.openxmlformats.org/officeDocument/2006/relationships" r:embed="rId1"/>
        <a:srcRect l="9116" t="29911" r="59347" b="26384"/>
        <a:stretch/>
      </xdr:blipFill>
      <xdr:spPr>
        <a:xfrm>
          <a:off x="253365" y="502920"/>
          <a:ext cx="11538585" cy="4503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177165</xdr:rowOff>
    </xdr:to>
    <xdr:pic>
      <xdr:nvPicPr>
        <xdr:cNvPr id="2" name="Picture 1">
          <a:extLst>
            <a:ext uri="{FF2B5EF4-FFF2-40B4-BE49-F238E27FC236}">
              <a16:creationId xmlns:a16="http://schemas.microsoft.com/office/drawing/2014/main" id="{FBDC1507-7B65-4E36-A1F1-D59F8CDBDE16}"/>
            </a:ext>
          </a:extLst>
        </xdr:cNvPr>
        <xdr:cNvPicPr>
          <a:picLocks noChangeAspect="1"/>
        </xdr:cNvPicPr>
      </xdr:nvPicPr>
      <xdr:blipFill>
        <a:blip xmlns:r="http://schemas.openxmlformats.org/officeDocument/2006/relationships" r:embed="rId1"/>
        <a:stretch>
          <a:fillRect/>
        </a:stretch>
      </xdr:blipFill>
      <xdr:spPr>
        <a:xfrm>
          <a:off x="0" y="7981950"/>
          <a:ext cx="8140065" cy="101326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42</xdr:row>
      <xdr:rowOff>0</xdr:rowOff>
    </xdr:from>
    <xdr:to>
      <xdr:col>4</xdr:col>
      <xdr:colOff>968688</xdr:colOff>
      <xdr:row>60</xdr:row>
      <xdr:rowOff>78105</xdr:rowOff>
    </xdr:to>
    <xdr:pic>
      <xdr:nvPicPr>
        <xdr:cNvPr id="5" name="Picture 4">
          <a:extLst>
            <a:ext uri="{FF2B5EF4-FFF2-40B4-BE49-F238E27FC236}">
              <a16:creationId xmlns:a16="http://schemas.microsoft.com/office/drawing/2014/main" id="{7DA15433-A928-477A-8DE5-E4D506327BF8}"/>
            </a:ext>
          </a:extLst>
        </xdr:cNvPr>
        <xdr:cNvPicPr>
          <a:picLocks noChangeAspect="1"/>
        </xdr:cNvPicPr>
      </xdr:nvPicPr>
      <xdr:blipFill rotWithShape="1">
        <a:blip xmlns:r="http://schemas.openxmlformats.org/officeDocument/2006/relationships" r:embed="rId1"/>
        <a:srcRect l="12126" t="34569" r="5162" b="14234"/>
        <a:stretch/>
      </xdr:blipFill>
      <xdr:spPr>
        <a:xfrm>
          <a:off x="0" y="9686925"/>
          <a:ext cx="9693588" cy="3335655"/>
        </a:xfrm>
        <a:prstGeom prst="rect">
          <a:avLst/>
        </a:prstGeom>
      </xdr:spPr>
    </xdr:pic>
    <xdr:clientData/>
  </xdr:twoCellAnchor>
  <xdr:twoCellAnchor editAs="oneCell">
    <xdr:from>
      <xdr:col>0</xdr:col>
      <xdr:colOff>289560</xdr:colOff>
      <xdr:row>64</xdr:row>
      <xdr:rowOff>154304</xdr:rowOff>
    </xdr:from>
    <xdr:to>
      <xdr:col>3</xdr:col>
      <xdr:colOff>323850</xdr:colOff>
      <xdr:row>104</xdr:row>
      <xdr:rowOff>168537</xdr:rowOff>
    </xdr:to>
    <xdr:pic>
      <xdr:nvPicPr>
        <xdr:cNvPr id="6" name="Picture 5">
          <a:extLst>
            <a:ext uri="{FF2B5EF4-FFF2-40B4-BE49-F238E27FC236}">
              <a16:creationId xmlns:a16="http://schemas.microsoft.com/office/drawing/2014/main" id="{CE305F67-DBF0-4971-B409-962AD07DB096}"/>
            </a:ext>
          </a:extLst>
        </xdr:cNvPr>
        <xdr:cNvPicPr>
          <a:picLocks noChangeAspect="1"/>
        </xdr:cNvPicPr>
      </xdr:nvPicPr>
      <xdr:blipFill rotWithShape="1">
        <a:blip xmlns:r="http://schemas.openxmlformats.org/officeDocument/2006/relationships" r:embed="rId2"/>
        <a:srcRect l="37838" t="28522" r="38825" b="34288"/>
        <a:stretch/>
      </xdr:blipFill>
      <xdr:spPr>
        <a:xfrm>
          <a:off x="285750" y="13822679"/>
          <a:ext cx="8164830" cy="7253233"/>
        </a:xfrm>
        <a:prstGeom prst="rect">
          <a:avLst/>
        </a:prstGeom>
      </xdr:spPr>
    </xdr:pic>
    <xdr:clientData/>
  </xdr:twoCellAnchor>
  <xdr:twoCellAnchor editAs="oneCell">
    <xdr:from>
      <xdr:col>0</xdr:col>
      <xdr:colOff>87630</xdr:colOff>
      <xdr:row>107</xdr:row>
      <xdr:rowOff>26670</xdr:rowOff>
    </xdr:from>
    <xdr:to>
      <xdr:col>4</xdr:col>
      <xdr:colOff>57150</xdr:colOff>
      <xdr:row>124</xdr:row>
      <xdr:rowOff>114300</xdr:rowOff>
    </xdr:to>
    <xdr:pic>
      <xdr:nvPicPr>
        <xdr:cNvPr id="7" name="Picture 6">
          <a:extLst>
            <a:ext uri="{FF2B5EF4-FFF2-40B4-BE49-F238E27FC236}">
              <a16:creationId xmlns:a16="http://schemas.microsoft.com/office/drawing/2014/main" id="{4420E4C6-29AB-4FC9-8909-0703B22A6D5C}"/>
            </a:ext>
          </a:extLst>
        </xdr:cNvPr>
        <xdr:cNvPicPr>
          <a:picLocks noChangeAspect="1"/>
        </xdr:cNvPicPr>
      </xdr:nvPicPr>
      <xdr:blipFill rotWithShape="1">
        <a:blip xmlns:r="http://schemas.openxmlformats.org/officeDocument/2006/relationships" r:embed="rId3"/>
        <a:srcRect l="27003" t="31559" r="25449" b="37325"/>
        <a:stretch/>
      </xdr:blipFill>
      <xdr:spPr>
        <a:xfrm>
          <a:off x="91440" y="21475065"/>
          <a:ext cx="8702040" cy="31661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548640</xdr:colOff>
      <xdr:row>40</xdr:row>
      <xdr:rowOff>64770</xdr:rowOff>
    </xdr:to>
    <xdr:pic>
      <xdr:nvPicPr>
        <xdr:cNvPr id="2" name="Picture 1">
          <a:extLst>
            <a:ext uri="{FF2B5EF4-FFF2-40B4-BE49-F238E27FC236}">
              <a16:creationId xmlns:a16="http://schemas.microsoft.com/office/drawing/2014/main" id="{DEAD1222-6BC3-4822-A294-C2961B015B62}"/>
            </a:ext>
          </a:extLst>
        </xdr:cNvPr>
        <xdr:cNvPicPr>
          <a:picLocks noChangeAspect="1"/>
        </xdr:cNvPicPr>
      </xdr:nvPicPr>
      <xdr:blipFill rotWithShape="1">
        <a:blip xmlns:r="http://schemas.openxmlformats.org/officeDocument/2006/relationships" r:embed="rId1"/>
        <a:srcRect l="35629" t="29263" r="36034" b="9989"/>
        <a:stretch/>
      </xdr:blipFill>
      <xdr:spPr>
        <a:xfrm>
          <a:off x="9391650" y="1123950"/>
          <a:ext cx="5181600" cy="6181725"/>
        </a:xfrm>
        <a:prstGeom prst="rect">
          <a:avLst/>
        </a:prstGeom>
      </xdr:spPr>
    </xdr:pic>
    <xdr:clientData/>
  </xdr:twoCellAnchor>
  <xdr:twoCellAnchor editAs="oneCell">
    <xdr:from>
      <xdr:col>26</xdr:col>
      <xdr:colOff>30480</xdr:colOff>
      <xdr:row>5</xdr:row>
      <xdr:rowOff>45720</xdr:rowOff>
    </xdr:from>
    <xdr:to>
      <xdr:col>36</xdr:col>
      <xdr:colOff>589600</xdr:colOff>
      <xdr:row>38</xdr:row>
      <xdr:rowOff>76200</xdr:rowOff>
    </xdr:to>
    <xdr:pic>
      <xdr:nvPicPr>
        <xdr:cNvPr id="3" name="Picture 2">
          <a:extLst>
            <a:ext uri="{FF2B5EF4-FFF2-40B4-BE49-F238E27FC236}">
              <a16:creationId xmlns:a16="http://schemas.microsoft.com/office/drawing/2014/main" id="{428D30AE-EDF8-49DB-84C3-F9A8F4C04E05}"/>
            </a:ext>
          </a:extLst>
        </xdr:cNvPr>
        <xdr:cNvPicPr>
          <a:picLocks noChangeAspect="1"/>
        </xdr:cNvPicPr>
      </xdr:nvPicPr>
      <xdr:blipFill rotWithShape="1">
        <a:blip xmlns:r="http://schemas.openxmlformats.org/officeDocument/2006/relationships" r:embed="rId2"/>
        <a:srcRect l="35504" t="29041" r="34742" b="22804"/>
        <a:stretch/>
      </xdr:blipFill>
      <xdr:spPr>
        <a:xfrm>
          <a:off x="15878175" y="952500"/>
          <a:ext cx="6660835" cy="600075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54693</xdr:rowOff>
    </xdr:to>
    <xdr:pic>
      <xdr:nvPicPr>
        <xdr:cNvPr id="4" name="Picture 3">
          <a:extLst>
            <a:ext uri="{FF2B5EF4-FFF2-40B4-BE49-F238E27FC236}">
              <a16:creationId xmlns:a16="http://schemas.microsoft.com/office/drawing/2014/main" id="{ADCD10B9-F50D-45DE-B710-2F177110E6D8}"/>
            </a:ext>
          </a:extLst>
        </xdr:cNvPr>
        <xdr:cNvPicPr>
          <a:picLocks noChangeAspect="1"/>
        </xdr:cNvPicPr>
      </xdr:nvPicPr>
      <xdr:blipFill rotWithShape="1">
        <a:blip xmlns:r="http://schemas.openxmlformats.org/officeDocument/2006/relationships" r:embed="rId3"/>
        <a:srcRect l="35546" t="35560" r="35825" b="8728"/>
        <a:stretch/>
      </xdr:blipFill>
      <xdr:spPr>
        <a:xfrm>
          <a:off x="22374225" y="466725"/>
          <a:ext cx="5972175" cy="6468828"/>
        </a:xfrm>
        <a:prstGeom prst="rect">
          <a:avLst/>
        </a:prstGeom>
      </xdr:spPr>
    </xdr:pic>
    <xdr:clientData/>
  </xdr:twoCellAnchor>
  <xdr:twoCellAnchor editAs="oneCell">
    <xdr:from>
      <xdr:col>0</xdr:col>
      <xdr:colOff>190500</xdr:colOff>
      <xdr:row>17</xdr:row>
      <xdr:rowOff>60960</xdr:rowOff>
    </xdr:from>
    <xdr:to>
      <xdr:col>14</xdr:col>
      <xdr:colOff>179070</xdr:colOff>
      <xdr:row>37</xdr:row>
      <xdr:rowOff>11430</xdr:rowOff>
    </xdr:to>
    <xdr:pic>
      <xdr:nvPicPr>
        <xdr:cNvPr id="5" name="Picture 4">
          <a:extLst>
            <a:ext uri="{FF2B5EF4-FFF2-40B4-BE49-F238E27FC236}">
              <a16:creationId xmlns:a16="http://schemas.microsoft.com/office/drawing/2014/main" id="{D5F1EEC8-ECFD-448F-AF17-9BF64E6647DC}"/>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133725"/>
          <a:ext cx="8524875" cy="3571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0</xdr:row>
      <xdr:rowOff>114300</xdr:rowOff>
    </xdr:from>
    <xdr:to>
      <xdr:col>12</xdr:col>
      <xdr:colOff>591989</xdr:colOff>
      <xdr:row>24</xdr:row>
      <xdr:rowOff>90294</xdr:rowOff>
    </xdr:to>
    <xdr:pic>
      <xdr:nvPicPr>
        <xdr:cNvPr id="2" name="Picture 1">
          <a:extLst>
            <a:ext uri="{FF2B5EF4-FFF2-40B4-BE49-F238E27FC236}">
              <a16:creationId xmlns:a16="http://schemas.microsoft.com/office/drawing/2014/main" id="{0DFC2275-11AC-4D27-908D-CD8B07A3728E}"/>
            </a:ext>
          </a:extLst>
        </xdr:cNvPr>
        <xdr:cNvPicPr>
          <a:picLocks noChangeAspect="1"/>
        </xdr:cNvPicPr>
      </xdr:nvPicPr>
      <xdr:blipFill>
        <a:blip xmlns:r="http://schemas.openxmlformats.org/officeDocument/2006/relationships" r:embed="rId1"/>
        <a:stretch>
          <a:fillRect/>
        </a:stretch>
      </xdr:blipFill>
      <xdr:spPr>
        <a:xfrm>
          <a:off x="91440" y="114300"/>
          <a:ext cx="7815749" cy="4365114"/>
        </a:xfrm>
        <a:prstGeom prst="rect">
          <a:avLst/>
        </a:prstGeom>
      </xdr:spPr>
    </xdr:pic>
    <xdr:clientData/>
  </xdr:twoCellAnchor>
  <xdr:twoCellAnchor editAs="oneCell">
    <xdr:from>
      <xdr:col>13</xdr:col>
      <xdr:colOff>480060</xdr:colOff>
      <xdr:row>1</xdr:row>
      <xdr:rowOff>30480</xdr:rowOff>
    </xdr:from>
    <xdr:to>
      <xdr:col>27</xdr:col>
      <xdr:colOff>29657</xdr:colOff>
      <xdr:row>24</xdr:row>
      <xdr:rowOff>122293</xdr:rowOff>
    </xdr:to>
    <xdr:pic>
      <xdr:nvPicPr>
        <xdr:cNvPr id="3" name="Picture 2">
          <a:extLst>
            <a:ext uri="{FF2B5EF4-FFF2-40B4-BE49-F238E27FC236}">
              <a16:creationId xmlns:a16="http://schemas.microsoft.com/office/drawing/2014/main" id="{F99ACC3A-E1CE-41AD-8794-93108CAED67D}"/>
            </a:ext>
          </a:extLst>
        </xdr:cNvPr>
        <xdr:cNvPicPr>
          <a:picLocks noChangeAspect="1"/>
        </xdr:cNvPicPr>
      </xdr:nvPicPr>
      <xdr:blipFill>
        <a:blip xmlns:r="http://schemas.openxmlformats.org/officeDocument/2006/relationships" r:embed="rId2"/>
        <a:stretch>
          <a:fillRect/>
        </a:stretch>
      </xdr:blipFill>
      <xdr:spPr>
        <a:xfrm>
          <a:off x="8404860" y="213360"/>
          <a:ext cx="8083997" cy="4298053"/>
        </a:xfrm>
        <a:prstGeom prst="rect">
          <a:avLst/>
        </a:prstGeom>
      </xdr:spPr>
    </xdr:pic>
    <xdr:clientData/>
  </xdr:twoCellAnchor>
  <xdr:twoCellAnchor editAs="oneCell">
    <xdr:from>
      <xdr:col>28</xdr:col>
      <xdr:colOff>0</xdr:colOff>
      <xdr:row>1</xdr:row>
      <xdr:rowOff>0</xdr:rowOff>
    </xdr:from>
    <xdr:to>
      <xdr:col>40</xdr:col>
      <xdr:colOff>512742</xdr:colOff>
      <xdr:row>26</xdr:row>
      <xdr:rowOff>396</xdr:rowOff>
    </xdr:to>
    <xdr:pic>
      <xdr:nvPicPr>
        <xdr:cNvPr id="4" name="Picture 3">
          <a:extLst>
            <a:ext uri="{FF2B5EF4-FFF2-40B4-BE49-F238E27FC236}">
              <a16:creationId xmlns:a16="http://schemas.microsoft.com/office/drawing/2014/main" id="{B8A55D7C-3BC5-4658-97DF-5D6F16B7176B}"/>
            </a:ext>
          </a:extLst>
        </xdr:cNvPr>
        <xdr:cNvPicPr>
          <a:picLocks noChangeAspect="1"/>
        </xdr:cNvPicPr>
      </xdr:nvPicPr>
      <xdr:blipFill>
        <a:blip xmlns:r="http://schemas.openxmlformats.org/officeDocument/2006/relationships" r:embed="rId3"/>
        <a:stretch>
          <a:fillRect/>
        </a:stretch>
      </xdr:blipFill>
      <xdr:spPr>
        <a:xfrm>
          <a:off x="17068800" y="182880"/>
          <a:ext cx="7827942" cy="45723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601980</xdr:colOff>
      <xdr:row>0</xdr:row>
      <xdr:rowOff>167640</xdr:rowOff>
    </xdr:from>
    <xdr:to>
      <xdr:col>14</xdr:col>
      <xdr:colOff>328376</xdr:colOff>
      <xdr:row>30</xdr:row>
      <xdr:rowOff>143729</xdr:rowOff>
    </xdr:to>
    <xdr:pic>
      <xdr:nvPicPr>
        <xdr:cNvPr id="2" name="Picture 1">
          <a:extLst>
            <a:ext uri="{FF2B5EF4-FFF2-40B4-BE49-F238E27FC236}">
              <a16:creationId xmlns:a16="http://schemas.microsoft.com/office/drawing/2014/main" id="{2688022B-031F-4ED4-82F7-4AAC7BD820A1}"/>
            </a:ext>
          </a:extLst>
        </xdr:cNvPr>
        <xdr:cNvPicPr>
          <a:picLocks noChangeAspect="1"/>
        </xdr:cNvPicPr>
      </xdr:nvPicPr>
      <xdr:blipFill>
        <a:blip xmlns:r="http://schemas.openxmlformats.org/officeDocument/2006/relationships" r:embed="rId1"/>
        <a:stretch>
          <a:fillRect/>
        </a:stretch>
      </xdr:blipFill>
      <xdr:spPr>
        <a:xfrm>
          <a:off x="601980" y="167640"/>
          <a:ext cx="8260796" cy="54624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x Pinnola" id="{DD8A8376-5DCF-4AAE-89D8-9E169965E715}" userId="6071b2e426a8e48f" providerId="Windows Live"/>
  <person displayName="Jailine Molina" id="{FBB660CD-FB99-4DC5-8065-D02BD05B7DC7}" userId="f3e4387646bbb898" providerId="Windows Live"/>
  <person displayName="Jailine Molina" id="{AB959230-5012-4FB9-AB54-C27327F321BB}"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8" dT="2023-10-04T19:33:20.47" personId="{DD8A8376-5DCF-4AAE-89D8-9E169965E715}" id="{E9F574A9-2D6D-4994-9242-3093A5765C35}">
    <text>Equation 1</text>
  </threadedComment>
  <threadedComment ref="C72" dT="2023-10-04T20:03:42.30" personId="{DD8A8376-5DCF-4AAE-89D8-9E169965E715}" id="{8EF7B507-3A6B-4B4C-A1B2-48BDA6091CB3}">
    <text>Equation 2</text>
  </threadedComment>
  <threadedComment ref="C77" dT="2023-10-04T20:13:49.99" personId="{DD8A8376-5DCF-4AAE-89D8-9E169965E715}" id="{4A55794C-E86A-477F-97BE-1AF3800031AB}">
    <text>Equation 3</text>
  </threadedComment>
  <threadedComment ref="C83" dT="2023-10-05T18:57:12.63" personId="{DD8A8376-5DCF-4AAE-89D8-9E169965E715}" id="{CB866406-10DB-4499-A0F2-D4379F538C4A}">
    <text>Equation 4</text>
  </threadedComment>
  <threadedComment ref="C88" dT="2023-10-07T16:30:08.16" personId="{DD8A8376-5DCF-4AAE-89D8-9E169965E715}" id="{B863AA90-220F-4A9B-983C-B662D46DCF56}">
    <text>Equation 5</text>
  </threadedComment>
  <threadedComment ref="C92" dT="2023-10-04T20:03:42.30" personId="{DD8A8376-5DCF-4AAE-89D8-9E169965E715}" id="{4994BC64-B5E5-488C-8CBE-4D3279A86268}">
    <text>Equation 2</text>
  </threadedComment>
  <threadedComment ref="C96" dT="2023-10-04T19:33:20.47" personId="{DD8A8376-5DCF-4AAE-89D8-9E169965E715}" id="{42BC1F88-3754-46B8-AE5E-16FAA65A37A3}">
    <text>Equation 1</text>
  </threadedComment>
  <threadedComment ref="C99" dT="2023-10-07T17:56:11.55" personId="{DD8A8376-5DCF-4AAE-89D8-9E169965E715}" id="{A9987061-F169-47CB-8DB6-0F63FDA7C012}">
    <text>Equation 8</text>
  </threadedComment>
  <threadedComment ref="C104" dT="2023-10-07T17:56:11.55" personId="{DD8A8376-5DCF-4AAE-89D8-9E169965E715}" id="{7B85D47F-4BDB-4088-93E1-5A9870A4E1CC}">
    <text>Equation 8</text>
  </threadedComment>
  <threadedComment ref="C106" dT="2023-10-07T16:49:18.78" personId="{DD8A8376-5DCF-4AAE-89D8-9E169965E715}" id="{A9305493-4BF7-47D9-B359-5522D280C1AB}">
    <text>Equation 7</text>
  </threadedComment>
  <threadedComment ref="C107" dT="2023-10-07T18:12:57.90" personId="{DD8A8376-5DCF-4AAE-89D8-9E169965E715}" id="{4C2044EC-CABA-4FC4-AB32-B616067B697B}">
    <text>Equation 9</text>
  </threadedComment>
  <threadedComment ref="C109" dT="2023-10-07T16:34:49.73" personId="{DD8A8376-5DCF-4AAE-89D8-9E169965E715}" id="{B1430963-98FB-41EA-9F7F-43150F43C332}">
    <text xml:space="preserve">Equation 6 </text>
  </threadedComment>
  <threadedComment ref="C118" dT="2023-10-07T19:14:45.84" personId="{DD8A8376-5DCF-4AAE-89D8-9E169965E715}" id="{F6DEB045-0A1C-4D34-8EB5-FAFC9BB2A52B}">
    <text>Equation 11</text>
  </threadedComment>
  <threadedComment ref="C119" dT="2023-10-07T19:08:54.11" personId="{DD8A8376-5DCF-4AAE-89D8-9E169965E715}" id="{DB9CB7FA-2186-4414-A203-A0CA7A46C778}">
    <text>Equation 10</text>
  </threadedComment>
  <threadedComment ref="C124" dT="2023-10-07T19:37:46.01" personId="{DD8A8376-5DCF-4AAE-89D8-9E169965E715}" id="{78CF84C8-9CD8-4279-85DF-3610A777C338}">
    <text>Equation 12</text>
  </threadedComment>
  <threadedComment ref="C127" dT="2023-10-07T20:23:38.37" personId="{DD8A8376-5DCF-4AAE-89D8-9E169965E715}" id="{15C99BC9-1B9B-4C55-A169-E701F88AA4DC}">
    <text>Equation 13</text>
  </threadedComment>
  <threadedComment ref="C135" dT="2023-10-09T19:33:39.33" personId="{DD8A8376-5DCF-4AAE-89D8-9E169965E715}" id="{92C6E4FA-8091-49CF-809E-6004E44DE6A9}">
    <text>Equation 14</text>
  </threadedComment>
  <threadedComment ref="C153" dT="2023-10-10T19:48:57.64" personId="{DD8A8376-5DCF-4AAE-89D8-9E169965E715}" id="{381C20A4-BC65-4787-80E6-0B1729D5A4DB}">
    <text>Equation 17</text>
  </threadedComment>
  <threadedComment ref="C156" dT="2023-10-10T19:50:57.90" personId="{DD8A8376-5DCF-4AAE-89D8-9E169965E715}" id="{ECB4DBBA-B647-4728-BFBB-08D55F7C4B36}">
    <text>Equation 18</text>
  </threadedComment>
  <threadedComment ref="C160" dT="2023-10-10T19:50:57.90" personId="{DD8A8376-5DCF-4AAE-89D8-9E169965E715}" id="{1FD797BB-FC39-4976-BBB3-7E435F564CB8}">
    <text>Equation 18</text>
  </threadedComment>
  <threadedComment ref="C161" dT="2023-10-10T19:19:12.23" personId="{DD8A8376-5DCF-4AAE-89D8-9E169965E715}" id="{795DAC96-16E0-4F8E-8999-F85346F5F34F}">
    <text>Equation 16</text>
  </threadedComment>
  <threadedComment ref="C170" dT="2023-10-10T20:14:02.10" personId="{DD8A8376-5DCF-4AAE-89D8-9E169965E715}" id="{A3B019C2-4792-433D-A11C-5494A8897F1D}">
    <text>Equation 19</text>
  </threadedComment>
  <threadedComment ref="C171" dT="2023-10-10T20:33:29.42" personId="{DD8A8376-5DCF-4AAE-89D8-9E169965E715}" id="{4403C6BD-A216-4617-ACAE-85F34684C9F4}">
    <text>Equation 20</text>
  </threadedComment>
  <threadedComment ref="C186" dT="2023-10-10T18:03:13.80" personId="{DD8A8376-5DCF-4AAE-89D8-9E169965E715}" id="{16EE3180-13B8-435D-AB4B-B41BF8A82A34}">
    <text>Equation 15</text>
  </threadedComment>
  <threadedComment ref="C188" dT="2023-10-10T21:49:31.85" personId="{DD8A8376-5DCF-4AAE-89D8-9E169965E715}" id="{8D84DCE0-338F-4530-A106-7ED33C8619C8}">
    <text>Equation 21</text>
  </threadedComment>
</ThreadedComments>
</file>

<file path=xl/threadedComments/threadedComment10.xml><?xml version="1.0" encoding="utf-8"?>
<ThreadedComments xmlns="http://schemas.microsoft.com/office/spreadsheetml/2018/threadedcomments" xmlns:x="http://schemas.openxmlformats.org/spreadsheetml/2006/main">
  <threadedComment ref="F9" dT="2023-10-02T17:56:34.11" personId="{AB959230-5012-4FB9-AB54-C27327F321BB}" id="{5074F6AA-10FE-4BCA-A0ED-59878898ACED}">
    <text>Eq 2</text>
  </threadedComment>
  <threadedComment ref="F16" dT="2023-10-02T18:19:24.82" personId="{AB959230-5012-4FB9-AB54-C27327F321BB}" id="{CE05C2A6-D1CB-4273-896C-9DC939EBE70A}">
    <text>Tool 05</text>
  </threadedComment>
  <threadedComment ref="F20" dT="2023-10-02T18:19:14.96" personId="{AB959230-5012-4FB9-AB54-C27327F321BB}" id="{4420B24A-07E2-4D18-AE5F-BE347E4013F8}">
    <text>Tool 03</text>
  </threadedComment>
  <threadedComment ref="F22" dT="2023-10-02T18:22:40.35" personId="{AB959230-5012-4FB9-AB54-C27327F321BB}" id="{D3B5BD3E-ACFA-4118-80C6-952B87D2434F}">
    <text>Eq 4</text>
  </threadedComment>
  <threadedComment ref="F27" dT="2023-10-02T20:18:08.28" personId="{AB959230-5012-4FB9-AB54-C27327F321BB}" id="{FFED7DE8-2328-4160-95EE-6653F3917F9E}">
    <text>Eq 5</text>
  </threadedComment>
  <threadedComment ref="F28" dT="2023-10-02T19:25:26.05" personId="{AB959230-5012-4FB9-AB54-C27327F321BB}" id="{7F0B004F-A16A-4480-AC4F-0660D3412EB6}">
    <text>Eq 6 for option 1 and default for option 2</text>
  </threadedComment>
  <threadedComment ref="F43" dT="2023-10-02T20:26:17.53" personId="{AB959230-5012-4FB9-AB54-C27327F321BB}" id="{03CA6374-60E3-4A04-BEC7-A0C5F1DBF2AF}">
    <text>Eq 7</text>
  </threadedComment>
  <threadedComment ref="F44" dT="2023-10-02T19:35:41.62" personId="{AB959230-5012-4FB9-AB54-C27327F321BB}" id="{6AEC3A2E-8A90-4FBF-AB3A-6B30815B8E95}">
    <text>Eq 8 for option 1 and default for option 2</text>
  </threadedComment>
  <threadedComment ref="F49" dT="2023-10-02T20:09:00.29" personId="{AB959230-5012-4FB9-AB54-C27327F321BB}" id="{83621BEF-7F05-4699-B058-23F41D25521E}">
    <text xml:space="preserve">Eq 9 with if/then for run-off wastewater that is collected and re-circulated </text>
  </threadedComment>
</ThreadedComments>
</file>

<file path=xl/threadedComments/threadedComment11.xml><?xml version="1.0" encoding="utf-8"?>
<ThreadedComments xmlns="http://schemas.microsoft.com/office/spreadsheetml/2018/threadedcomments" xmlns:x="http://schemas.openxmlformats.org/spreadsheetml/2006/main">
  <threadedComment ref="E13" dT="2023-08-03T18:04:10.78" personId="{AB959230-5012-4FB9-AB54-C27327F321BB}" id="{EFDF5DDA-058A-4C9B-988A-A1DFA97F35A0}">
    <text>Eq 1</text>
  </threadedComment>
  <threadedComment ref="E14" dT="2023-09-05T15:07:52.37" personId="{FBB660CD-FB99-4DC5-8065-D02BD05B7DC7}" id="{1274B20E-4957-4F2A-B73E-83DB3286E45B}">
    <text>Eq 3</text>
  </threadedComment>
  <threadedComment ref="E15" dT="2023-09-05T15:07:28.89" personId="{FBB660CD-FB99-4DC5-8065-D02BD05B7DC7}" id="{7F8C15E1-A88B-424C-8E66-6EA2D1BE76A4}">
    <text>Tool 05</text>
  </threadedComment>
  <threadedComment ref="F15" dT="2023-08-16T19:23:01.18" personId="{AB959230-5012-4FB9-AB54-C27327F321BB}" id="{F14A9CA8-D1EE-4766-BD7A-43DBEC291D4B}">
    <text>Comes from tool 03</text>
  </threadedComment>
  <threadedComment ref="E16" dT="2023-09-05T15:07:12.12" personId="{FBB660CD-FB99-4DC5-8065-D02BD05B7DC7}" id="{04A705DC-3817-499B-82E7-597568884FC2}">
    <text>Eq 4</text>
  </threadedComment>
  <threadedComment ref="E19" dT="2023-08-03T18:14:45.92" personId="{AB959230-5012-4FB9-AB54-C27327F321BB}" id="{1AFCAF0C-3F68-4518-9503-FB97259A2C77}">
    <text>Eq 4</text>
  </threadedComment>
  <threadedComment ref="E19" dT="2023-08-03T18:42:23.82" personId="{AB959230-5012-4FB9-AB54-C27327F321BB}" id="{51F86C30-FA3A-4196-B202-849FA15524DD}" parentId="{1AFCAF0C-3F68-4518-9503-FB97259A2C77}">
    <text xml:space="preserve">Tool 8 Tool to determine the mass flow of a greenhouse gas in a gaseous stream </text>
  </threadedComment>
  <threadedComment ref="E24" dT="2023-08-03T18:14:38.43" personId="{AB959230-5012-4FB9-AB54-C27327F321BB}" id="{FC21E873-0038-46DA-ABF2-A3FB83826BF5}">
    <text>Eq 3</text>
  </threadedComment>
  <threadedComment ref="E28" dT="2023-08-03T18:19:12.73" personId="{AB959230-5012-4FB9-AB54-C27327F321BB}" id="{CEC7F70E-070F-4DEC-B31A-E52CB42FBDBA}">
    <text>Eq 9</text>
  </threadedComment>
  <threadedComment ref="E29" dT="2023-08-03T18:26:53.25" personId="{AB959230-5012-4FB9-AB54-C27327F321BB}" id="{42AD66A2-3419-47C1-9E83-C08531E799E8}">
    <text>Eq 15</text>
  </threadedComment>
  <threadedComment ref="E31" dT="2023-08-03T18:22:54.67" personId="{AB959230-5012-4FB9-AB54-C27327F321BB}" id="{85EAE3C4-3A39-4904-9FCB-EFFCD60B7747}">
    <text>Eq 10</text>
  </threadedComment>
  <threadedComment ref="F34" dT="2023-08-03T18:35:58.01" personId="{AB959230-5012-4FB9-AB54-C27327F321BB}" id="{684ABE80-48F4-4DCB-AAD0-C7FA41BCA2FF}">
    <text>Methane</text>
  </threadedComment>
  <threadedComment ref="E37" dT="2023-08-03T18:26:34.28" personId="{AB959230-5012-4FB9-AB54-C27327F321BB}" id="{28A8904D-750A-4F6D-9EC0-B11A48B95AFD}">
    <text>Eq 16</text>
  </threadedComment>
  <threadedComment ref="E38" dT="2023-08-03T18:29:23.16" personId="{AB959230-5012-4FB9-AB54-C27327F321BB}" id="{EA056C27-489E-44DA-893B-CA9F55FE7FF2}">
    <text>Eq 17</text>
  </threadedComment>
  <threadedComment ref="E42" dT="2023-08-03T18:52:20.08" personId="{AB959230-5012-4FB9-AB54-C27327F321BB}" id="{EC2446AC-121B-48D3-AF2A-8FB85C5FA91A}">
    <text>Eq 2</text>
  </threadedComment>
  <threadedComment ref="C46" dT="2023-08-04T20:02:42.42" personId="{AB959230-5012-4FB9-AB54-C27327F321BB}" id="{9B89EF84-2890-42D9-95AB-5A82A63D9E4E}">
    <text>This data comes from tool 05</text>
  </threadedComment>
  <threadedComment ref="E47" dT="2023-08-10T14:56:00.30" personId="{AB959230-5012-4FB9-AB54-C27327F321BB}" id="{DD321998-C426-4F6A-BF1B-825CE8242589}">
    <text>Eq 1</text>
  </threadedComment>
  <threadedComment ref="E47" dT="2023-08-16T20:12:59.41" personId="{AB959230-5012-4FB9-AB54-C27327F321BB}" id="{5024D821-6C1D-45F9-A7FD-55EAECBDA054}" parentId="{DD321998-C426-4F6A-BF1B-825CE8242589}">
    <text>Tool 05</text>
  </threadedComment>
  <threadedComment ref="E49" dT="2023-08-03T19:33:15.39" personId="{AB959230-5012-4FB9-AB54-C27327F321BB}" id="{BFB86B4C-3E55-4DB3-84A4-B982B0828E2E}">
    <text>Eq 3</text>
  </threadedComment>
  <threadedComment ref="C54" dT="2023-08-04T20:03:23.24" personId="{AB959230-5012-4FB9-AB54-C27327F321BB}" id="{7107C21F-9792-4347-9CDC-479CE463C6C2}">
    <text>This data comes from tool 05</text>
  </threadedComment>
  <threadedComment ref="E55" dT="2023-08-10T14:56:00.30" personId="{AB959230-5012-4FB9-AB54-C27327F321BB}" id="{CB98C320-0DDC-4CAB-924D-45591CCF9C9F}">
    <text>Eq 1</text>
  </threadedComment>
  <threadedComment ref="E55" dT="2023-08-16T20:15:28.34" personId="{AB959230-5012-4FB9-AB54-C27327F321BB}" id="{67F7056F-4078-41E1-A2DD-7C6631C02031}" parentId="{CB98C320-0DDC-4CAB-924D-45591CCF9C9F}">
    <text>Tool 03</text>
  </threadedComment>
  <threadedComment ref="E57" dT="2023-08-03T19:41:13.38" personId="{AB959230-5012-4FB9-AB54-C27327F321BB}" id="{FFEB4DF2-F791-4D49-992C-AD59E5D4AD90}">
    <text>Eq 4</text>
  </threadedComment>
  <threadedComment ref="C62" dT="2023-08-04T20:13:11.89" personId="{AB959230-5012-4FB9-AB54-C27327F321BB}" id="{6A91C035-AF86-402A-B7ED-D1C19BE66B2D}">
    <text>Data comes from Tool 06</text>
  </threadedComment>
  <threadedComment ref="E63" dT="2023-08-16T20:17:50.63" personId="{AB959230-5012-4FB9-AB54-C27327F321BB}" id="{A3CED1DD-38A8-48B3-B410-A6E69B893D4C}">
    <text>Tool 06</text>
  </threadedComment>
  <threadedComment ref="E63" dT="2023-08-16T20:18:06.74" personId="{AB959230-5012-4FB9-AB54-C27327F321BB}" id="{EED69E64-C702-401B-B1CC-3C083D9412AB}" parentId="{A3CED1DD-38A8-48B3-B410-A6E69B893D4C}">
    <text>Eq 15</text>
  </threadedComment>
  <threadedComment ref="E65" dT="2023-08-04T19:24:29.94" personId="{AB959230-5012-4FB9-AB54-C27327F321BB}" id="{6F043615-F552-4609-A168-F59A9BDF222B}">
    <text>Eq 5</text>
  </threadedComment>
  <threadedComment ref="E69" dT="2023-08-04T19:42:52.91" personId="{AB959230-5012-4FB9-AB54-C27327F321BB}" id="{0DEEF430-F308-4F40-8ABF-4AD4E3616F9E}">
    <text>Eq 6</text>
  </threadedComment>
  <threadedComment ref="E77" dT="2023-08-04T19:47:05.88" personId="{AB959230-5012-4FB9-AB54-C27327F321BB}" id="{064EC417-825B-41F6-824E-6BAB53AACC12}">
    <text>Eq 7</text>
  </threadedComment>
  <threadedComment ref="E83" dT="2023-08-04T19:52:24.79" personId="{AB959230-5012-4FB9-AB54-C27327F321BB}" id="{1024BF4E-1409-4DF0-9EA9-82C58C3C8579}">
    <text>Eq 8</text>
  </threadedComment>
  <threadedComment ref="E89" dT="2023-08-04T19:52:24.79" personId="{AB959230-5012-4FB9-AB54-C27327F321BB}" id="{6C28D4D4-469D-414A-BA69-DC9F609D71DF}">
    <text>Eq 8</text>
  </threadedComment>
</ThreadedComments>
</file>

<file path=xl/threadedComments/threadedComment12.xml><?xml version="1.0" encoding="utf-8"?>
<ThreadedComments xmlns="http://schemas.microsoft.com/office/spreadsheetml/2018/threadedcomments" xmlns:x="http://schemas.openxmlformats.org/spreadsheetml/2006/main">
  <threadedComment ref="B38" dT="2023-09-22T17:52:54.23" personId="{DD8A8376-5DCF-4AAE-89D8-9E169965E715}" id="{32FA8A95-6B76-407D-BC9C-40C7B9953587}">
    <text>Equation 8</text>
  </threadedComment>
  <threadedComment ref="B43" dT="2023-09-22T17:20:03.85" personId="{DD8A8376-5DCF-4AAE-89D8-9E169965E715}" id="{6E12116C-0A59-49FE-AF8A-A72E2BF5E4DA}">
    <text>Equation 7</text>
  </threadedComment>
  <threadedComment ref="B48" dT="2023-09-22T16:54:06.93" personId="{DD8A8376-5DCF-4AAE-89D8-9E169965E715}" id="{D56DA566-7BDB-45EF-A73B-5C923C436A87}">
    <text>Equation 6</text>
  </threadedComment>
  <threadedComment ref="B54" dT="2023-09-22T16:20:01.99" personId="{DD8A8376-5DCF-4AAE-89D8-9E169965E715}" id="{FBAF497E-85D6-4FD2-820C-0F5F1DB9F488}">
    <text>Equation 5</text>
  </threadedComment>
  <threadedComment ref="B56" dT="2023-09-22T16:09:08.74" personId="{DD8A8376-5DCF-4AAE-89D8-9E169965E715}" id="{79D68DEA-F821-4CA7-A135-C637D3D8054C}">
    <text>Equation 4</text>
  </threadedComment>
  <threadedComment ref="B66" dT="2023-09-22T16:13:56.33" personId="{DD8A8376-5DCF-4AAE-89D8-9E169965E715}" id="{DE13F090-AC71-40EF-A1C3-055A74F27437}">
    <text>Equation 3</text>
  </threadedComment>
  <threadedComment ref="B70" dT="2023-09-22T16:08:33.70" personId="{DD8A8376-5DCF-4AAE-89D8-9E169965E715}" id="{90D6E656-59B1-419F-A59F-E455154D837D}">
    <text>Equation 2</text>
  </threadedComment>
  <threadedComment ref="B71" dT="2023-09-21T18:49:20.46" personId="{DD8A8376-5DCF-4AAE-89D8-9E169965E715}" id="{10E10ADF-24FB-4B7F-8B86-797E55343D23}">
    <text>Equation 1</text>
  </threadedComment>
  <threadedComment ref="B79" dT="2023-09-26T23:01:53.39" personId="{DD8A8376-5DCF-4AAE-89D8-9E169965E715}" id="{B016F1F1-7648-4B34-98A9-E47FA86D2124}">
    <text>Equation 13</text>
  </threadedComment>
  <threadedComment ref="B85" dT="2023-09-22T19:29:14.23" personId="{DD8A8376-5DCF-4AAE-89D8-9E169965E715}" id="{3B1E88A7-05A0-4C50-9912-CF70E20052C7}">
    <text>Equation 11</text>
  </threadedComment>
  <threadedComment ref="B91" dT="2023-09-27T21:05:11.72" personId="{DD8A8376-5DCF-4AAE-89D8-9E169965E715}" id="{014DE7F0-9F34-4FCA-8D8B-AE816DB7C32E}">
    <text>Equation 9</text>
  </threadedComment>
  <threadedComment ref="B95" dT="2023-09-26T23:02:13.22" personId="{DD8A8376-5DCF-4AAE-89D8-9E169965E715}" id="{7BFC8B06-ED72-4038-9088-EB05019B5FD5}">
    <text>Equation 14</text>
  </threadedComment>
  <threadedComment ref="B101" dT="2023-09-26T23:00:46.78" personId="{DD8A8376-5DCF-4AAE-89D8-9E169965E715}" id="{E62CC87F-DC2A-4AB0-847B-8B9A4F40BC17}">
    <text>Equation 12</text>
  </threadedComment>
  <threadedComment ref="B107" dT="2023-09-27T21:05:29.30" personId="{DD8A8376-5DCF-4AAE-89D8-9E169965E715}" id="{1A26B14B-C7F7-47D4-89EA-3D250CA62444}">
    <text>Equation 10</text>
  </threadedComment>
  <threadedComment ref="B116" dT="2023-09-26T23:05:30.00" personId="{DD8A8376-5DCF-4AAE-89D8-9E169965E715}" id="{A49D0B75-908A-4DA5-8C3C-E70DA8D9CB41}">
    <text>Equation 15</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3-09-28T20:33:45.05" personId="{DD8A8376-5DCF-4AAE-89D8-9E169965E715}" id="{61EA5ED5-8317-454F-A287-0A43790CC627}">
    <text xml:space="preserve">Add one of each of the parameters and an annual total for each year added. </text>
  </threadedComment>
  <threadedComment ref="A8" dT="2023-09-28T20:38:30.46" personId="{DD8A8376-5DCF-4AAE-89D8-9E169965E715}" id="{D3F87FD9-BE36-4EDC-8E9B-A72F54C89FAE}">
    <text xml:space="preserve">Add one of each of the parameters and an annual total for each year added. </text>
  </threadedComment>
  <threadedComment ref="A13" dT="2023-09-28T20:34:08.78" personId="{DD8A8376-5DCF-4AAE-89D8-9E169965E715}" id="{FB548790-7C20-4FFF-A73A-39537544D145}">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14.xml><?xml version="1.0" encoding="utf-8"?>
<ThreadedComments xmlns="http://schemas.microsoft.com/office/spreadsheetml/2018/threadedcomments" xmlns:x="http://schemas.openxmlformats.org/spreadsheetml/2006/main">
  <threadedComment ref="A4" dT="2023-09-29T15:58:18.25" personId="{DD8A8376-5DCF-4AAE-89D8-9E169965E715}" id="{9646E5F7-3E1A-4E49-B9C5-3983831050A3}">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DD8A8376-5DCF-4AAE-89D8-9E169965E715}" id="{637CF8C4-E155-4E8D-80AE-D80627BC9E62}">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DD8A8376-5DCF-4AAE-89D8-9E169965E715}" id="{A78B2F68-F132-4329-A5D7-B46F1AB8D31C}">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DD8A8376-5DCF-4AAE-89D8-9E169965E715}" id="{049ECA95-B8B2-495B-A9C6-1F4592632A4F}">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DD8A8376-5DCF-4AAE-89D8-9E169965E715}" id="{17A5C06D-2972-4EAC-9223-CD92F00F5A56}">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DD8A8376-5DCF-4AAE-89D8-9E169965E715}" id="{C164D4E7-A8A6-49D7-AB3C-5A1D1AE930D1}">
    <text xml:space="preserve">Help Text: The stock data should be used only if there is no sales data. </text>
  </threadedComment>
  <threadedComment ref="A25" dT="2023-09-29T21:27:11.46" personId="{DD8A8376-5DCF-4AAE-89D8-9E169965E715}" id="{64B36DA8-7589-4361-88FF-075B5F8D939A}" parentId="{C164D4E7-A8A6-49D7-AB3C-5A1D1AE930D1}">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threadedComments/threadedComment15.xml><?xml version="1.0" encoding="utf-8"?>
<ThreadedComments xmlns="http://schemas.microsoft.com/office/spreadsheetml/2018/threadedcomments" xmlns:x="http://schemas.openxmlformats.org/spreadsheetml/2006/main">
  <threadedComment ref="A6" dT="2023-09-30T18:08:28.21" personId="{DD8A8376-5DCF-4AAE-89D8-9E169965E715}" id="{0AD5071C-DEAC-4769-AF64-0356E24E47A3}">
    <text xml:space="preserve">Help Text: For biomass from forests and biomass from croplands or grasslands, the project boundary shall include the area where the biomass is extracted or produced. </text>
  </threadedComment>
  <threadedComment ref="A9" dT="2023-09-30T19:28:23.42" personId="{DD8A8376-5DCF-4AAE-89D8-9E169965E715}" id="{3B4726AF-84F7-4AE7-83B1-3957285E188B}">
    <text xml:space="preserve">Help Text: These emission sources may be project emissions (if under the control of project participants, i.e. if the land area where the biomass is grown is included in the project boundary) or sources of leakage (if the source is not under control of project participants).
</text>
  </threadedComment>
  <threadedComment ref="A13" dT="2023-09-30T19:38:36.75" personId="{DD8A8376-5DCF-4AAE-89D8-9E169965E715}" id="{2C22FCA1-4B5B-4DC6-9E3A-2C83EC7E0420}">
    <text xml:space="preserve">Help Text: Shifts of pre-project activities are relevant where in the absence of the project activity the land areas would be used for other purposes (i.e. agriculture). Consequently, as a first guidance, project participants may neglect leakage effects due to shifts in pre-project activities, where the land would not be used or where the land use (inside the project boundary) does not change as a result of the project activity. For other types of biomass, deforestation on other land areas as a result of shifts of preproject activities might be the most important potential leakage source. For the assessment of whether a project activity results in deforestation elsewhere, it can be necessary to evaluate whether there is significant land pressure in the area. 
</text>
  </threadedComment>
  <threadedComment ref="A17" dT="2023-09-30T20:08:32.32" personId="{DD8A8376-5DCF-4AAE-89D8-9E169965E715}" id="{89892774-869F-4252-8378-0EE0C69254EA}">
    <text>Help Text: These emissions sources shall respectively be included in a simplified manner, not involving any significant transaction costs. All other emission sources are likely to be smaller than 10% (each) - including transportation of raw materials and biomass, fossil fuel consumption for the cultivation of plantations - and can therefore be neglected in the context of SSC project activities.</text>
  </threadedComment>
  <threadedComment ref="A18" dT="2023-09-30T20:10:17.49" personId="{DD8A8376-5DCF-4AAE-89D8-9E169965E715}" id="{6F180D35-4927-4632-9AFC-2FDE53D52E48}">
    <text xml:space="preserve">Help Text: Project participants shall monitor the type and quantity of fertilizer applied to the land areas. N2O emissions from the use of synthetic and organic fertilizers shall be estimated according to provisions outlined in the Revised 1996 IPCC Guidelines for National Greenhouse Gas Inventories (Chapter. 4.5). </text>
  </threadedComment>
  <threadedComment ref="A19" dT="2023-09-30T20:11:51.02" personId="{DD8A8376-5DCF-4AAE-89D8-9E169965E715}" id="{A4F8213A-6AD8-42CF-9085-E399E8236FE7}">
    <text>Help Text: Project emissions from clearance of lands can be significant in cases where an area is deforested to produce the biomass. In other cases, the land area (e.g., abandoned land) can regenerate in the absence of production of the biomass resulting in increasing carbon stocks in carbon pools. As a consequence, carbon stocks in carbon pools could be higher in the baseline scenario than in the project scenario. However, as a simplification, it is suggested to neglect this latter case. The potential of deforestation due to the implementation of the CDM project activity must be addressed by considering the following applicability condition: Where the project activity involves the use of a type of renewable biomass that is not a biomass residues or waste, project participants shall demonstrate that the area where the biomass is grown is not a forest (as per DNA forest definition) and has not been deforested, according to the forest definition by the national DNA, during the last 10 years prior to the implementation of the project activity. In the absence of forest definition from the DNA, definitions provided by relevant international organisations (e.g., FAO) shall be used.</text>
  </threadedComment>
  <threadedComment ref="A22" dT="2023-10-02T19:50:51.02" personId="{DD8A8376-5DCF-4AAE-89D8-9E169965E715}" id="{88D565B5-7F2E-4CA5-8307-26B396850929}">
    <text xml:space="preserve">Help Text: This shall be demonstrated using published literature, official reports, surveys etc. The surplus must be at least 25% larger than the quantity of biomass that is utilized including the project activity. </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8-16T16:15:54.51" personId="{AB959230-5012-4FB9-AB54-C27327F321BB}" id="{0BA5137B-8946-4F75-8E4F-7213735590D7}">
    <text>Eq 1</text>
  </threadedComment>
</ThreadedComments>
</file>

<file path=xl/threadedComments/threadedComment3.xml><?xml version="1.0" encoding="utf-8"?>
<ThreadedComments xmlns="http://schemas.microsoft.com/office/spreadsheetml/2018/threadedcomments" xmlns:x="http://schemas.openxmlformats.org/spreadsheetml/2006/main">
  <threadedComment ref="B34" dT="2023-09-14T15:57:32.66" personId="{DD8A8376-5DCF-4AAE-89D8-9E169965E715}" id="{8C8B3660-61F4-4070-BB38-C8EB414278E6}">
    <text>Equation 3</text>
  </threadedComment>
  <threadedComment ref="B35" dT="2023-09-14T15:57:50.52" personId="{DD8A8376-5DCF-4AAE-89D8-9E169965E715}" id="{B426CF24-C624-4583-88A2-FF224D7F8164}">
    <text>Equation 4</text>
  </threadedComment>
  <threadedComment ref="B44" dT="2023-09-14T16:00:06.57" personId="{DD8A8376-5DCF-4AAE-89D8-9E169965E715}" id="{84BEC392-622E-44A6-9937-C0CBEAC0D297}">
    <text>Equation 7</text>
  </threadedComment>
  <threadedComment ref="B45" dT="2023-09-14T15:58:31.69" personId="{DD8A8376-5DCF-4AAE-89D8-9E169965E715}" id="{B1E967E5-39F5-433C-B1E7-FA43747AF180}">
    <text>Equation 5</text>
  </threadedComment>
  <threadedComment ref="B54" dT="2023-09-14T16:00:45.83" personId="{DD8A8376-5DCF-4AAE-89D8-9E169965E715}" id="{394E0161-FDCA-4FDF-A3F2-92373E6D4313}">
    <text>Equation 9</text>
  </threadedComment>
  <threadedComment ref="B59" dT="2023-09-14T16:01:11.41" personId="{DD8A8376-5DCF-4AAE-89D8-9E169965E715}" id="{4D7F7A5F-5E6F-496D-86FC-F3F47690119E}">
    <text>Equation 11</text>
  </threadedComment>
  <threadedComment ref="B66" dT="2023-09-14T16:02:00.74" personId="{DD8A8376-5DCF-4AAE-89D8-9E169965E715}" id="{9B0D2B2A-EFBF-406A-A2A9-13B9B4108A67}">
    <text>Equation 12</text>
  </threadedComment>
  <threadedComment ref="B86" dT="2023-09-08T16:51:38.02" personId="{DD8A8376-5DCF-4AAE-89D8-9E169965E715}" id="{FDAA42E9-80D5-4A76-89B0-F8C7FD979787}">
    <text>Equation 1</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4T16:39:36.76" personId="{DD8A8376-5DCF-4AAE-89D8-9E169965E715}" id="{6ED1E757-956C-44A3-9A6F-DF8412497CC2}">
    <text>Add a line for each SWDS CH4 calculation instance added</text>
  </threadedComment>
</ThreadedComments>
</file>

<file path=xl/threadedComments/threadedComment5.xml><?xml version="1.0" encoding="utf-8"?>
<ThreadedComments xmlns="http://schemas.microsoft.com/office/spreadsheetml/2018/threadedcomments" xmlns:x="http://schemas.openxmlformats.org/spreadsheetml/2006/main">
  <threadedComment ref="F6" dT="2023-08-10T14:56:00.30" personId="{AB959230-5012-4FB9-AB54-C27327F321BB}" id="{241EE2ED-CE98-4676-AA0C-8DD60FB90173}">
    <text>Eq 1</text>
  </threadedComment>
  <threadedComment ref="F11" dT="2023-08-10T14:56:07.23" personId="{AB959230-5012-4FB9-AB54-C27327F321BB}" id="{7CADBB56-0B15-4698-AEB1-970EDD8D17C5}">
    <text>Eq 2</text>
  </threadedComment>
  <threadedComment ref="F13" dT="2023-08-14T21:55:53.61" personId="{AB959230-5012-4FB9-AB54-C27327F321BB}" id="{7F42A2CC-2F1A-4447-9050-2A00D298BE13}">
    <text>At least monthly recording of data</text>
  </threadedComment>
  <threadedComment ref="F16" dT="2023-08-10T14:56:16.16" personId="{AB959230-5012-4FB9-AB54-C27327F321BB}" id="{F21DB304-5220-4FCE-AF2B-2D546477592C}">
    <text>Eq 3</text>
  </threadedComment>
  <threadedComment ref="F22" dT="2023-08-22T01:12:00.32" personId="{AB959230-5012-4FB9-AB54-C27327F321BB}" id="{D2D680F3-426B-42AA-A25F-FD54436691E7}">
    <text>Eq 7</text>
  </threadedComment>
  <threadedComment ref="F23" dT="2023-08-22T01:12:36.84" personId="{AB959230-5012-4FB9-AB54-C27327F321BB}" id="{9F177AB6-C37A-41EE-A80D-3D70F736921B}">
    <text>Eq 8</text>
  </threadedComment>
  <threadedComment ref="F37" dT="2023-08-10T15:56:01.08" personId="{AB959230-5012-4FB9-AB54-C27327F321BB}" id="{17CD2BC9-6009-44AD-AAC4-EC7DDFA3861E}">
    <text>Eq 4</text>
  </threadedComment>
  <threadedComment ref="F38" dT="2023-08-10T21:11:09.42" personId="{AB959230-5012-4FB9-AB54-C27327F321BB}" id="{5697C82E-AF2E-4C2F-A1E6-A6B7A8CCC2CB}">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10T15:56:01.08" personId="{AB959230-5012-4FB9-AB54-C27327F321BB}" id="{5DF69D01-9AF8-4916-AED2-4CC42D3D3D7F}">
    <text>Eq 4</text>
  </threadedComment>
  <threadedComment ref="F4" dT="2023-08-10T21:11:09.42" personId="{AB959230-5012-4FB9-AB54-C27327F321BB}" id="{36F33592-294F-42E7-B6D0-40972BB70E0E}">
    <text>Eq 5</text>
  </threadedComment>
  <threadedComment ref="F7" dT="2023-08-10T15:56:01.08" personId="{AB959230-5012-4FB9-AB54-C27327F321BB}" id="{883228E2-12A7-4FA8-9C1A-59CD5A780E4F}">
    <text>Eq 4</text>
  </threadedComment>
  <threadedComment ref="F8" dT="2023-08-10T21:11:09.42" personId="{AB959230-5012-4FB9-AB54-C27327F321BB}" id="{84E32CD5-D768-42EE-A4CA-4F823F79EC35}">
    <text>Eq 5</text>
  </threadedComment>
  <threadedComment ref="F10" dT="2023-08-10T21:00:37.41" personId="{AB959230-5012-4FB9-AB54-C27327F321BB}" id="{91D9319F-A48C-40A6-8018-29A549EFB79D}">
    <text>Assumptions are made for this that the unit for FCn,i,t is in metric tons</text>
  </threadedComment>
  <threadedComment ref="G10" dT="2023-08-10T19:37:59.63" personId="{AB959230-5012-4FB9-AB54-C27327F321BB}" id="{205E3575-77B9-43E6-8AAD-7880C7AF2054}">
    <text>Dependent on fuel type selection</text>
  </threadedComment>
  <threadedComment ref="G11" dT="2023-08-10T19:38:12.02" personId="{AB959230-5012-4FB9-AB54-C27327F321BB}" id="{2FBB5051-3BFA-4411-AC08-20C88E3F23A3}">
    <text>Dependent on fuel type selection</text>
  </threadedComment>
  <threadedComment ref="F12" dT="2023-08-10T20:53:47.04" personId="{AB959230-5012-4FB9-AB54-C27327F321BB}" id="{41D7256F-5CFA-454E-82BF-212022FDCC69}">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AB959230-5012-4FB9-AB54-C27327F321BB}" id="{7F35FA82-03DB-4E7E-95DC-871394863968}">
    <text>Eq 4</text>
  </threadedComment>
  <threadedComment ref="F20" dT="2023-08-10T21:11:09.42" personId="{AB959230-5012-4FB9-AB54-C27327F321BB}" id="{7088DA55-8C55-4D98-8085-F3B19DA646EC}">
    <text>Eq 5</text>
  </threadedComment>
  <threadedComment ref="F22" dT="2023-08-10T21:00:37.41" personId="{AB959230-5012-4FB9-AB54-C27327F321BB}" id="{561F0F56-8782-48BD-871B-30BFD0799816}">
    <text>Assumptions are made for this that the unit for FCn,i,t is in metric tons</text>
  </threadedComment>
  <threadedComment ref="G22" dT="2023-08-10T19:37:59.63" personId="{AB959230-5012-4FB9-AB54-C27327F321BB}" id="{7E958901-C323-4395-A38A-282B49A34328}">
    <text>Dependent on fuel type selection</text>
  </threadedComment>
  <threadedComment ref="G23" dT="2023-08-10T19:38:12.02" personId="{AB959230-5012-4FB9-AB54-C27327F321BB}" id="{449C686F-8C4E-4181-84A2-2E57384DD0AD}">
    <text>Dependent on fuel type selection</text>
  </threadedComment>
  <threadedComment ref="F24" dT="2023-08-10T20:53:47.04" personId="{AB959230-5012-4FB9-AB54-C27327F321BB}" id="{CBC54725-94F6-401C-9E21-06BAB1DF823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AB959230-5012-4FB9-AB54-C27327F321BB}" id="{AF039C15-3A0E-460B-BD9F-6984DBBDF6CB}">
    <text>Eq 4</text>
  </threadedComment>
  <threadedComment ref="F32" dT="2023-08-10T21:11:09.42" personId="{AB959230-5012-4FB9-AB54-C27327F321BB}" id="{B1C7C0B3-4DEA-42B2-B973-62967AE13D67}">
    <text>Eq 5</text>
  </threadedComment>
  <threadedComment ref="F34" dT="2023-08-10T21:00:37.41" personId="{AB959230-5012-4FB9-AB54-C27327F321BB}" id="{7E8B5D89-B3A0-45CF-9CF9-2E70983FAEA7}">
    <text>Assumptions are made for this that the unit for FCn,i,t is in metric tons</text>
  </threadedComment>
  <threadedComment ref="G34" dT="2023-08-10T19:37:59.63" personId="{AB959230-5012-4FB9-AB54-C27327F321BB}" id="{3E062CAE-7853-466B-ACB6-DD046D9B1624}">
    <text>Dependent on fuel type selection</text>
  </threadedComment>
  <threadedComment ref="G35" dT="2023-08-10T19:38:12.02" personId="{AB959230-5012-4FB9-AB54-C27327F321BB}" id="{7A6A337D-CB72-42EA-BABD-A6404572377A}">
    <text>Dependent on fuel type selection</text>
  </threadedComment>
  <threadedComment ref="F36" dT="2023-08-10T20:53:47.04" personId="{AB959230-5012-4FB9-AB54-C27327F321BB}" id="{0CA0F82F-842C-4B13-A56F-182C2E6095F1}">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10T16:26:52.04" personId="{AB959230-5012-4FB9-AB54-C27327F321BB}" id="{E6C92DB4-D90E-4933-BDAD-2E4F7DB1697C}">
    <text>Upper Default Value at the 95% confidence interval</text>
  </threadedComment>
</ThreadedComments>
</file>

<file path=xl/threadedComments/threadedComment8.xml><?xml version="1.0" encoding="utf-8"?>
<ThreadedComments xmlns="http://schemas.microsoft.com/office/spreadsheetml/2018/threadedcomments" xmlns:x="http://schemas.openxmlformats.org/spreadsheetml/2006/main">
  <threadedComment ref="C44" dT="2023-08-07T18:31:59.03" personId="{AB959230-5012-4FB9-AB54-C27327F321BB}" id="{38836FAA-1F8D-4B77-96D1-AE2E4987DF9E}">
    <text>Eq 5</text>
  </threadedComment>
  <threadedComment ref="C45" dT="2023-08-07T18:37:45.62" personId="{AB959230-5012-4FB9-AB54-C27327F321BB}" id="{B39D5E90-222E-40D5-A048-84DAD73DA21E}">
    <text>Eq 6</text>
  </threadedComment>
  <threadedComment ref="C48" dT="2023-08-07T18:37:33.62" personId="{AB959230-5012-4FB9-AB54-C27327F321BB}" id="{368356BB-DB3B-48F4-9F08-D195A73C7FFD}">
    <text>Eq 7</text>
  </threadedComment>
  <threadedComment ref="C49" dT="2023-08-07T18:58:57.06" personId="{AB959230-5012-4FB9-AB54-C27327F321BB}" id="{32CA48B0-23F5-4EB4-B56B-5CD94038C17D}">
    <text>Comes from tool 08</text>
  </threadedComment>
  <threadedComment ref="C50" dT="2023-08-07T19:02:06.06" personId="{AB959230-5012-4FB9-AB54-C27327F321BB}" id="{09FD1F75-F2BE-494F-8D27-B3940F03A6A6}">
    <text>Eq 5 in tool 08</text>
  </threadedComment>
  <threadedComment ref="C51" dT="2023-08-07T18:58:57.06" personId="{AB959230-5012-4FB9-AB54-C27327F321BB}" id="{9690CDFA-4726-4BE0-8747-403900AC0739}">
    <text>Comes from tool 08</text>
  </threadedComment>
  <threadedComment ref="C54" dT="2023-08-07T20:32:58.24" personId="{AB959230-5012-4FB9-AB54-C27327F321BB}" id="{557A884A-ABC3-4C4E-A37A-743BE117F2ED}">
    <text>Eq 3</text>
  </threadedComment>
  <threadedComment ref="C56" dT="2023-08-07T19:07:00.47" personId="{AB959230-5012-4FB9-AB54-C27327F321BB}" id="{2C731843-F625-4B2E-A4B2-9A3FD1DE3A43}">
    <text>Eq 4</text>
  </threadedComment>
  <threadedComment ref="C57" dT="2023-08-07T19:07:25.43" personId="{AB959230-5012-4FB9-AB54-C27327F321BB}" id="{AE5E0DF2-CD96-4C0E-949F-40AD50485CAE}">
    <text>Eq 8</text>
  </threadedComment>
  <threadedComment ref="C58" dT="2023-08-07T19:08:12.17" personId="{AB959230-5012-4FB9-AB54-C27327F321BB}" id="{6B9DD6DA-9BC6-48A1-B716-B0C9EBF4A13C}">
    <text>Eq 9</text>
  </threadedComment>
  <threadedComment ref="C59" dT="2023-08-07T19:08:57.03" personId="{AB959230-5012-4FB9-AB54-C27327F321BB}" id="{84B450C3-ACC6-4F60-9CE7-F80353EE4165}">
    <text>Eq 10</text>
  </threadedComment>
  <threadedComment ref="C60" dT="2023-08-07T19:09:14.09" personId="{AB959230-5012-4FB9-AB54-C27327F321BB}" id="{12197156-05F5-481D-9267-716FEE5C36DE}">
    <text>Eq 11</text>
  </threadedComment>
  <threadedComment ref="C61" dT="2023-08-07T19:09:51.89" personId="{AB959230-5012-4FB9-AB54-C27327F321BB}" id="{B71DBA06-0373-454F-961D-6379E6EC0699}">
    <text>Eq 12</text>
  </threadedComment>
  <threadedComment ref="C62" dT="2023-08-07T19:10:10.48" personId="{AB959230-5012-4FB9-AB54-C27327F321BB}" id="{B5E2E43F-80FB-47BE-9803-9B19A3FBDEF0}">
    <text>Eq 13</text>
  </threadedComment>
  <threadedComment ref="C64" dT="2023-08-07T19:19:04.14" personId="{AB959230-5012-4FB9-AB54-C27327F321BB}" id="{7E621A16-4BDC-463A-9F64-3221C9B5E8FB}">
    <text>Eq 14</text>
  </threadedComment>
  <threadedComment ref="C65" dT="2023-08-07T19:19:12.89" personId="{AB959230-5012-4FB9-AB54-C27327F321BB}" id="{32FD0FDE-1DF9-4BB5-8EB7-8504AE8F8DD6}">
    <text>Eq 14</text>
  </threadedComment>
  <threadedComment ref="C66" dT="2023-08-07T19:19:19.16" personId="{AB959230-5012-4FB9-AB54-C27327F321BB}" id="{3935870F-A1E2-444D-A861-1E594BC6EC6A}">
    <text>Eq 14</text>
  </threadedComment>
  <threadedComment ref="C67" dT="2023-08-07T19:19:27.70" personId="{AB959230-5012-4FB9-AB54-C27327F321BB}" id="{70E2437A-75F7-4F2E-B8C7-DD0A8B243530}">
    <text>Eq 14</text>
  </threadedComment>
  <threadedComment ref="C69" dT="2023-08-07T21:12:45.72" personId="{AB959230-5012-4FB9-AB54-C27327F321BB}" id="{7DD12030-2471-4CCE-BF5E-72FBE37FD1AB}">
    <text>Eq 15</text>
  </threadedComment>
</ThreadedComments>
</file>

<file path=xl/threadedComments/threadedComment9.xml><?xml version="1.0" encoding="utf-8"?>
<ThreadedComments xmlns="http://schemas.microsoft.com/office/spreadsheetml/2018/threadedcomments" xmlns:x="http://schemas.openxmlformats.org/spreadsheetml/2006/main">
  <threadedComment ref="A3" dT="2023-09-20T20:07:43.23" personId="{DD8A8376-5DCF-4AAE-89D8-9E169965E715}" id="{C7DB4D59-E2AB-4627-A4E7-DF36EAC198CB}">
    <text xml:space="preserve">Add a line for each transportation activity (f).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oe@yahoo.ne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4EB7-4B19-4559-8BA1-A4BE7B2890F1}">
  <dimension ref="A1:J188"/>
  <sheetViews>
    <sheetView tabSelected="1" zoomScaleNormal="100" workbookViewId="0">
      <pane ySplit="1" topLeftCell="A164" activePane="bottomLeft" state="frozen"/>
      <selection pane="bottomLeft" activeCell="C195" sqref="C195"/>
    </sheetView>
  </sheetViews>
  <sheetFormatPr defaultRowHeight="14.45"/>
  <cols>
    <col min="1" max="1" width="48.28515625" customWidth="1"/>
    <col min="2" max="2" width="23.5703125" customWidth="1"/>
    <col min="3" max="3" width="81.42578125" style="1" customWidth="1"/>
    <col min="4" max="4" width="53.5703125" customWidth="1"/>
    <col min="5" max="5" width="12.28515625" customWidth="1"/>
    <col min="6" max="7" width="80" customWidth="1"/>
    <col min="8" max="8" width="15.85546875" customWidth="1"/>
    <col min="9" max="9" width="27.5703125" customWidth="1"/>
    <col min="10" max="10" width="22.7109375" customWidth="1"/>
  </cols>
  <sheetData>
    <row r="1" spans="1:10" s="8" customFormat="1" ht="18">
      <c r="A1" s="8" t="s">
        <v>0</v>
      </c>
      <c r="B1" s="8" t="s">
        <v>1</v>
      </c>
      <c r="C1" s="7" t="s">
        <v>2</v>
      </c>
      <c r="D1" s="8" t="s">
        <v>3</v>
      </c>
      <c r="E1" s="8" t="s">
        <v>4</v>
      </c>
      <c r="F1" s="8" t="s">
        <v>5</v>
      </c>
      <c r="G1" s="8" t="s">
        <v>6</v>
      </c>
      <c r="H1" s="8" t="s">
        <v>7</v>
      </c>
      <c r="I1" s="8" t="s">
        <v>8</v>
      </c>
      <c r="J1" s="8" t="s">
        <v>9</v>
      </c>
    </row>
    <row r="2" spans="1:10" s="10" customFormat="1" ht="18">
      <c r="C2" s="9" t="s">
        <v>10</v>
      </c>
    </row>
    <row r="3" spans="1:10">
      <c r="A3" s="166"/>
      <c r="B3" t="s">
        <v>11</v>
      </c>
      <c r="C3" s="99" t="s">
        <v>12</v>
      </c>
      <c r="D3" t="s">
        <v>13</v>
      </c>
      <c r="E3" t="s">
        <v>14</v>
      </c>
      <c r="H3" t="s">
        <v>15</v>
      </c>
      <c r="I3" t="s">
        <v>16</v>
      </c>
    </row>
    <row r="4" spans="1:10">
      <c r="A4" s="166" t="s">
        <v>17</v>
      </c>
      <c r="B4" t="s">
        <v>11</v>
      </c>
      <c r="C4" s="99" t="s">
        <v>18</v>
      </c>
      <c r="D4" t="s">
        <v>19</v>
      </c>
      <c r="E4" t="s">
        <v>14</v>
      </c>
      <c r="H4" t="s">
        <v>15</v>
      </c>
      <c r="I4" t="s">
        <v>16</v>
      </c>
    </row>
    <row r="5" spans="1:10">
      <c r="A5" s="166" t="s">
        <v>20</v>
      </c>
      <c r="B5" t="s">
        <v>11</v>
      </c>
      <c r="C5" s="99" t="s">
        <v>21</v>
      </c>
      <c r="D5" t="s">
        <v>22</v>
      </c>
      <c r="E5" t="s">
        <v>14</v>
      </c>
      <c r="H5" t="s">
        <v>15</v>
      </c>
      <c r="I5" t="s">
        <v>14</v>
      </c>
    </row>
    <row r="6" spans="1:10">
      <c r="A6" s="166"/>
      <c r="B6" t="s">
        <v>11</v>
      </c>
      <c r="C6" s="99" t="s">
        <v>23</v>
      </c>
      <c r="D6" t="s">
        <v>24</v>
      </c>
      <c r="E6" t="s">
        <v>14</v>
      </c>
      <c r="H6" t="s">
        <v>15</v>
      </c>
      <c r="I6" t="s">
        <v>14</v>
      </c>
    </row>
    <row r="7" spans="1:10">
      <c r="A7" s="166" t="s">
        <v>25</v>
      </c>
      <c r="B7" t="s">
        <v>11</v>
      </c>
      <c r="C7" s="99" t="s">
        <v>26</v>
      </c>
      <c r="D7" t="s">
        <v>27</v>
      </c>
      <c r="E7" t="s">
        <v>14</v>
      </c>
      <c r="H7" t="s">
        <v>28</v>
      </c>
    </row>
    <row r="8" spans="1:10">
      <c r="A8" s="166" t="s">
        <v>29</v>
      </c>
      <c r="B8" t="s">
        <v>11</v>
      </c>
      <c r="C8" s="99" t="s">
        <v>30</v>
      </c>
      <c r="D8" t="s">
        <v>31</v>
      </c>
      <c r="E8" t="s">
        <v>14</v>
      </c>
      <c r="H8" t="s">
        <v>15</v>
      </c>
    </row>
    <row r="9" spans="1:10">
      <c r="A9" s="166" t="s">
        <v>32</v>
      </c>
      <c r="B9" t="s">
        <v>11</v>
      </c>
      <c r="C9" s="99" t="s">
        <v>33</v>
      </c>
      <c r="D9" t="s">
        <v>34</v>
      </c>
      <c r="E9" t="s">
        <v>14</v>
      </c>
      <c r="H9" t="s">
        <v>15</v>
      </c>
    </row>
    <row r="10" spans="1:10" ht="28.9">
      <c r="A10" s="166" t="s">
        <v>35</v>
      </c>
      <c r="B10" t="s">
        <v>11</v>
      </c>
      <c r="C10" s="162" t="s">
        <v>36</v>
      </c>
      <c r="D10" t="s">
        <v>37</v>
      </c>
      <c r="E10" t="s">
        <v>14</v>
      </c>
      <c r="H10" t="s">
        <v>15</v>
      </c>
      <c r="I10" t="s">
        <v>14</v>
      </c>
    </row>
    <row r="11" spans="1:10">
      <c r="A11" s="166"/>
      <c r="B11" t="s">
        <v>11</v>
      </c>
      <c r="C11" s="99" t="s">
        <v>38</v>
      </c>
      <c r="D11" t="s">
        <v>39</v>
      </c>
      <c r="E11" t="s">
        <v>14</v>
      </c>
      <c r="H11" t="s">
        <v>15</v>
      </c>
      <c r="I11" t="s">
        <v>16</v>
      </c>
    </row>
    <row r="12" spans="1:10">
      <c r="A12" s="166" t="s">
        <v>40</v>
      </c>
      <c r="B12" t="s">
        <v>11</v>
      </c>
      <c r="C12" s="99" t="s">
        <v>41</v>
      </c>
      <c r="D12" t="s">
        <v>42</v>
      </c>
      <c r="E12" t="s">
        <v>14</v>
      </c>
      <c r="H12" t="s">
        <v>15</v>
      </c>
      <c r="I12" t="s">
        <v>16</v>
      </c>
    </row>
    <row r="13" spans="1:10">
      <c r="A13" s="166"/>
      <c r="B13" t="s">
        <v>11</v>
      </c>
      <c r="C13" s="99" t="s">
        <v>43</v>
      </c>
      <c r="D13" t="s">
        <v>44</v>
      </c>
      <c r="E13" t="s">
        <v>14</v>
      </c>
      <c r="H13" t="s">
        <v>45</v>
      </c>
      <c r="I13" t="s">
        <v>16</v>
      </c>
    </row>
    <row r="14" spans="1:10">
      <c r="A14" s="166"/>
      <c r="B14" t="s">
        <v>11</v>
      </c>
      <c r="C14" s="99" t="s">
        <v>46</v>
      </c>
      <c r="D14" t="s">
        <v>47</v>
      </c>
      <c r="E14" t="s">
        <v>14</v>
      </c>
      <c r="H14" t="s">
        <v>15</v>
      </c>
      <c r="I14" t="s">
        <v>16</v>
      </c>
    </row>
    <row r="15" spans="1:10">
      <c r="A15" s="166" t="s">
        <v>48</v>
      </c>
      <c r="B15" t="s">
        <v>11</v>
      </c>
      <c r="C15" s="99" t="s">
        <v>49</v>
      </c>
      <c r="D15" t="s">
        <v>50</v>
      </c>
      <c r="E15" t="s">
        <v>14</v>
      </c>
      <c r="H15" t="s">
        <v>51</v>
      </c>
      <c r="I15" t="s">
        <v>16</v>
      </c>
    </row>
    <row r="16" spans="1:10">
      <c r="A16" s="166"/>
      <c r="B16" t="s">
        <v>11</v>
      </c>
      <c r="C16" s="99" t="s">
        <v>52</v>
      </c>
      <c r="D16" t="s">
        <v>53</v>
      </c>
      <c r="E16" t="s">
        <v>14</v>
      </c>
      <c r="H16" t="s">
        <v>54</v>
      </c>
      <c r="I16" t="s">
        <v>16</v>
      </c>
    </row>
    <row r="17" spans="1:9">
      <c r="A17" s="166"/>
      <c r="B17" t="s">
        <v>11</v>
      </c>
      <c r="C17" s="99" t="s">
        <v>55</v>
      </c>
      <c r="D17" s="167" t="s">
        <v>56</v>
      </c>
      <c r="E17" t="s">
        <v>14</v>
      </c>
      <c r="H17" t="s">
        <v>57</v>
      </c>
      <c r="I17" t="s">
        <v>16</v>
      </c>
    </row>
    <row r="18" spans="1:9">
      <c r="A18" s="166"/>
      <c r="B18" t="s">
        <v>11</v>
      </c>
      <c r="C18" s="99" t="s">
        <v>58</v>
      </c>
      <c r="D18" t="s">
        <v>16</v>
      </c>
      <c r="E18" t="s">
        <v>14</v>
      </c>
      <c r="H18" t="s">
        <v>15</v>
      </c>
      <c r="I18" t="s">
        <v>16</v>
      </c>
    </row>
    <row r="19" spans="1:9">
      <c r="A19" s="166"/>
      <c r="B19" t="s">
        <v>11</v>
      </c>
      <c r="C19" s="99" t="s">
        <v>59</v>
      </c>
      <c r="D19" t="s">
        <v>16</v>
      </c>
      <c r="E19" t="s">
        <v>14</v>
      </c>
      <c r="H19" t="s">
        <v>15</v>
      </c>
      <c r="I19" t="s">
        <v>16</v>
      </c>
    </row>
    <row r="20" spans="1:9">
      <c r="A20" s="166" t="s">
        <v>60</v>
      </c>
      <c r="B20" t="s">
        <v>11</v>
      </c>
      <c r="C20" s="99" t="s">
        <v>61</v>
      </c>
      <c r="D20" t="s">
        <v>62</v>
      </c>
      <c r="E20" t="s">
        <v>14</v>
      </c>
      <c r="H20" t="s">
        <v>63</v>
      </c>
      <c r="I20" t="s">
        <v>14</v>
      </c>
    </row>
    <row r="21" spans="1:9">
      <c r="A21" s="166" t="s">
        <v>64</v>
      </c>
      <c r="B21" t="s">
        <v>11</v>
      </c>
      <c r="C21" s="99" t="s">
        <v>65</v>
      </c>
      <c r="D21" s="168">
        <v>43101</v>
      </c>
      <c r="E21" t="s">
        <v>14</v>
      </c>
      <c r="H21" t="s">
        <v>66</v>
      </c>
      <c r="I21" t="s">
        <v>16</v>
      </c>
    </row>
    <row r="22" spans="1:9">
      <c r="A22" s="166" t="s">
        <v>67</v>
      </c>
      <c r="B22" t="s">
        <v>11</v>
      </c>
      <c r="C22" s="59" t="s">
        <v>68</v>
      </c>
      <c r="D22" s="59" t="s">
        <v>69</v>
      </c>
      <c r="E22" t="s">
        <v>14</v>
      </c>
      <c r="H22" t="s">
        <v>70</v>
      </c>
      <c r="I22" t="s">
        <v>14</v>
      </c>
    </row>
    <row r="23" spans="1:9">
      <c r="A23" s="166" t="s">
        <v>71</v>
      </c>
      <c r="B23" t="s">
        <v>11</v>
      </c>
      <c r="C23" s="59" t="s">
        <v>72</v>
      </c>
      <c r="D23" s="59" t="s">
        <v>69</v>
      </c>
      <c r="E23" t="s">
        <v>14</v>
      </c>
      <c r="H23" t="s">
        <v>70</v>
      </c>
      <c r="I23" t="s">
        <v>14</v>
      </c>
    </row>
    <row r="24" spans="1:9">
      <c r="A24" s="166"/>
      <c r="B24" t="s">
        <v>11</v>
      </c>
      <c r="C24" s="59" t="s">
        <v>73</v>
      </c>
      <c r="D24" t="s">
        <v>74</v>
      </c>
      <c r="E24" t="s">
        <v>14</v>
      </c>
      <c r="H24" t="s">
        <v>15</v>
      </c>
      <c r="I24" t="s">
        <v>16</v>
      </c>
    </row>
    <row r="25" spans="1:9">
      <c r="A25" s="166"/>
      <c r="B25" t="s">
        <v>11</v>
      </c>
      <c r="C25" t="s">
        <v>75</v>
      </c>
      <c r="D25" t="s">
        <v>76</v>
      </c>
      <c r="E25" t="s">
        <v>14</v>
      </c>
      <c r="H25" t="s">
        <v>15</v>
      </c>
      <c r="I25" t="s">
        <v>16</v>
      </c>
    </row>
    <row r="26" spans="1:9">
      <c r="A26" s="166" t="s">
        <v>77</v>
      </c>
      <c r="B26" t="s">
        <v>11</v>
      </c>
      <c r="C26" t="s">
        <v>78</v>
      </c>
      <c r="D26" t="s">
        <v>79</v>
      </c>
      <c r="E26" t="s">
        <v>14</v>
      </c>
      <c r="H26" t="s">
        <v>15</v>
      </c>
      <c r="I26" t="s">
        <v>16</v>
      </c>
    </row>
    <row r="27" spans="1:9">
      <c r="A27" s="166"/>
      <c r="B27" t="s">
        <v>11</v>
      </c>
      <c r="C27" t="s">
        <v>80</v>
      </c>
      <c r="E27" t="s">
        <v>14</v>
      </c>
      <c r="H27" t="s">
        <v>15</v>
      </c>
      <c r="I27" t="s">
        <v>16</v>
      </c>
    </row>
    <row r="28" spans="1:9" s="10" customFormat="1" ht="18">
      <c r="C28" s="9" t="s">
        <v>81</v>
      </c>
    </row>
    <row r="29" spans="1:9" s="25" customFormat="1" ht="28.9">
      <c r="B29" s="25" t="s">
        <v>11</v>
      </c>
      <c r="C29" s="26" t="s">
        <v>82</v>
      </c>
      <c r="D29" s="25" t="s">
        <v>14</v>
      </c>
      <c r="E29" s="25" t="s">
        <v>14</v>
      </c>
      <c r="H29" s="25" t="s">
        <v>28</v>
      </c>
      <c r="I29" s="25" t="s">
        <v>16</v>
      </c>
    </row>
    <row r="30" spans="1:9" s="25" customFormat="1">
      <c r="B30" s="25" t="s">
        <v>11</v>
      </c>
      <c r="C30" s="26" t="s">
        <v>83</v>
      </c>
      <c r="D30" s="25" t="s">
        <v>16</v>
      </c>
      <c r="E30" s="25" t="s">
        <v>14</v>
      </c>
      <c r="H30" s="25" t="s">
        <v>28</v>
      </c>
      <c r="I30" s="25" t="s">
        <v>16</v>
      </c>
    </row>
    <row r="31" spans="1:9" s="25" customFormat="1" ht="28.9">
      <c r="B31" s="25" t="s">
        <v>11</v>
      </c>
      <c r="C31" s="26" t="s">
        <v>84</v>
      </c>
      <c r="D31" s="25" t="s">
        <v>11</v>
      </c>
      <c r="E31" s="25" t="str">
        <f>IF(D30="Yes","Yes","NA")</f>
        <v>NA</v>
      </c>
      <c r="H31" s="25" t="s">
        <v>28</v>
      </c>
      <c r="I31" s="25" t="s">
        <v>16</v>
      </c>
    </row>
    <row r="32" spans="1:9" s="25" customFormat="1" ht="28.9">
      <c r="B32" s="25" t="s">
        <v>11</v>
      </c>
      <c r="C32" s="26" t="s">
        <v>85</v>
      </c>
      <c r="D32" s="25" t="s">
        <v>14</v>
      </c>
      <c r="E32" s="25" t="s">
        <v>14</v>
      </c>
      <c r="H32" s="25" t="s">
        <v>28</v>
      </c>
      <c r="I32" s="25" t="s">
        <v>16</v>
      </c>
    </row>
    <row r="33" spans="2:9" s="25" customFormat="1" ht="28.9">
      <c r="B33" s="25" t="s">
        <v>11</v>
      </c>
      <c r="C33" s="26" t="s">
        <v>86</v>
      </c>
      <c r="D33" s="25" t="s">
        <v>16</v>
      </c>
      <c r="E33" s="25" t="s">
        <v>14</v>
      </c>
      <c r="H33" s="25" t="s">
        <v>28</v>
      </c>
      <c r="I33" s="25" t="s">
        <v>16</v>
      </c>
    </row>
    <row r="34" spans="2:9" s="25" customFormat="1" ht="28.9">
      <c r="B34" s="25" t="s">
        <v>11</v>
      </c>
      <c r="C34" s="26" t="s">
        <v>87</v>
      </c>
      <c r="D34" s="25" t="s">
        <v>14</v>
      </c>
      <c r="E34" s="25" t="s">
        <v>14</v>
      </c>
      <c r="F34" s="25" t="str">
        <f>IF(D34="Yes",'Help Text Notes'!A10)</f>
        <v>Help Text: For project activities that seek to retrofit or modify an existing facility for the purpose of fuel switch from fossil fuels to biomass in heat generation equipment, the baseline emissions shall be calculated as per equation 3.</v>
      </c>
      <c r="H34" s="25" t="s">
        <v>28</v>
      </c>
      <c r="I34" s="25" t="s">
        <v>16</v>
      </c>
    </row>
    <row r="35" spans="2:9" s="25" customFormat="1">
      <c r="B35" s="25" t="s">
        <v>11</v>
      </c>
      <c r="C35" s="26" t="s">
        <v>88</v>
      </c>
      <c r="D35" s="25" t="s">
        <v>16</v>
      </c>
      <c r="E35" s="25" t="s">
        <v>14</v>
      </c>
      <c r="H35" s="25" t="s">
        <v>28</v>
      </c>
      <c r="I35" s="25" t="s">
        <v>16</v>
      </c>
    </row>
    <row r="36" spans="2:9">
      <c r="B36" t="s">
        <v>11</v>
      </c>
      <c r="C36" s="1" t="s">
        <v>89</v>
      </c>
      <c r="D36">
        <v>15</v>
      </c>
      <c r="E36" t="s">
        <v>14</v>
      </c>
      <c r="F36" t="str">
        <f>'Help Text Notes'!A11</f>
        <v>Help Text: Thermal energy generation capacity shall be manufacturer’s rated thermal energy output, or if that rating is not available the capacity shall be determined by taking the difference between enthalpy of total output (for example steam or hot air or chilled water in kcal/kg or kcal/m3 ) leaving the project equipment and the total enthalpy of input (for example feed water or air in kcal/kg or kcal/m3 ) entering the project equipment. For boilers, condensate return (if any) must be incorporated into enthalpy of the feed. 
A conversion factor of 1:3 shall be used for converting electrical energy to thermal energy. 
For co-fired systems, use the total installed thermal energy generation capacity of the project equipment, when using both fossil and renewable fuel.
For biomass cogeneration and trigeneration units, if the emission reductions of the project activity are on account of thermal and electrical energy production, use the total installed thermal and electrical energy generation capacity of the project equipment.
For biomass cogeneration and trigeneration units, if the emission reductions of the project activity are solely on account of electrical energy production (i.e. no emission reductions accrue from the thermal energy component), the total installed electrical energy generation capacity of the project equipment shall be converted to thermal energy based on a 1:3 ratio (i.e., electrical capacity multiplied by 3). 
Project activities that involve the addition of renewable energy units at an existing renewable energy facility, the total capacity of the units added by the project shall comply with capacity limits specified above, and shall be physically distinct from the existing units.</v>
      </c>
      <c r="H36" t="s">
        <v>90</v>
      </c>
      <c r="I36" t="s">
        <v>16</v>
      </c>
    </row>
    <row r="37" spans="2:9" s="25" customFormat="1">
      <c r="B37" s="25" t="s">
        <v>11</v>
      </c>
      <c r="C37" s="26" t="s">
        <v>91</v>
      </c>
      <c r="D37" s="25" t="s">
        <v>14</v>
      </c>
      <c r="E37" s="25" t="s">
        <v>14</v>
      </c>
      <c r="H37" s="25" t="s">
        <v>28</v>
      </c>
      <c r="I37" s="25" t="s">
        <v>16</v>
      </c>
    </row>
    <row r="38" spans="2:9" s="25" customFormat="1">
      <c r="B38" s="25" t="s">
        <v>11</v>
      </c>
      <c r="C38" s="26" t="s">
        <v>92</v>
      </c>
      <c r="D38" s="25" t="s">
        <v>16</v>
      </c>
      <c r="E38" s="25" t="str">
        <f>IF(D37="Yes","Yes","NA")</f>
        <v>Yes</v>
      </c>
      <c r="H38" s="25" t="s">
        <v>28</v>
      </c>
      <c r="I38" s="25" t="s">
        <v>16</v>
      </c>
    </row>
    <row r="39" spans="2:9" s="25" customFormat="1" ht="28.9">
      <c r="B39" s="25" t="s">
        <v>11</v>
      </c>
      <c r="C39" s="26" t="s">
        <v>93</v>
      </c>
      <c r="D39" s="25" t="s">
        <v>16</v>
      </c>
      <c r="E39" s="25" t="s">
        <v>14</v>
      </c>
      <c r="H39" s="25" t="s">
        <v>28</v>
      </c>
      <c r="I39" s="25" t="s">
        <v>16</v>
      </c>
    </row>
    <row r="40" spans="2:9" s="25" customFormat="1" ht="43.15">
      <c r="B40" s="25" t="s">
        <v>11</v>
      </c>
      <c r="C40" s="26" t="s">
        <v>94</v>
      </c>
      <c r="D40" s="25" t="s">
        <v>16</v>
      </c>
      <c r="E40" s="25" t="s">
        <v>14</v>
      </c>
      <c r="H40" s="25" t="s">
        <v>28</v>
      </c>
      <c r="I40" s="25" t="s">
        <v>16</v>
      </c>
    </row>
    <row r="41" spans="2:9" s="25" customFormat="1" ht="28.9">
      <c r="B41" s="25" t="s">
        <v>11</v>
      </c>
      <c r="C41" s="26" t="s">
        <v>95</v>
      </c>
      <c r="D41" s="25" t="s">
        <v>11</v>
      </c>
      <c r="E41" s="25" t="s">
        <v>14</v>
      </c>
      <c r="H41" s="25" t="s">
        <v>28</v>
      </c>
      <c r="I41" s="25" t="s">
        <v>16</v>
      </c>
    </row>
    <row r="42" spans="2:9" s="25" customFormat="1">
      <c r="B42" s="25" t="s">
        <v>11</v>
      </c>
      <c r="C42" s="26" t="s">
        <v>96</v>
      </c>
      <c r="D42" s="25" t="s">
        <v>16</v>
      </c>
      <c r="E42" s="25" t="s">
        <v>14</v>
      </c>
      <c r="H42" s="25" t="s">
        <v>28</v>
      </c>
      <c r="I42" s="25" t="s">
        <v>16</v>
      </c>
    </row>
    <row r="43" spans="2:9" s="25" customFormat="1">
      <c r="B43" s="25" t="s">
        <v>11</v>
      </c>
      <c r="C43" s="26" t="s">
        <v>97</v>
      </c>
      <c r="D43" s="25" t="s">
        <v>11</v>
      </c>
      <c r="E43" s="25" t="str">
        <f>IF(D42="Yes","Yes","NA")</f>
        <v>NA</v>
      </c>
      <c r="H43" s="25" t="s">
        <v>28</v>
      </c>
      <c r="I43" s="25" t="s">
        <v>16</v>
      </c>
    </row>
    <row r="44" spans="2:9" s="25" customFormat="1">
      <c r="B44" s="25" t="s">
        <v>11</v>
      </c>
      <c r="C44" s="26" t="s">
        <v>98</v>
      </c>
      <c r="D44" s="25" t="s">
        <v>11</v>
      </c>
      <c r="E44" s="25" t="str">
        <f>IF(D42="Yes","Yes","NA")</f>
        <v>NA</v>
      </c>
      <c r="H44" s="25" t="s">
        <v>28</v>
      </c>
      <c r="I44" s="25" t="s">
        <v>16</v>
      </c>
    </row>
    <row r="45" spans="2:9" s="25" customFormat="1" ht="15" thickBot="1">
      <c r="B45" s="25" t="s">
        <v>11</v>
      </c>
      <c r="C45" s="26" t="s">
        <v>99</v>
      </c>
      <c r="D45" s="25" t="s">
        <v>14</v>
      </c>
      <c r="E45" s="25" t="s">
        <v>14</v>
      </c>
      <c r="H45" s="25" t="s">
        <v>28</v>
      </c>
      <c r="I45" s="25" t="s">
        <v>16</v>
      </c>
    </row>
    <row r="46" spans="2:9" s="4" customFormat="1" ht="15.6" thickTop="1" thickBot="1">
      <c r="B46" s="4" t="s">
        <v>11</v>
      </c>
      <c r="C46" s="3" t="s">
        <v>100</v>
      </c>
      <c r="D46" s="76" t="str">
        <f>(IF(OR(D29="No",D29="NA"),"NA",IF(AND(D30="No",D32="No",D35="No"),"NA",IF(D36&gt;45,"NA",IF(D41="No","Na",IF(D43="No","Na","Applicable"))))))</f>
        <v>Applicable</v>
      </c>
      <c r="E46" s="4" t="s">
        <v>14</v>
      </c>
      <c r="H46" s="4" t="s">
        <v>101</v>
      </c>
      <c r="I46" s="4" t="s">
        <v>16</v>
      </c>
    </row>
    <row r="47" spans="2:9" s="4" customFormat="1" ht="15.6" thickTop="1" thickBot="1">
      <c r="B47" s="4" t="s">
        <v>11</v>
      </c>
      <c r="C47" s="3" t="s">
        <v>102</v>
      </c>
      <c r="D47" s="76" t="str">
        <f>IF(D7="Micro",'Tool 19'!B29,IF(D7="Small","See Tool 21"))</f>
        <v>See Tool 21</v>
      </c>
      <c r="E47" s="4" t="s">
        <v>14</v>
      </c>
      <c r="H47" s="4" t="s">
        <v>101</v>
      </c>
      <c r="I47" s="4" t="s">
        <v>16</v>
      </c>
    </row>
    <row r="48" spans="2:9" s="2" customFormat="1" ht="15" thickTop="1">
      <c r="B48" s="175" t="s">
        <v>103</v>
      </c>
      <c r="C48" s="176"/>
      <c r="D48" s="176"/>
      <c r="E48" s="176"/>
      <c r="F48" s="74"/>
      <c r="G48" s="74"/>
      <c r="H48" s="6"/>
    </row>
    <row r="49" spans="2:9" ht="24" customHeight="1">
      <c r="B49" s="174" t="b">
        <f>IF(D35="Yes",'Help Text Notes'!A12)</f>
        <v>0</v>
      </c>
      <c r="C49" s="174"/>
      <c r="D49" s="174"/>
      <c r="E49" s="174"/>
      <c r="H49" s="1" t="s">
        <v>11</v>
      </c>
      <c r="I49" s="2" t="s">
        <v>11</v>
      </c>
    </row>
    <row r="50" spans="2:9" ht="26.45" customHeight="1">
      <c r="B50" s="174" t="str">
        <f>IF(D37="Yes",'Help Text Notes'!A13)</f>
        <v>It shall be demonstrated that biomass has been produced using solely renewable biomass and all project or leakage emissions associated with its production shall be taken into account in the emissions reduction calculation.</v>
      </c>
      <c r="C50" s="174"/>
      <c r="D50" s="174"/>
      <c r="E50" s="174"/>
      <c r="H50" s="1" t="s">
        <v>11</v>
      </c>
      <c r="I50" s="2" t="s">
        <v>11</v>
      </c>
    </row>
    <row r="51" spans="2:9" ht="25.15" customHeight="1">
      <c r="B51" s="174" t="b">
        <f>IF(D38="Yes",'Help Text Notes'!A14)</f>
        <v>0</v>
      </c>
      <c r="C51" s="174"/>
      <c r="D51" s="174"/>
      <c r="E51" s="174"/>
      <c r="H51" s="1" t="s">
        <v>11</v>
      </c>
      <c r="I51" s="2" t="s">
        <v>11</v>
      </c>
    </row>
    <row r="52" spans="2:9" ht="24" customHeight="1">
      <c r="B52" s="174" t="b">
        <f>IF(D39="Yes",'Help Text Notes'!A15)</f>
        <v>0</v>
      </c>
      <c r="C52" s="174"/>
      <c r="D52" s="174"/>
      <c r="E52" s="174"/>
      <c r="H52" s="1" t="s">
        <v>11</v>
      </c>
      <c r="I52" s="2" t="s">
        <v>11</v>
      </c>
    </row>
    <row r="53" spans="2:9" ht="24.6" customHeight="1">
      <c r="B53" s="174" t="b">
        <f>IF(D40="Yes",'Help Text Notes'!A16)</f>
        <v>0</v>
      </c>
      <c r="C53" s="174"/>
      <c r="D53" s="174"/>
      <c r="E53" s="174"/>
      <c r="H53" s="1" t="s">
        <v>11</v>
      </c>
      <c r="I53" s="2" t="s">
        <v>11</v>
      </c>
    </row>
    <row r="54" spans="2:9" ht="22.15" customHeight="1">
      <c r="B54" s="174" t="b">
        <f>IF(D44="No",'Help Text Notes'!A17)</f>
        <v>0</v>
      </c>
      <c r="C54" s="174"/>
      <c r="D54" s="174"/>
      <c r="E54" s="174"/>
      <c r="H54" s="1" t="s">
        <v>11</v>
      </c>
      <c r="I54" s="2" t="s">
        <v>11</v>
      </c>
    </row>
    <row r="55" spans="2:9" ht="32.450000000000003" customHeight="1">
      <c r="B55" s="174" t="str">
        <f>IF(D45="Yes",'Help Text Notes'!A18)</f>
        <v>The “TOOL16: Project and leakage emissions from biomass” shall be applied to determine the relevant project emissions from the cultivation of biomass and the utilization of biomass or biomass residues.</v>
      </c>
      <c r="C55" s="174"/>
      <c r="D55" s="174"/>
      <c r="E55" s="174"/>
      <c r="H55" s="1" t="s">
        <v>11</v>
      </c>
      <c r="I55" s="2" t="s">
        <v>11</v>
      </c>
    </row>
    <row r="56" spans="2:9" s="10" customFormat="1" ht="18">
      <c r="C56" s="9" t="s">
        <v>104</v>
      </c>
    </row>
    <row r="57" spans="2:9" s="25" customFormat="1">
      <c r="B57" s="25" t="s">
        <v>11</v>
      </c>
      <c r="C57" s="26" t="s">
        <v>105</v>
      </c>
      <c r="D57" s="25" t="s">
        <v>14</v>
      </c>
      <c r="E57" s="25" t="s">
        <v>14</v>
      </c>
      <c r="H57" s="25" t="s">
        <v>28</v>
      </c>
      <c r="I57" s="25" t="s">
        <v>16</v>
      </c>
    </row>
    <row r="58" spans="2:9" s="25" customFormat="1" ht="104.45" customHeight="1">
      <c r="B58" s="25" t="s">
        <v>11</v>
      </c>
      <c r="C58" s="26" t="s">
        <v>106</v>
      </c>
      <c r="D58" s="25" t="s">
        <v>107</v>
      </c>
      <c r="E58" s="25" t="str">
        <f>IF(D57="Yes","Yes","NA")</f>
        <v>Yes</v>
      </c>
      <c r="F58" s="25" t="str">
        <f>'Help Text Notes'!A19</f>
        <v xml:space="preserve">Help Text: Scenario (g) applies to a project activity that installs a new grid connected biomass cogeneration or trigeneration system that produces surplus electricity and this surplus electricity is exported to a grid.
Scenario (i) applies to a project activity that installs a new biomass cogeneration or trigeneration system that displaces electricity which otherwise would have been imported from a grid.
</v>
      </c>
      <c r="H58" s="25" t="s">
        <v>28</v>
      </c>
      <c r="I58" s="25" t="s">
        <v>16</v>
      </c>
    </row>
    <row r="59" spans="2:9" s="25" customFormat="1">
      <c r="B59" s="25" t="s">
        <v>11</v>
      </c>
      <c r="C59" s="26" t="s">
        <v>108</v>
      </c>
      <c r="D59" s="25" t="s">
        <v>14</v>
      </c>
      <c r="H59" s="25" t="s">
        <v>28</v>
      </c>
      <c r="I59" s="25" t="s">
        <v>16</v>
      </c>
    </row>
    <row r="60" spans="2:9" s="25" customFormat="1" ht="28.9">
      <c r="B60" s="25" t="s">
        <v>11</v>
      </c>
      <c r="C60" s="26" t="s">
        <v>109</v>
      </c>
      <c r="D60" s="25" t="s">
        <v>16</v>
      </c>
      <c r="E60" s="25" t="str">
        <f>IF(D59="Yes","Yes","NA")</f>
        <v>Yes</v>
      </c>
      <c r="H60" s="25" t="s">
        <v>28</v>
      </c>
      <c r="I60" s="25" t="s">
        <v>16</v>
      </c>
    </row>
    <row r="61" spans="2:9" s="25" customFormat="1" ht="28.9">
      <c r="B61" s="25" t="s">
        <v>11</v>
      </c>
      <c r="C61" s="26" t="s">
        <v>110</v>
      </c>
      <c r="D61" s="25" t="s">
        <v>16</v>
      </c>
      <c r="E61" s="25" t="s">
        <v>14</v>
      </c>
      <c r="H61" s="25" t="s">
        <v>28</v>
      </c>
      <c r="I61" s="25" t="s">
        <v>16</v>
      </c>
    </row>
    <row r="62" spans="2:9" s="25" customFormat="1" ht="43.15">
      <c r="B62" s="25" t="s">
        <v>11</v>
      </c>
      <c r="C62" s="26" t="s">
        <v>111</v>
      </c>
      <c r="D62" s="25" t="s">
        <v>16</v>
      </c>
      <c r="E62" s="25" t="s">
        <v>14</v>
      </c>
      <c r="H62" s="25" t="s">
        <v>28</v>
      </c>
      <c r="I62" s="25" t="s">
        <v>16</v>
      </c>
    </row>
    <row r="63" spans="2:9" s="25" customFormat="1">
      <c r="B63" s="25" t="s">
        <v>11</v>
      </c>
      <c r="C63" s="26" t="s">
        <v>112</v>
      </c>
      <c r="D63" s="25" t="s">
        <v>14</v>
      </c>
      <c r="E63" s="25" t="s">
        <v>14</v>
      </c>
      <c r="H63" s="25" t="s">
        <v>28</v>
      </c>
      <c r="I63" s="25" t="s">
        <v>16</v>
      </c>
    </row>
    <row r="64" spans="2:9" s="13" customFormat="1">
      <c r="C64" s="12" t="s">
        <v>113</v>
      </c>
      <c r="E64" s="13" t="str">
        <f>IF(OR(D58='AMS I.C. MF Dropdown Items'!C3,D58='AMS I.C. MF Dropdown Items'!C4,D58='AMS I.C. MF Dropdown Items'!C6),"Yes","NA")</f>
        <v>Yes</v>
      </c>
    </row>
    <row r="65" spans="2:9">
      <c r="B65" t="s">
        <v>114</v>
      </c>
      <c r="C65" s="1" t="s">
        <v>115</v>
      </c>
      <c r="D65">
        <v>122</v>
      </c>
      <c r="E65" t="str">
        <f>IF(OR(D58='AMS I.C. MF Dropdown Items'!C3,D58='AMS I.C. MF Dropdown Items'!C4,D58='AMS I.C. MF Dropdown Items'!C6),"Yes","NA")</f>
        <v>Yes</v>
      </c>
      <c r="H65" t="s">
        <v>90</v>
      </c>
      <c r="I65" t="s">
        <v>16</v>
      </c>
    </row>
    <row r="66" spans="2:9" ht="28.9">
      <c r="B66" t="s">
        <v>116</v>
      </c>
      <c r="C66" s="1" t="s">
        <v>117</v>
      </c>
      <c r="D66">
        <v>0.77</v>
      </c>
      <c r="E66" t="str">
        <f>IF(OR(D58='AMS I.C. MF Dropdown Items'!C3,D58='AMS I.C. MF Dropdown Items'!C4,D58='AMS I.C. MF Dropdown Items'!C6),"Yes","NA")</f>
        <v>Yes</v>
      </c>
      <c r="F66"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G66" t="s">
        <v>118</v>
      </c>
      <c r="H66" t="s">
        <v>90</v>
      </c>
      <c r="I66" t="s">
        <v>16</v>
      </c>
    </row>
    <row r="67" spans="2:9" ht="28.9">
      <c r="B67" t="s">
        <v>119</v>
      </c>
      <c r="C67" s="1" t="s">
        <v>120</v>
      </c>
      <c r="D67" s="22">
        <f>IF(AND(D59="Yes",D60="No",D62="No"),'Tool 09'!C26,"User Input, See Help Text")</f>
        <v>0.85</v>
      </c>
      <c r="E67" t="str">
        <f>IF(OR(D58='AMS I.C. MF Dropdown Items'!C3,D58='AMS I.C. MF Dropdown Items'!C4,D58='AMS I.C. MF Dropdown Items'!C6),"Yes","NA")</f>
        <v>Yes</v>
      </c>
      <c r="F67"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67" t="s">
        <v>121</v>
      </c>
      <c r="H67" t="str">
        <f>IF(D67="User Input, See Help Text","Number","Referenced Parameter")</f>
        <v>Referenced Parameter</v>
      </c>
      <c r="I67" t="s">
        <v>16</v>
      </c>
    </row>
    <row r="68" spans="2:9" ht="28.9" customHeight="1">
      <c r="B68" t="s">
        <v>122</v>
      </c>
      <c r="C68" s="1" t="s">
        <v>123</v>
      </c>
      <c r="D68" s="22">
        <f>(D65/D67)*D66</f>
        <v>110.51764705882353</v>
      </c>
      <c r="E68" t="str">
        <f>IF(OR(D58='AMS I.C. MF Dropdown Items'!C3,D58='AMS I.C. MF Dropdown Items'!C4,D58='AMS I.C. MF Dropdown Items'!C6),"Yes","NA")</f>
        <v>Yes</v>
      </c>
      <c r="H68" t="s">
        <v>101</v>
      </c>
      <c r="I68" t="s">
        <v>16</v>
      </c>
    </row>
    <row r="69" spans="2:9" s="13" customFormat="1">
      <c r="C69" s="12" t="s">
        <v>124</v>
      </c>
      <c r="E69" s="13" t="str">
        <f>IF(OR(D58='AMS I.C. MF Dropdown Items'!C2,D58='AMS I.C. MF Dropdown Items'!C4,D58='AMS I.C. MF Dropdown Items'!C6,D58='AMS I.C. MF Dropdown Items'!C8,D58='AMS I.C. MF Dropdown Items'!C10),"Yes","NA")</f>
        <v>Yes</v>
      </c>
    </row>
    <row r="70" spans="2:9">
      <c r="B70" t="s">
        <v>125</v>
      </c>
      <c r="C70" s="1" t="s">
        <v>126</v>
      </c>
      <c r="D70">
        <v>142</v>
      </c>
      <c r="E70" t="str">
        <f>IF(OR(D58='AMS I.C. MF Dropdown Items'!C2,D58='AMS I.C. MF Dropdown Items'!C4,D58='AMS I.C. MF Dropdown Items'!C6,D58='AMS I.C. MF Dropdown Items'!C8,D58='AMS I.C. MF Dropdown Items'!C10),"Yes","NA")</f>
        <v>Yes</v>
      </c>
      <c r="H70" t="s">
        <v>90</v>
      </c>
      <c r="I70" t="s">
        <v>16</v>
      </c>
    </row>
    <row r="71" spans="2:9">
      <c r="B71" t="s">
        <v>127</v>
      </c>
      <c r="C71" s="1" t="s">
        <v>128</v>
      </c>
      <c r="D71">
        <v>1.1658999999999999</v>
      </c>
      <c r="E71" t="str">
        <f>IF(OR(D58='AMS I.C. MF Dropdown Items'!C2,D58='AMS I.C. MF Dropdown Items'!C4,D58='AMS I.C. MF Dropdown Items'!C6,D58='AMS I.C. MF Dropdown Items'!C8,D58='AMS I.C. MF Dropdown Items'!C10),"Yes","NA")</f>
        <v>Yes</v>
      </c>
      <c r="F71" t="str">
        <f>'Help Text Notes'!A20</f>
        <v xml:space="preserve">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The emission factor of the grid shall be calculated as per the procedures detailed in AMS-I.D. or AMS-I.F. 
For new facilities, the most conservative (lowest) emission factor of the two power sources (captive power plant and grid) should be used. </v>
      </c>
      <c r="H71" t="s">
        <v>90</v>
      </c>
      <c r="I71" t="s">
        <v>16</v>
      </c>
    </row>
    <row r="72" spans="2:9" ht="28.9" customHeight="1">
      <c r="B72" t="s">
        <v>129</v>
      </c>
      <c r="C72" s="1" t="s">
        <v>130</v>
      </c>
      <c r="D72" s="22">
        <f>D70*D71</f>
        <v>165.55779999999999</v>
      </c>
      <c r="E72" t="str">
        <f>IF(OR(D58='AMS I.C. MF Dropdown Items'!C2,D58='AMS I.C. MF Dropdown Items'!C4,D58='AMS I.C. MF Dropdown Items'!C6,D58='AMS I.C. MF Dropdown Items'!C8,D58='AMS I.C. MF Dropdown Items'!C10),"Yes","NA")</f>
        <v>Yes</v>
      </c>
      <c r="H72" t="s">
        <v>101</v>
      </c>
      <c r="I72" t="s">
        <v>16</v>
      </c>
    </row>
    <row r="73" spans="2:9" s="13" customFormat="1">
      <c r="C73" s="12" t="s">
        <v>131</v>
      </c>
      <c r="E73" s="13" t="str">
        <f>IF(OR(D58='AMS I.C. MF Dropdown Items'!C2,D58='AMS I.C. MF Dropdown Items'!C3,D58='AMS I.C. MF Dropdown Items'!C4,D58='AMS I.C. MF Dropdown Items'!C7),"Yes","NA")</f>
        <v>Yes</v>
      </c>
    </row>
    <row r="74" spans="2:9">
      <c r="B74" t="s">
        <v>132</v>
      </c>
      <c r="C74" s="1" t="s">
        <v>133</v>
      </c>
      <c r="D74">
        <v>12</v>
      </c>
      <c r="E74" t="str">
        <f>IF(OR(D58='AMS I.C. MF Dropdown Items'!C2,D58='AMS I.C. MF Dropdown Items'!C3,D58='AMS I.C. MF Dropdown Items'!C4,D58='AMS I.C. MF Dropdown Items'!C7),"Yes","NA")</f>
        <v>Yes</v>
      </c>
      <c r="H74" t="s">
        <v>90</v>
      </c>
      <c r="I74" t="s">
        <v>16</v>
      </c>
    </row>
    <row r="75" spans="2:9" ht="43.15">
      <c r="B75" t="s">
        <v>134</v>
      </c>
      <c r="C75" s="1" t="s">
        <v>135</v>
      </c>
      <c r="D75">
        <v>56.1</v>
      </c>
      <c r="E75" t="str">
        <f>IF(OR(D58='AMS I.C. MF Dropdown Items'!C2,D58='AMS I.C. MF Dropdown Items'!C3,D58='AMS I.C. MF Dropdown Items'!C4,D58='AMS I.C. MF Dropdown Items'!C7),"Yes","NA")</f>
        <v>Yes</v>
      </c>
      <c r="F75"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75" t="s">
        <v>90</v>
      </c>
      <c r="I75" t="s">
        <v>16</v>
      </c>
    </row>
    <row r="76" spans="2:9" ht="28.9">
      <c r="B76" t="s">
        <v>136</v>
      </c>
      <c r="C76" s="1" t="s">
        <v>137</v>
      </c>
      <c r="D76" s="22">
        <f>IF(AND(D59="Yes",D60="No"),'Tool 09'!C26,"User Input, See Help Text")</f>
        <v>0.85</v>
      </c>
      <c r="E76" t="str">
        <f>IF(OR(D58='AMS I.C. MF Dropdown Items'!C2,D58='AMS I.C. MF Dropdown Items'!C3,D58='AMS I.C. MF Dropdown Items'!C4,D58='AMS I.C. MF Dropdown Items'!C7),"Yes","NA")</f>
        <v>Yes</v>
      </c>
      <c r="F76"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76" t="s">
        <v>138</v>
      </c>
      <c r="H76" t="str">
        <f>IF(D67="User Input, See Help Text","Number","Referenced Parameter")</f>
        <v>Referenced Parameter</v>
      </c>
      <c r="I76" t="s">
        <v>16</v>
      </c>
    </row>
    <row r="77" spans="2:9" ht="30.6" customHeight="1">
      <c r="B77" t="s">
        <v>139</v>
      </c>
      <c r="C77" s="1" t="s">
        <v>140</v>
      </c>
      <c r="D77" s="22">
        <f>(D74/D76)*D75</f>
        <v>792</v>
      </c>
      <c r="E77" t="str">
        <f>IF(OR(D58='AMS I.C. MF Dropdown Items'!C2,D58='AMS I.C. MF Dropdown Items'!C3,D58='AMS I.C. MF Dropdown Items'!C4,D58='AMS I.C. MF Dropdown Items'!C7),"Yes","NA")</f>
        <v>Yes</v>
      </c>
      <c r="H77" t="s">
        <v>101</v>
      </c>
      <c r="I77" t="s">
        <v>16</v>
      </c>
    </row>
    <row r="78" spans="2:9" s="13" customFormat="1">
      <c r="C78" s="12" t="s">
        <v>141</v>
      </c>
      <c r="E78" s="13" t="str">
        <f>IF(D58='AMS I.C. MF Dropdown Items'!C5,"Yes","NA")</f>
        <v>NA</v>
      </c>
    </row>
    <row r="79" spans="2:9">
      <c r="B79" t="s">
        <v>142</v>
      </c>
      <c r="C79" s="1" t="s">
        <v>143</v>
      </c>
      <c r="D79">
        <v>0.6</v>
      </c>
      <c r="E79" t="str">
        <f>IF(D58='AMS I.C. MF Dropdown Items'!C5,"Yes","NA")</f>
        <v>NA</v>
      </c>
      <c r="H79" t="s">
        <v>90</v>
      </c>
      <c r="I79" t="s">
        <v>16</v>
      </c>
    </row>
    <row r="80" spans="2:9">
      <c r="B80" t="s">
        <v>144</v>
      </c>
      <c r="C80" s="1" t="s">
        <v>133</v>
      </c>
      <c r="D80">
        <v>6.6</v>
      </c>
      <c r="E80" t="str">
        <f>IF(D58='AMS I.C. MF Dropdown Items'!C5,"Yes","NA")</f>
        <v>NA</v>
      </c>
      <c r="H80" t="s">
        <v>90</v>
      </c>
      <c r="I80" t="s">
        <v>16</v>
      </c>
    </row>
    <row r="81" spans="2:9" ht="43.15">
      <c r="B81" t="s">
        <v>134</v>
      </c>
      <c r="C81" s="1" t="s">
        <v>145</v>
      </c>
      <c r="D81">
        <v>41.866</v>
      </c>
      <c r="E81" t="str">
        <f>IF(D58='AMS I.C. MF Dropdown Items'!C5,"Yes","NA")</f>
        <v>NA</v>
      </c>
      <c r="F81"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81" t="s">
        <v>90</v>
      </c>
      <c r="I81" t="s">
        <v>16</v>
      </c>
    </row>
    <row r="82" spans="2:9">
      <c r="B82" t="s">
        <v>146</v>
      </c>
      <c r="C82" s="1" t="s">
        <v>147</v>
      </c>
      <c r="D82" s="22">
        <f>IF(AND(D59="Yes",D60="No"),'Tool 09'!C26,"User Input, See Help Text")</f>
        <v>0.85</v>
      </c>
      <c r="E82" t="str">
        <f>IF(D58='AMS I.C. MF Dropdown Items'!C5,"Yes","NA")</f>
        <v>NA</v>
      </c>
      <c r="F82"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82" t="s">
        <v>121</v>
      </c>
      <c r="H82" t="str">
        <f>IF(D67="User Input, See Help Text","Number","Referenced Parameter")</f>
        <v>Referenced Parameter</v>
      </c>
      <c r="I82" t="s">
        <v>16</v>
      </c>
    </row>
    <row r="83" spans="2:9" ht="30" customHeight="1">
      <c r="B83" t="s">
        <v>148</v>
      </c>
      <c r="C83" s="1" t="s">
        <v>149</v>
      </c>
      <c r="D83" s="22">
        <f>((D80+D79*3.6)/D82)*D81</f>
        <v>431.46607058823531</v>
      </c>
      <c r="E83" t="str">
        <f>IF(D58='AMS I.C. MF Dropdown Items'!C5,"Yes","NA")</f>
        <v>NA</v>
      </c>
      <c r="H83" t="s">
        <v>101</v>
      </c>
      <c r="I83" t="s">
        <v>16</v>
      </c>
    </row>
    <row r="84" spans="2:9" s="13" customFormat="1">
      <c r="C84" s="12" t="s">
        <v>150</v>
      </c>
      <c r="E84" s="13" t="str">
        <f>IF(D58='AMS I.C. MF Dropdown Items'!C9,"Yes","NA")</f>
        <v>NA</v>
      </c>
    </row>
    <row r="85" spans="2:9">
      <c r="B85" t="s">
        <v>151</v>
      </c>
      <c r="C85" s="1" t="s">
        <v>152</v>
      </c>
      <c r="D85">
        <v>47</v>
      </c>
      <c r="E85" t="str">
        <f>IF(D58='AMS I.C. MF Dropdown Items'!C9,"Yes","NA")</f>
        <v>NA</v>
      </c>
      <c r="H85" t="s">
        <v>90</v>
      </c>
      <c r="I85" t="s">
        <v>16</v>
      </c>
    </row>
    <row r="86" spans="2:9" ht="28.9">
      <c r="B86" t="s">
        <v>153</v>
      </c>
      <c r="C86" s="1" t="s">
        <v>154</v>
      </c>
      <c r="D86">
        <v>33</v>
      </c>
      <c r="E86" t="str">
        <f>IF(D58='AMS I.C. MF Dropdown Items'!C9,"Yes","NA")</f>
        <v>NA</v>
      </c>
      <c r="F86" t="str">
        <f>'Help Text Notes'!A21</f>
        <v>Help Text: Baseline emissions shall be determined based on three years’ average historical data on the relative share of fossil fuel and biomass in the baseline fuel mix. The relative share is determined based on the energy content of each fuel.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new facilities, the most conservative (lowest) emission factor of the two power sources (captive power plant and grid) should be used. 
In the case where more than one fossil fuel is used by the co-fired plant, the weighted average emission factor (in energy basis) among the identified fossil fuels shall be used.</v>
      </c>
      <c r="H86" t="s">
        <v>90</v>
      </c>
      <c r="I86" t="s">
        <v>16</v>
      </c>
    </row>
    <row r="87" spans="2:9">
      <c r="B87" t="s">
        <v>155</v>
      </c>
      <c r="C87" s="1" t="s">
        <v>156</v>
      </c>
      <c r="D87" s="22">
        <f>IF(AND(D59="Yes",D60="No"),'Tool 09'!C26,"User Input, See Help Text")</f>
        <v>0.85</v>
      </c>
      <c r="E87" t="str">
        <f>IF(D58='AMS I.C. MF Dropdown Items'!C9,"Yes","NA")</f>
        <v>NA</v>
      </c>
      <c r="F87"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87" t="s">
        <v>138</v>
      </c>
      <c r="H87" t="str">
        <f>IF(D87="User Input, See Help Text","Number","Referenced Parameter")</f>
        <v>Referenced Parameter</v>
      </c>
      <c r="I87" t="s">
        <v>16</v>
      </c>
    </row>
    <row r="88" spans="2:9" ht="28.9">
      <c r="B88" t="s">
        <v>157</v>
      </c>
      <c r="C88" s="1" t="s">
        <v>158</v>
      </c>
      <c r="D88" s="22">
        <f>(D85/D87)*D86</f>
        <v>1824.7058823529412</v>
      </c>
      <c r="E88" t="str">
        <f>IF(D58='AMS I.C. MF Dropdown Items'!C9,"Yes","NA")</f>
        <v>NA</v>
      </c>
      <c r="H88" t="s">
        <v>101</v>
      </c>
      <c r="I88" t="s">
        <v>16</v>
      </c>
    </row>
    <row r="89" spans="2:9" s="13" customFormat="1">
      <c r="C89" s="12" t="s">
        <v>159</v>
      </c>
      <c r="E89" s="13" t="str">
        <f>IF(D58='AMS I.C. MF Dropdown Items'!C11,"Yes","NA")</f>
        <v>NA</v>
      </c>
    </row>
    <row r="90" spans="2:9">
      <c r="B90" t="s">
        <v>125</v>
      </c>
      <c r="C90" s="1" t="s">
        <v>126</v>
      </c>
      <c r="D90">
        <v>866</v>
      </c>
      <c r="E90" t="str">
        <f>IF(D58='AMS I.C. MF Dropdown Items'!C11,"Yes","NA")</f>
        <v>NA</v>
      </c>
      <c r="H90" t="s">
        <v>90</v>
      </c>
      <c r="I90" t="s">
        <v>16</v>
      </c>
    </row>
    <row r="91" spans="2:9">
      <c r="B91" t="s">
        <v>127</v>
      </c>
      <c r="C91" s="1" t="s">
        <v>128</v>
      </c>
      <c r="D91" s="169">
        <v>0.76</v>
      </c>
      <c r="E91" t="str">
        <f>IF(D58='AMS I.C. MF Dropdown Items'!C11,"Yes","NA")</f>
        <v>NA</v>
      </c>
      <c r="F91"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91" t="s">
        <v>90</v>
      </c>
      <c r="I91" t="s">
        <v>16</v>
      </c>
    </row>
    <row r="92" spans="2:9" ht="28.9" customHeight="1">
      <c r="B92" t="s">
        <v>129</v>
      </c>
      <c r="C92" s="1" t="s">
        <v>160</v>
      </c>
      <c r="D92" s="22">
        <f>D90*D91</f>
        <v>658.16</v>
      </c>
      <c r="E92" t="str">
        <f>IF(D58='AMS I.C. MF Dropdown Items'!C11,"Yes","NA")</f>
        <v>NA</v>
      </c>
      <c r="H92" t="s">
        <v>101</v>
      </c>
      <c r="I92" t="s">
        <v>16</v>
      </c>
    </row>
    <row r="93" spans="2:9">
      <c r="B93" t="s">
        <v>114</v>
      </c>
      <c r="C93" s="1" t="s">
        <v>115</v>
      </c>
      <c r="D93">
        <v>732</v>
      </c>
      <c r="E93" t="str">
        <f>IF(D58='AMS I.C. MF Dropdown Items'!C11,"Yes","NA")</f>
        <v>NA</v>
      </c>
      <c r="H93" t="s">
        <v>90</v>
      </c>
      <c r="I93" t="s">
        <v>16</v>
      </c>
    </row>
    <row r="94" spans="2:9" ht="28.9">
      <c r="B94" t="s">
        <v>116</v>
      </c>
      <c r="C94" s="1" t="s">
        <v>117</v>
      </c>
      <c r="D94">
        <v>1.62</v>
      </c>
      <c r="E94" t="str">
        <f>IF(D58='AMS I.C. MF Dropdown Items'!C11,"Yes","NA")</f>
        <v>NA</v>
      </c>
      <c r="F94"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94" t="s">
        <v>90</v>
      </c>
      <c r="I94" t="s">
        <v>16</v>
      </c>
    </row>
    <row r="95" spans="2:9" ht="28.9">
      <c r="B95" t="s">
        <v>119</v>
      </c>
      <c r="C95" s="1" t="s">
        <v>120</v>
      </c>
      <c r="D95" s="22">
        <f>IF(D59="No","NA",IF(AND(D59="Yes",D60="No"),'Tool 09'!C26,"User Input, See Help Text"))</f>
        <v>0.85</v>
      </c>
      <c r="E95" t="str">
        <f>IF(D58='AMS I.C. MF Dropdown Items'!C11,"Yes","NA")</f>
        <v>NA</v>
      </c>
      <c r="F95" t="str">
        <f>IF(AND(D59="Yes",D60="Yes",D30="Yes"),'Help Text Notes'!A2,IF(AND(D30="Yes",D35="Yes",D61="Yes"),'Help Text Notes'!A3,IF(D62="Yes",'Help Text Notes'!A5,"NA")))</f>
        <v>NA</v>
      </c>
      <c r="G95" t="s">
        <v>121</v>
      </c>
      <c r="H95" t="str">
        <f>IF(D67="User Input, See Help Text","Number","Referenced Parameter")</f>
        <v>Referenced Parameter</v>
      </c>
      <c r="I95" t="s">
        <v>16</v>
      </c>
    </row>
    <row r="96" spans="2:9" ht="28.9" customHeight="1">
      <c r="B96" t="s">
        <v>122</v>
      </c>
      <c r="C96" s="1" t="s">
        <v>123</v>
      </c>
      <c r="D96" s="22">
        <f>(D93/D95)*D94</f>
        <v>1395.1058823529413</v>
      </c>
      <c r="E96" t="str">
        <f>IF(D58='AMS I.C. MF Dropdown Items'!C11,"Yes","NA")</f>
        <v>NA</v>
      </c>
      <c r="H96" t="s">
        <v>101</v>
      </c>
      <c r="I96" t="s">
        <v>16</v>
      </c>
    </row>
    <row r="97" spans="2:9" ht="16.149999999999999" customHeight="1">
      <c r="B97" t="s">
        <v>11</v>
      </c>
      <c r="C97" s="11" t="s">
        <v>161</v>
      </c>
      <c r="D97" s="2" t="s">
        <v>162</v>
      </c>
      <c r="E97" t="str">
        <f>IF(D58='AMS I.C. MF Dropdown Items'!C11,"Yes","NA")</f>
        <v>NA</v>
      </c>
      <c r="H97" t="s">
        <v>15</v>
      </c>
      <c r="I97" t="s">
        <v>16</v>
      </c>
    </row>
    <row r="98" spans="2:9" ht="28.9" customHeight="1">
      <c r="B98" t="s">
        <v>163</v>
      </c>
      <c r="C98" s="1" t="s">
        <v>164</v>
      </c>
      <c r="D98" s="22">
        <f>IF(AND(D59="Yes",D60="No"),'Tool 09'!C26,"User Input, See Help Text")</f>
        <v>0.85</v>
      </c>
      <c r="E98" t="str">
        <f>IF(D58='AMS I.C. MF Dropdown Items'!C11,"Yes","NA")</f>
        <v>NA</v>
      </c>
      <c r="F98" t="b">
        <f>IF(AND(D59="Yes",D60="Yes",D30="Yes"),'Help Text Notes'!A2,IF(D35="Yes",'Help Text Notes'!A6))</f>
        <v>0</v>
      </c>
      <c r="G98" t="s">
        <v>165</v>
      </c>
      <c r="H98" t="str">
        <f>IF(D67="User Input, See Help Text","Number","Referenced Parameter")</f>
        <v>Referenced Parameter</v>
      </c>
      <c r="I98" t="s">
        <v>16</v>
      </c>
    </row>
    <row r="99" spans="2:9" ht="28.9" customHeight="1">
      <c r="B99" t="s">
        <v>166</v>
      </c>
      <c r="C99" s="1" t="s">
        <v>167</v>
      </c>
      <c r="D99" s="170">
        <v>13</v>
      </c>
      <c r="E99" t="str">
        <f>IF(D58='AMS I.C. MF Dropdown Items'!C11,"Yes","NA")</f>
        <v>NA</v>
      </c>
      <c r="F99" t="str">
        <f>'Help Text Notes'!A31</f>
        <v xml:space="preserve">Help Text: Calculate the cooling output of baseline scenario chiller(s) i in year y (MWhth) using equation 8 in the methodology and enter here.  </v>
      </c>
      <c r="H99" t="s">
        <v>90</v>
      </c>
      <c r="I99" t="s">
        <v>16</v>
      </c>
    </row>
    <row r="100" spans="2:9" ht="28.9" customHeight="1">
      <c r="B100" t="s">
        <v>168</v>
      </c>
      <c r="C100" s="1" t="s">
        <v>169</v>
      </c>
      <c r="H100" t="s">
        <v>170</v>
      </c>
    </row>
    <row r="101" spans="2:9" ht="15.6" customHeight="1">
      <c r="C101" s="24" t="s">
        <v>171</v>
      </c>
      <c r="I101" t="s">
        <v>14</v>
      </c>
    </row>
    <row r="102" spans="2:9" ht="16.149999999999999" customHeight="1">
      <c r="B102" s="87" t="s">
        <v>11</v>
      </c>
      <c r="C102" s="24" t="s">
        <v>161</v>
      </c>
      <c r="D102" s="124" t="s">
        <v>172</v>
      </c>
      <c r="E102" s="87" t="str">
        <f>IF(D58='AMS I.C. MF Dropdown Items'!C11,"Yes","NA")</f>
        <v>NA</v>
      </c>
      <c r="F102" s="87"/>
      <c r="G102" s="87" t="s">
        <v>173</v>
      </c>
      <c r="H102" t="s">
        <v>15</v>
      </c>
      <c r="I102" t="s">
        <v>16</v>
      </c>
    </row>
    <row r="103" spans="2:9" ht="28.9" customHeight="1">
      <c r="B103" s="87" t="s">
        <v>163</v>
      </c>
      <c r="C103" s="91" t="s">
        <v>164</v>
      </c>
      <c r="D103" s="88">
        <f>IF(AND(D59="Yes",D60="No"),'Tool 09'!C26,"User Input, See Help Text")</f>
        <v>0.85</v>
      </c>
      <c r="E103" s="87" t="str">
        <f>IF(D58='AMS I.C. MF Dropdown Items'!C11,"Yes","NA")</f>
        <v>NA</v>
      </c>
      <c r="F103" s="87" t="b">
        <f>IF(AND(D59="Yes",D60="Yes",D30="Yes"),'Help Text Notes'!A2,IF(D35="Yes",'Help Text Notes'!A6))</f>
        <v>0</v>
      </c>
      <c r="G103" s="87" t="s">
        <v>174</v>
      </c>
      <c r="H103" t="str">
        <f>IF(D67="User Input, See Help Text","Number","Referenced Parameter")</f>
        <v>Referenced Parameter</v>
      </c>
      <c r="I103" t="s">
        <v>16</v>
      </c>
    </row>
    <row r="104" spans="2:9" ht="28.9" customHeight="1">
      <c r="B104" s="87" t="s">
        <v>166</v>
      </c>
      <c r="C104" s="91" t="s">
        <v>167</v>
      </c>
      <c r="D104" s="171">
        <v>12</v>
      </c>
      <c r="E104" s="87" t="str">
        <f>IF(D58='AMS I.C. MF Dropdown Items'!C11,"Yes","NA")</f>
        <v>NA</v>
      </c>
      <c r="F104" s="87" t="str">
        <f>'Help Text Notes'!A31</f>
        <v xml:space="preserve">Help Text: Calculate the cooling output of baseline scenario chiller(s) i in year y (MWhth) using equation 8 in the methodology and enter here.  </v>
      </c>
      <c r="G104" s="87" t="s">
        <v>173</v>
      </c>
      <c r="H104" t="s">
        <v>101</v>
      </c>
      <c r="I104" t="s">
        <v>16</v>
      </c>
    </row>
    <row r="105" spans="2:9" ht="28.9" customHeight="1">
      <c r="B105" s="87" t="s">
        <v>168</v>
      </c>
      <c r="C105" s="1" t="s">
        <v>169</v>
      </c>
      <c r="G105" s="87"/>
      <c r="H105" t="s">
        <v>170</v>
      </c>
    </row>
    <row r="106" spans="2:9" ht="16.149999999999999" customHeight="1">
      <c r="B106" t="s">
        <v>175</v>
      </c>
      <c r="C106" s="1" t="s">
        <v>176</v>
      </c>
      <c r="D106" s="22">
        <f>D91*SUM((D99/D98)+(D104/D103))</f>
        <v>22.352941176470591</v>
      </c>
      <c r="E106" t="str">
        <f>IF(D58='AMS I.C. MF Dropdown Items'!C11,"Yes","NA")</f>
        <v>NA</v>
      </c>
      <c r="G106" s="87" t="s">
        <v>177</v>
      </c>
      <c r="H106" t="s">
        <v>101</v>
      </c>
      <c r="I106" t="s">
        <v>16</v>
      </c>
    </row>
    <row r="107" spans="2:9" ht="32.450000000000003" customHeight="1">
      <c r="B107" t="s">
        <v>178</v>
      </c>
      <c r="C107" s="1" t="s">
        <v>179</v>
      </c>
      <c r="D107">
        <v>748</v>
      </c>
      <c r="E107" t="str">
        <f>IF(D58='AMS I.C. MF Dropdown Items'!C11,"Yes","NA")</f>
        <v>NA</v>
      </c>
      <c r="F107" t="str">
        <f>'Help Text Notes'!A32</f>
        <v xml:space="preserve">Help Text: Calculate the baseline emissions associated with the heat (e.g. steam or hot water) produced in year y (t CO2e) using on equation 9 in the methodology and enter here. </v>
      </c>
      <c r="H107" t="s">
        <v>101</v>
      </c>
      <c r="I107" t="s">
        <v>16</v>
      </c>
    </row>
    <row r="108" spans="2:9" ht="35.450000000000003" customHeight="1" thickBot="1">
      <c r="B108" s="87" t="s">
        <v>180</v>
      </c>
      <c r="C108" s="1" t="s">
        <v>181</v>
      </c>
      <c r="H108" t="s">
        <v>170</v>
      </c>
    </row>
    <row r="109" spans="2:9" s="27" customFormat="1" ht="15.6" thickTop="1" thickBot="1">
      <c r="B109" s="27" t="s">
        <v>182</v>
      </c>
      <c r="C109" s="28" t="s">
        <v>183</v>
      </c>
      <c r="D109" s="84">
        <f>D92+D96+D106+D107</f>
        <v>2823.6188235294121</v>
      </c>
      <c r="E109" s="27" t="str">
        <f>IF(D58='AMS I.C. MF Dropdown Items'!C11,"Yes","NA")</f>
        <v>NA</v>
      </c>
      <c r="H109" s="27" t="s">
        <v>101</v>
      </c>
      <c r="I109" s="27" t="s">
        <v>16</v>
      </c>
    </row>
    <row r="110" spans="2:9" s="13" customFormat="1" ht="15" thickTop="1">
      <c r="C110" s="12" t="s">
        <v>184</v>
      </c>
      <c r="E110" s="13" t="str">
        <f>IF(D63="Yes","Yes","NA")</f>
        <v>Yes</v>
      </c>
    </row>
    <row r="111" spans="2:9" s="25" customFormat="1" ht="43.15">
      <c r="B111" s="25" t="s">
        <v>11</v>
      </c>
      <c r="C111" s="26" t="s">
        <v>185</v>
      </c>
      <c r="D111" s="25" t="s">
        <v>16</v>
      </c>
      <c r="E111" s="25" t="str">
        <f>IF(D63="Yes","Yes","NA")</f>
        <v>Yes</v>
      </c>
      <c r="F111" s="25" t="b">
        <f>IF(D111="Yes",'Help Text Notes'!A7)</f>
        <v>0</v>
      </c>
      <c r="H111" s="25" t="s">
        <v>186</v>
      </c>
      <c r="I111" s="25" t="s">
        <v>16</v>
      </c>
    </row>
    <row r="112" spans="2:9" s="25" customFormat="1" ht="28.9">
      <c r="B112" s="25" t="s">
        <v>11</v>
      </c>
      <c r="C112" s="26" t="s">
        <v>187</v>
      </c>
      <c r="D112" s="25" t="s">
        <v>14</v>
      </c>
      <c r="E112" s="25" t="str">
        <f>IF(D63="Yes","Yes","NA")</f>
        <v>Yes</v>
      </c>
      <c r="H112" s="25" t="s">
        <v>186</v>
      </c>
      <c r="I112" s="25" t="s">
        <v>16</v>
      </c>
    </row>
    <row r="113" spans="2:9" s="25" customFormat="1" ht="28.9">
      <c r="B113" s="25" t="s">
        <v>11</v>
      </c>
      <c r="C113" s="26" t="s">
        <v>188</v>
      </c>
      <c r="D113" s="25" t="s">
        <v>14</v>
      </c>
      <c r="E113" s="25" t="str">
        <f>IF(D112="Yes","Yes","NA")</f>
        <v>Yes</v>
      </c>
      <c r="F113" s="25" t="str">
        <f>IF(D113="Yes",'Help Text Notes'!A8)</f>
        <v>Help Text: If the existing units shut down are derated, or otherwise become limited in production, the project activity should not get credit for generating thermal energy from the same renewable resources that would have otherwise been used by the existing units (or their replacements). Therefore, the equation for EGthermal,old,y still holds, and the value for EGthermal,estimated,y should continue to be estimated assuming the capacity and operating parameters are the same as that at the time of the start of the project activity.</v>
      </c>
      <c r="H113" s="25" t="s">
        <v>186</v>
      </c>
      <c r="I113" s="25" t="s">
        <v>16</v>
      </c>
    </row>
    <row r="114" spans="2:9" s="25" customFormat="1">
      <c r="B114" s="25" t="s">
        <v>11</v>
      </c>
      <c r="C114" s="26" t="s">
        <v>189</v>
      </c>
      <c r="D114" s="25" t="s">
        <v>14</v>
      </c>
      <c r="E114" s="25" t="str">
        <f>IF(D59="Yes","Yes","NA")</f>
        <v>Yes</v>
      </c>
      <c r="F114" s="25" t="str">
        <f>IF(D114="Yes",'Help Text Notes'!A9)</f>
        <v>Help Text: If the existing units are subject to modifications or retrofits that increase production, then EGthermal,old,y can be estimated using the procedures described for EGBL,thermal,retrofit,y below.</v>
      </c>
      <c r="H114" s="25" t="s">
        <v>186</v>
      </c>
      <c r="I114" s="25" t="s">
        <v>16</v>
      </c>
    </row>
    <row r="115" spans="2:9">
      <c r="B115" t="s">
        <v>190</v>
      </c>
      <c r="C115" s="1" t="s">
        <v>191</v>
      </c>
      <c r="D115">
        <v>64.7</v>
      </c>
      <c r="E115" t="str">
        <f>IF(D112="Yes","Yes","NA")</f>
        <v>Yes</v>
      </c>
      <c r="H115" t="s">
        <v>192</v>
      </c>
      <c r="I115" t="s">
        <v>16</v>
      </c>
    </row>
    <row r="116" spans="2:9">
      <c r="B116" t="s">
        <v>193</v>
      </c>
      <c r="C116" s="1" t="s">
        <v>194</v>
      </c>
      <c r="D116">
        <v>43.2</v>
      </c>
      <c r="E116" t="str">
        <f>IF(D112="Yes","Yes","NA")</f>
        <v>Yes</v>
      </c>
      <c r="H116" t="s">
        <v>192</v>
      </c>
      <c r="I116" t="s">
        <v>16</v>
      </c>
    </row>
    <row r="117" spans="2:9" ht="28.9">
      <c r="B117" t="s">
        <v>195</v>
      </c>
      <c r="C117" s="1" t="s">
        <v>196</v>
      </c>
      <c r="D117">
        <v>50</v>
      </c>
      <c r="E117" t="str">
        <f>IF(D112="Yes","Yes","NA")</f>
        <v>Yes</v>
      </c>
      <c r="H117" t="s">
        <v>192</v>
      </c>
      <c r="I117" t="s">
        <v>16</v>
      </c>
    </row>
    <row r="118" spans="2:9" ht="28.9">
      <c r="B118" t="s">
        <v>197</v>
      </c>
      <c r="C118" s="1" t="s">
        <v>198</v>
      </c>
      <c r="D118" s="22">
        <f>MAX(D116,D117)</f>
        <v>50</v>
      </c>
      <c r="E118" t="str">
        <f>IF(D112="Yes","Yes","NA")</f>
        <v>Yes</v>
      </c>
      <c r="H118" t="s">
        <v>199</v>
      </c>
      <c r="I118" t="s">
        <v>16</v>
      </c>
    </row>
    <row r="119" spans="2:9" ht="28.9">
      <c r="B119" t="s">
        <v>200</v>
      </c>
      <c r="C119" s="1" t="s">
        <v>201</v>
      </c>
      <c r="D119" s="22">
        <f>D115-D118</f>
        <v>14.700000000000003</v>
      </c>
      <c r="E119" t="str">
        <f>IF(D112="Yes","Yes","NA")</f>
        <v>Yes</v>
      </c>
      <c r="H119" t="s">
        <v>199</v>
      </c>
      <c r="I119" t="s">
        <v>16</v>
      </c>
    </row>
    <row r="120" spans="2:9" s="13" customFormat="1">
      <c r="C120" s="12" t="s">
        <v>202</v>
      </c>
      <c r="E120" s="13" t="str">
        <f>IF(OR(D32="Yes",D33="Yes",D34="Yes",D114="Yes"),"Yes","NA")</f>
        <v>Yes</v>
      </c>
    </row>
    <row r="121" spans="2:9" ht="57.6">
      <c r="B121" t="s">
        <v>203</v>
      </c>
      <c r="C121" s="1" t="s">
        <v>204</v>
      </c>
      <c r="D121">
        <v>34.21</v>
      </c>
      <c r="E121" t="str">
        <f>IF(AND(D33="Yes",D34="No"),"Yes","NA")</f>
        <v>NA</v>
      </c>
      <c r="H121" t="s">
        <v>192</v>
      </c>
      <c r="I121" t="s">
        <v>16</v>
      </c>
    </row>
    <row r="122" spans="2:9" ht="28.9">
      <c r="B122" t="s">
        <v>205</v>
      </c>
      <c r="C122" s="1" t="s">
        <v>206</v>
      </c>
      <c r="D122">
        <v>33.979999999999997</v>
      </c>
      <c r="E122" t="str">
        <f>IF(AND(D33="Yes",D34="No"),"Yes","NA")</f>
        <v>NA</v>
      </c>
      <c r="H122" t="s">
        <v>192</v>
      </c>
      <c r="I122" t="s">
        <v>16</v>
      </c>
    </row>
    <row r="123" spans="2:9" ht="28.9">
      <c r="B123" t="s">
        <v>207</v>
      </c>
      <c r="C123" s="1" t="s">
        <v>208</v>
      </c>
      <c r="D123" s="172">
        <v>46388</v>
      </c>
      <c r="E123" t="str">
        <f>IF(AND(D33="Yes",D34="No"),"Yes","NA")</f>
        <v>NA</v>
      </c>
      <c r="F123" t="str">
        <f>'Help Text Notes'!A22</f>
        <v>Help Text: In order to estimate the point in time when the existing equipment would need to be replaced in the absence of the project activity (DATEBaselineRetrofit), project participants may follow the procedures described in the “General guidelines for SSC CDM methodologies”.</v>
      </c>
      <c r="H123" t="s">
        <v>209</v>
      </c>
      <c r="I123" t="s">
        <v>16</v>
      </c>
    </row>
    <row r="124" spans="2:9" ht="32.450000000000003" customHeight="1">
      <c r="B124" t="s">
        <v>210</v>
      </c>
      <c r="C124" s="1" t="s">
        <v>211</v>
      </c>
      <c r="D124" s="22">
        <f>MAX(D121,D122)</f>
        <v>34.21</v>
      </c>
      <c r="G124" t="s">
        <v>212</v>
      </c>
      <c r="H124" t="s">
        <v>199</v>
      </c>
      <c r="I124" t="s">
        <v>16</v>
      </c>
    </row>
    <row r="125" spans="2:9">
      <c r="B125" t="s">
        <v>213</v>
      </c>
      <c r="C125" s="1" t="s">
        <v>214</v>
      </c>
      <c r="D125">
        <v>66.959999999999994</v>
      </c>
      <c r="E125" t="str">
        <f>IF(AND(D33="Yes",D34="No"),"Yes","NA")</f>
        <v>NA</v>
      </c>
      <c r="F125" t="str">
        <f>'Help Text Notes'!A23</f>
        <v>Help Text: The requirements concerning demonstration of the remaining lifetime of the replaced equipment shall be met as described in the “General guidelines for SSC CDM methodologies”. If the remaining lifetime of the affected systems increases due to the project activity, the crediting period shall be limited to the estimated remaining lifetime, i.e. the time when the affected systems would have been replaced in the absence of the project activity.</v>
      </c>
      <c r="H125" t="s">
        <v>90</v>
      </c>
      <c r="I125" t="s">
        <v>16</v>
      </c>
    </row>
    <row r="126" spans="2:9" ht="43.15">
      <c r="B126" t="s">
        <v>215</v>
      </c>
      <c r="C126" s="1" t="s">
        <v>216</v>
      </c>
      <c r="D126">
        <v>2.69</v>
      </c>
      <c r="E126" t="str">
        <f>IF(AND(D33="Yes",D34="No"),"Yes","NA")</f>
        <v>NA</v>
      </c>
      <c r="F126" t="str">
        <f>'Help Text Notes'!A1</f>
        <v>Help Text: For project activities that displace on-site captive electricity and/or displace grid electricity import and/or supply electricity to a grid, the electricity emission factor should reflect the emissions intensity of the captive power plant and the grid of the baseline scenario. If annual electricity produced in the project activity is less than or equal to the sum of on-site captive generation and net grid import in the baseline scenario, the emission factor shall be calculated as the weighted average of on-site captive electricity generation and the net grid electricity import in the baseline. If annual electricity produced in the project activity is greater than the sum of on-site captive generation and net grid import in the baseline, the lower of the two, i.e. the emission factor of the grid or the emission factor of the baseline captive plant shall be used for the incremental generation (i.e. the difference between the electricity generation in the project activity and the sum of captive generation and net grid import).
For project activities that do not displace captive electricity generated by an existing plant but displace grid electricity import and/or supply electricity to a grid, the emission factor of the grid shall be calculated as per the procedures detailed in AMS-I.D. or AMS-I.F. 
For new facilities, the most conservative (lowest) emission factor of the two power sources (captive power plant and grid) should be used.</v>
      </c>
      <c r="H126" t="s">
        <v>90</v>
      </c>
      <c r="I126" t="s">
        <v>16</v>
      </c>
    </row>
    <row r="127" spans="2:9">
      <c r="B127" t="s">
        <v>217</v>
      </c>
      <c r="C127" s="1" t="s">
        <v>218</v>
      </c>
      <c r="D127" s="22">
        <f>(D125-D124)*D126</f>
        <v>88.097499999999982</v>
      </c>
      <c r="E127" t="str">
        <f>IF(AND(D33="Yes",D34="No"),"Yes","NA")</f>
        <v>NA</v>
      </c>
      <c r="H127" t="s">
        <v>199</v>
      </c>
      <c r="I127" t="s">
        <v>16</v>
      </c>
    </row>
    <row r="128" spans="2:9" s="13" customFormat="1">
      <c r="C128" s="12" t="s">
        <v>219</v>
      </c>
      <c r="E128" s="13" t="str">
        <f>IF(D62="Yes","Yes","NA")</f>
        <v>NA</v>
      </c>
    </row>
    <row r="129" spans="2:9">
      <c r="B129" t="s">
        <v>220</v>
      </c>
      <c r="C129" s="1" t="s">
        <v>221</v>
      </c>
      <c r="D129">
        <v>100</v>
      </c>
      <c r="E129" t="str">
        <f>IF(D62="Yes","Yes","NA")</f>
        <v>NA</v>
      </c>
      <c r="H129" t="s">
        <v>90</v>
      </c>
      <c r="I129" t="s">
        <v>16</v>
      </c>
    </row>
    <row r="130" spans="2:9">
      <c r="B130" t="s">
        <v>222</v>
      </c>
      <c r="C130" s="1" t="s">
        <v>223</v>
      </c>
      <c r="D130">
        <v>0.9</v>
      </c>
      <c r="E130" t="str">
        <f>IF(D62="Yes","Yes","NA")</f>
        <v>NA</v>
      </c>
      <c r="H130" t="s">
        <v>90</v>
      </c>
      <c r="I130" t="s">
        <v>16</v>
      </c>
    </row>
    <row r="131" spans="2:9">
      <c r="B131" t="s">
        <v>224</v>
      </c>
      <c r="C131" s="1" t="s">
        <v>225</v>
      </c>
      <c r="D131">
        <v>0.9</v>
      </c>
      <c r="E131" t="str">
        <f>IF(D62="Yes","Yes","NA")</f>
        <v>NA</v>
      </c>
      <c r="F131" t="str">
        <f>'Help Text Notes'!A24</f>
        <v>Help Text: Measured using representative sampling methods or based on referenced literature values. The efficiency tests shall be conducted following the guidance provided in the relevant national/international standards.</v>
      </c>
      <c r="H131" t="s">
        <v>90</v>
      </c>
      <c r="I131" t="s">
        <v>16</v>
      </c>
    </row>
    <row r="132" spans="2:9" ht="28.9">
      <c r="B132" t="s">
        <v>226</v>
      </c>
      <c r="C132" s="1" t="s">
        <v>227</v>
      </c>
      <c r="D132" s="22">
        <f>D129*D130*D131</f>
        <v>81</v>
      </c>
      <c r="E132" t="str">
        <f>IF(D62="Yes","Yes","NA")</f>
        <v>NA</v>
      </c>
      <c r="H132" t="s">
        <v>199</v>
      </c>
      <c r="I132" t="s">
        <v>16</v>
      </c>
    </row>
    <row r="133" spans="2:9">
      <c r="B133" t="s">
        <v>228</v>
      </c>
      <c r="C133" s="1" t="s">
        <v>229</v>
      </c>
      <c r="D133" s="22">
        <f>IF(AND(D59="Yes",D60="No"),'Tool 09'!C26,"User Input, See Help Text")</f>
        <v>0.85</v>
      </c>
      <c r="E133" t="str">
        <f>IF(D62="Yes","Yes","NA")</f>
        <v>NA</v>
      </c>
      <c r="F133" t="str">
        <f>IF(AND(D59="Yes",D60="Yes",D30="Yes"),'Help Text Notes'!A2,IF(AND(D30="Yes",D35="Yes",D61="Yes"),'Help Text Notes'!A3,IF(D30="No",'Help Text Notes'!A4,IF(D62="Yes",'Help Text Notes'!A5))))</f>
        <v>Help Text: Efficiency of the baseline units (excluding cogeneration or trigeneration plants) shall be determined by adopting one of the following criteria (in preferential order): (a) Highest measured operational efficiency over the full range of operating conditions of a unit with similar specifications, using baseline fuel. The efficiency tests shall be conducted following the guidance provided in relevant national/international standards; (b) Highest of the efficiency values provided by two or more manufacturers for units with similar specifications, using the baseline fuel; (c) A default efficiency of 100 per cent.</v>
      </c>
      <c r="G133" t="s">
        <v>165</v>
      </c>
      <c r="H133" t="str">
        <f>IF(D67="User Input, See Help Text","Number","Referenced Parameter")</f>
        <v>Referenced Parameter</v>
      </c>
      <c r="I133" t="s">
        <v>16</v>
      </c>
    </row>
    <row r="134" spans="2:9">
      <c r="B134" t="s">
        <v>215</v>
      </c>
      <c r="C134" s="1" t="s">
        <v>230</v>
      </c>
      <c r="D134">
        <v>2.99</v>
      </c>
      <c r="E134" t="str">
        <f>IF(D62="Yes","Yes","NA")</f>
        <v>NA</v>
      </c>
      <c r="H134" t="s">
        <v>90</v>
      </c>
      <c r="I134" t="s">
        <v>16</v>
      </c>
    </row>
    <row r="135" spans="2:9" ht="28.9">
      <c r="B135" t="s">
        <v>231</v>
      </c>
      <c r="C135" s="1" t="s">
        <v>232</v>
      </c>
      <c r="D135" s="22">
        <f>(D132/D133)*D134</f>
        <v>284.92941176470589</v>
      </c>
      <c r="E135" t="str">
        <f>IF(D62="Yes","Yes","NA")</f>
        <v>NA</v>
      </c>
      <c r="H135" t="s">
        <v>199</v>
      </c>
      <c r="I135" t="s">
        <v>16</v>
      </c>
    </row>
    <row r="136" spans="2:9" s="13" customFormat="1">
      <c r="C136" s="12" t="s">
        <v>233</v>
      </c>
      <c r="E136" s="13" t="s">
        <v>14</v>
      </c>
    </row>
    <row r="137" spans="2:9" ht="28.9">
      <c r="B137" t="s">
        <v>11</v>
      </c>
      <c r="C137" s="1" t="s">
        <v>234</v>
      </c>
      <c r="E137" t="s">
        <v>14</v>
      </c>
      <c r="H137" t="s">
        <v>15</v>
      </c>
      <c r="I137" t="s">
        <v>16</v>
      </c>
    </row>
    <row r="138" spans="2:9" ht="28.9">
      <c r="B138" t="s">
        <v>11</v>
      </c>
      <c r="C138" s="1" t="s">
        <v>235</v>
      </c>
      <c r="E138" t="s">
        <v>14</v>
      </c>
      <c r="H138" t="s">
        <v>170</v>
      </c>
      <c r="I138" t="s">
        <v>16</v>
      </c>
    </row>
    <row r="139" spans="2:9" s="10" customFormat="1" ht="18">
      <c r="C139" s="9" t="s">
        <v>236</v>
      </c>
      <c r="E139" s="10" t="s">
        <v>14</v>
      </c>
    </row>
    <row r="140" spans="2:9" s="25" customFormat="1">
      <c r="B140" s="25" t="s">
        <v>11</v>
      </c>
      <c r="C140" s="26" t="s">
        <v>237</v>
      </c>
      <c r="D140" s="25" t="s">
        <v>14</v>
      </c>
    </row>
    <row r="141" spans="2:9" s="25" customFormat="1">
      <c r="B141" s="25" t="s">
        <v>11</v>
      </c>
      <c r="C141" s="26" t="s">
        <v>238</v>
      </c>
      <c r="D141" s="25" t="s">
        <v>16</v>
      </c>
      <c r="I141" s="25" t="s">
        <v>16</v>
      </c>
    </row>
    <row r="142" spans="2:9" s="13" customFormat="1">
      <c r="C142" s="12" t="s">
        <v>239</v>
      </c>
      <c r="E142" s="13" t="s">
        <v>14</v>
      </c>
    </row>
    <row r="143" spans="2:9">
      <c r="B143" t="s">
        <v>240</v>
      </c>
      <c r="C143" s="1" t="s">
        <v>241</v>
      </c>
      <c r="D143" s="22">
        <f>'(Revised) Tool 03'!G3</f>
        <v>73.333333333333329</v>
      </c>
      <c r="E143" t="s">
        <v>14</v>
      </c>
      <c r="F143" t="str">
        <f>'Help Text Notes'!A26</f>
        <v xml:space="preserve">Help Text: Fossil fuels required for the operation of equipment related to the on-site or off-site preparation, storage, processing and transporting of fuels and biomass (e.g. for mechanical treatment of the biomass, conveyor belts, driers, pelletization, shredding, briquetting processes, etc.) shall be treated under PEbiomass,y. </v>
      </c>
      <c r="H143" t="s">
        <v>242</v>
      </c>
      <c r="I143" t="s">
        <v>16</v>
      </c>
    </row>
    <row r="144" spans="2:9" s="13" customFormat="1">
      <c r="C144" s="12" t="s">
        <v>243</v>
      </c>
      <c r="E144" s="13" t="s">
        <v>14</v>
      </c>
    </row>
    <row r="145" spans="2:9">
      <c r="B145" t="s">
        <v>244</v>
      </c>
      <c r="C145" s="1" t="s">
        <v>245</v>
      </c>
      <c r="D145" s="22">
        <f>'Tool 05.1'!G6</f>
        <v>0.73499999999999999</v>
      </c>
      <c r="E145" t="s">
        <v>14</v>
      </c>
      <c r="F145" t="str">
        <f>'Help Text Notes'!A27</f>
        <v xml:space="preserve">Help Text: Electricity required for the operation of equipment related to the on-site or off-site preparation, storage, processing and transportation of fuels and biomass (e.g. for mechanical treatment of the biomass, conveyor belts, driers, pelletization, shredding, briquetting processes, etc.) shall be treated under PEbiomass,y. </v>
      </c>
      <c r="H145" t="s">
        <v>242</v>
      </c>
      <c r="I145" t="s">
        <v>16</v>
      </c>
    </row>
    <row r="146" spans="2:9" s="13" customFormat="1">
      <c r="C146" s="12" t="s">
        <v>246</v>
      </c>
      <c r="E146" s="13" t="str">
        <f>D140</f>
        <v>Yes</v>
      </c>
    </row>
    <row r="147" spans="2:9" s="25" customFormat="1" ht="28.9">
      <c r="B147" s="25" t="s">
        <v>11</v>
      </c>
      <c r="C147" s="26" t="s">
        <v>247</v>
      </c>
      <c r="D147" s="25" t="s">
        <v>11</v>
      </c>
      <c r="E147" s="25" t="str">
        <f>D140</f>
        <v>Yes</v>
      </c>
      <c r="H147" s="25" t="s">
        <v>28</v>
      </c>
      <c r="I147" s="25" t="s">
        <v>16</v>
      </c>
    </row>
    <row r="148" spans="2:9" s="25" customFormat="1" ht="28.9">
      <c r="B148" s="25" t="s">
        <v>11</v>
      </c>
      <c r="C148" s="26" t="s">
        <v>248</v>
      </c>
      <c r="D148" s="25" t="s">
        <v>11</v>
      </c>
      <c r="E148" s="25" t="str">
        <f>D140</f>
        <v>Yes</v>
      </c>
      <c r="H148" s="25" t="s">
        <v>28</v>
      </c>
      <c r="I148" s="25" t="s">
        <v>16</v>
      </c>
    </row>
    <row r="149" spans="2:9">
      <c r="B149" t="s">
        <v>249</v>
      </c>
      <c r="C149" s="1" t="s">
        <v>250</v>
      </c>
      <c r="D149">
        <v>7.0000000000000001E-3</v>
      </c>
      <c r="E149" t="str">
        <f>IF(D147="Yes","Yes","NA")</f>
        <v>NA</v>
      </c>
      <c r="H149" t="s">
        <v>90</v>
      </c>
      <c r="I149" t="s">
        <v>16</v>
      </c>
    </row>
    <row r="150" spans="2:9">
      <c r="B150" t="s">
        <v>251</v>
      </c>
      <c r="C150" s="1" t="s">
        <v>252</v>
      </c>
      <c r="D150">
        <v>9.9999999999999995E-7</v>
      </c>
      <c r="E150" t="str">
        <f>IF(D147="Yes","Yes","NA")</f>
        <v>NA</v>
      </c>
      <c r="H150" t="s">
        <v>90</v>
      </c>
      <c r="I150" t="s">
        <v>16</v>
      </c>
    </row>
    <row r="151" spans="2:9">
      <c r="B151" t="s">
        <v>253</v>
      </c>
      <c r="C151" s="1" t="s">
        <v>254</v>
      </c>
      <c r="D151">
        <v>28</v>
      </c>
      <c r="E151" t="str">
        <f>IF(D147="Yes","Yes","NA")</f>
        <v>NA</v>
      </c>
      <c r="H151" t="s">
        <v>90</v>
      </c>
      <c r="I151" t="s">
        <v>16</v>
      </c>
    </row>
    <row r="152" spans="2:9">
      <c r="B152" t="s">
        <v>255</v>
      </c>
      <c r="C152" s="1" t="s">
        <v>256</v>
      </c>
      <c r="D152" s="170">
        <v>555</v>
      </c>
      <c r="E152" t="str">
        <f>IF(D147="Yes","Yes","NA")</f>
        <v>NA</v>
      </c>
      <c r="H152" t="s">
        <v>90</v>
      </c>
      <c r="I152" t="s">
        <v>16</v>
      </c>
    </row>
    <row r="153" spans="2:9" ht="28.9">
      <c r="B153" t="s">
        <v>257</v>
      </c>
      <c r="C153" s="1" t="s">
        <v>258</v>
      </c>
      <c r="D153" s="22">
        <f>(D149+D150*D151)*D152</f>
        <v>3.9005400000000003</v>
      </c>
      <c r="E153" t="str">
        <f>IF(D147="Yes","Yes","NA")</f>
        <v>NA</v>
      </c>
      <c r="H153" t="s">
        <v>199</v>
      </c>
      <c r="I153" t="s">
        <v>16</v>
      </c>
    </row>
    <row r="154" spans="2:9">
      <c r="C154" s="1" t="s">
        <v>259</v>
      </c>
      <c r="D154" t="s">
        <v>260</v>
      </c>
      <c r="E154" t="str">
        <f>D140</f>
        <v>Yes</v>
      </c>
      <c r="H154" t="s">
        <v>15</v>
      </c>
      <c r="I154" t="s">
        <v>16</v>
      </c>
    </row>
    <row r="155" spans="2:9">
      <c r="B155" t="s">
        <v>261</v>
      </c>
      <c r="C155" s="1" t="s">
        <v>262</v>
      </c>
      <c r="D155" s="22">
        <f>'(Revised) Tool 03'!G3</f>
        <v>73.333333333333329</v>
      </c>
      <c r="E155" t="str">
        <f>D140</f>
        <v>Yes</v>
      </c>
      <c r="H155" t="s">
        <v>242</v>
      </c>
      <c r="I155" t="s">
        <v>16</v>
      </c>
    </row>
    <row r="156" spans="2:9" ht="28.9">
      <c r="B156" t="s">
        <v>240</v>
      </c>
      <c r="C156" s="1" t="s">
        <v>263</v>
      </c>
      <c r="D156" s="22">
        <f>D155</f>
        <v>73.333333333333329</v>
      </c>
      <c r="E156" t="str">
        <f>IF(D148="Yes","Yes","NA")</f>
        <v>NA</v>
      </c>
      <c r="H156" t="s">
        <v>199</v>
      </c>
      <c r="I156" t="s">
        <v>16</v>
      </c>
    </row>
    <row r="157" spans="2:9" s="2" customFormat="1">
      <c r="C157" s="11" t="s">
        <v>264</v>
      </c>
      <c r="I157" s="2" t="s">
        <v>14</v>
      </c>
    </row>
    <row r="158" spans="2:9">
      <c r="C158" s="1" t="s">
        <v>259</v>
      </c>
      <c r="D158" t="s">
        <v>265</v>
      </c>
      <c r="E158" t="str">
        <f>D140</f>
        <v>Yes</v>
      </c>
      <c r="G158" t="s">
        <v>266</v>
      </c>
      <c r="H158" t="s">
        <v>15</v>
      </c>
      <c r="I158" t="s">
        <v>16</v>
      </c>
    </row>
    <row r="159" spans="2:9">
      <c r="B159" t="s">
        <v>261</v>
      </c>
      <c r="C159" s="1" t="s">
        <v>262</v>
      </c>
      <c r="D159" s="22">
        <f>'(Revised) Tool 03'!G3</f>
        <v>73.333333333333329</v>
      </c>
      <c r="E159" t="str">
        <f>D140</f>
        <v>Yes</v>
      </c>
      <c r="G159" t="s">
        <v>266</v>
      </c>
      <c r="H159" t="s">
        <v>242</v>
      </c>
      <c r="I159" t="s">
        <v>16</v>
      </c>
    </row>
    <row r="160" spans="2:9" ht="29.45" thickBot="1">
      <c r="B160" t="s">
        <v>240</v>
      </c>
      <c r="C160" s="1" t="s">
        <v>263</v>
      </c>
      <c r="D160" s="22">
        <f>D159</f>
        <v>73.333333333333329</v>
      </c>
      <c r="E160" t="str">
        <f>IF(D152="Yes","Yes","NA")</f>
        <v>NA</v>
      </c>
      <c r="G160" t="s">
        <v>266</v>
      </c>
      <c r="H160" t="s">
        <v>199</v>
      </c>
      <c r="I160" t="s">
        <v>16</v>
      </c>
    </row>
    <row r="161" spans="2:9" s="27" customFormat="1" ht="15.6" thickTop="1" thickBot="1">
      <c r="B161" s="27" t="s">
        <v>267</v>
      </c>
      <c r="C161" s="28" t="s">
        <v>268</v>
      </c>
      <c r="D161" s="84">
        <f>D153+SUM(D156,D160)</f>
        <v>150.56720666666666</v>
      </c>
      <c r="G161" s="27" t="s">
        <v>269</v>
      </c>
      <c r="H161" s="27" t="s">
        <v>199</v>
      </c>
      <c r="I161" s="27" t="s">
        <v>16</v>
      </c>
    </row>
    <row r="162" spans="2:9" s="13" customFormat="1" ht="15" thickTop="1">
      <c r="C162" s="12" t="s">
        <v>270</v>
      </c>
      <c r="E162" s="13" t="str">
        <f>IF(D141="Yes","Yes","NA")</f>
        <v>NA</v>
      </c>
    </row>
    <row r="163" spans="2:9" s="25" customFormat="1">
      <c r="B163" s="25" t="s">
        <v>11</v>
      </c>
      <c r="C163" s="26" t="s">
        <v>271</v>
      </c>
      <c r="D163" s="25" t="s">
        <v>16</v>
      </c>
      <c r="E163" s="25" t="str">
        <f>IF(D141="Yes","Yes","NA")</f>
        <v>NA</v>
      </c>
      <c r="H163" s="25" t="s">
        <v>28</v>
      </c>
      <c r="I163" s="25" t="s">
        <v>16</v>
      </c>
    </row>
    <row r="164" spans="2:9" s="25" customFormat="1" ht="115.15">
      <c r="B164" s="25" t="s">
        <v>11</v>
      </c>
      <c r="C164" s="26" t="s">
        <v>272</v>
      </c>
      <c r="D164" s="25" t="s">
        <v>273</v>
      </c>
      <c r="E164" s="25" t="str">
        <f>IF(D141="Yes","Yes","NA")</f>
        <v>NA</v>
      </c>
      <c r="F164" s="26" t="str">
        <f>'Help Text Notes'!A28</f>
        <v>Help Text: Option A: using the higher of the two quantities below: (i) The monitored quantity of refrigerant used for top-up to compensate for the leaked quantity during the year y; or (ii)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 
Option B: use a default value of 35 per cent of the initial refrigerant charge, i.e. Qref,PJ,y = 0.35 x Qref,PJ,start.</v>
      </c>
      <c r="H164" s="25" t="s">
        <v>28</v>
      </c>
      <c r="I164" s="25" t="s">
        <v>16</v>
      </c>
    </row>
    <row r="165" spans="2:9" ht="28.9">
      <c r="B165" t="s">
        <v>11</v>
      </c>
      <c r="C165" s="1" t="s">
        <v>274</v>
      </c>
      <c r="D165">
        <v>0.33</v>
      </c>
      <c r="E165" t="str">
        <f>IF(D164="Option A","Yes","NA")</f>
        <v>NA</v>
      </c>
      <c r="H165" t="s">
        <v>90</v>
      </c>
      <c r="I165" t="s">
        <v>16</v>
      </c>
    </row>
    <row r="166" spans="2:9">
      <c r="B166" t="s">
        <v>11</v>
      </c>
      <c r="C166" s="1" t="s">
        <v>275</v>
      </c>
      <c r="D166">
        <v>0.3</v>
      </c>
      <c r="E166" t="str">
        <f>IF(D164="Option A","Yes","NA")</f>
        <v>NA</v>
      </c>
      <c r="F166" t="str">
        <f>'Help Text Notes'!A29</f>
        <v>Help Text: The typical refrigerant leakage rate for the type of cooling equipment as determined from the emission factors (expressed in terms percentage of the initial charge/year) provided in the IPCC 2006 Guidelines, Chapter 7, Table 7.9 “Estimates for charge, lifetime and emissions factors for refrigeration and air conditioning systems”.</v>
      </c>
      <c r="H166" t="s">
        <v>90</v>
      </c>
      <c r="I166" t="s">
        <v>16</v>
      </c>
    </row>
    <row r="167" spans="2:9">
      <c r="B167" t="s">
        <v>276</v>
      </c>
      <c r="C167" s="1" t="s">
        <v>277</v>
      </c>
      <c r="D167">
        <v>1.2</v>
      </c>
      <c r="E167" t="str">
        <f>IF(D163="Yes","Yes","NA")</f>
        <v>NA</v>
      </c>
      <c r="H167" t="s">
        <v>90</v>
      </c>
      <c r="I167" t="s">
        <v>16</v>
      </c>
    </row>
    <row r="168" spans="2:9">
      <c r="B168" t="s">
        <v>278</v>
      </c>
      <c r="C168" s="1" t="s">
        <v>279</v>
      </c>
      <c r="D168" s="22">
        <f>IF(D164="Option A",MAX(D165:D166),IF(D164="Option B",D167*0.35))</f>
        <v>0.42</v>
      </c>
      <c r="E168" t="str">
        <f>IF(D141="Yes","Yes","NA")</f>
        <v>NA</v>
      </c>
      <c r="H168" t="s">
        <v>199</v>
      </c>
      <c r="I168" t="s">
        <v>16</v>
      </c>
    </row>
    <row r="169" spans="2:9" ht="28.9">
      <c r="B169" t="s">
        <v>280</v>
      </c>
      <c r="C169" s="1" t="s">
        <v>281</v>
      </c>
      <c r="D169">
        <v>1300</v>
      </c>
      <c r="E169" t="str">
        <f>IF(D141="Yes","Yes","NA")</f>
        <v>NA</v>
      </c>
      <c r="H169" t="s">
        <v>90</v>
      </c>
      <c r="I169" t="s">
        <v>16</v>
      </c>
    </row>
    <row r="170" spans="2:9" ht="28.9">
      <c r="B170" t="s">
        <v>282</v>
      </c>
      <c r="C170" s="1" t="s">
        <v>283</v>
      </c>
      <c r="D170" s="22">
        <f>(D167)*D169</f>
        <v>1560</v>
      </c>
      <c r="E170" t="str">
        <f>IF(D163="Yes","Yes","NA")</f>
        <v>NA</v>
      </c>
      <c r="H170" t="s">
        <v>199</v>
      </c>
      <c r="I170" t="s">
        <v>16</v>
      </c>
    </row>
    <row r="171" spans="2:9">
      <c r="B171" t="s">
        <v>284</v>
      </c>
      <c r="C171" s="1" t="s">
        <v>285</v>
      </c>
      <c r="D171" s="22">
        <f>IF(D163="No",(D168)*D169,D170)</f>
        <v>546</v>
      </c>
      <c r="E171" t="str">
        <f>IF(D141="Yes","Yes","NA")</f>
        <v>NA</v>
      </c>
      <c r="H171" t="s">
        <v>199</v>
      </c>
      <c r="I171" t="s">
        <v>16</v>
      </c>
    </row>
    <row r="172" spans="2:9" s="86" customFormat="1">
      <c r="C172" s="12" t="s">
        <v>286</v>
      </c>
      <c r="E172" s="86" t="str">
        <f>IF(D45="Yes","Yes","NA")</f>
        <v>Yes</v>
      </c>
    </row>
    <row r="173" spans="2:9">
      <c r="B173" t="s">
        <v>287</v>
      </c>
      <c r="C173" s="1" t="s">
        <v>288</v>
      </c>
      <c r="D173" s="22">
        <f>SUM('Tool 16.1'!C71,'Tool 16.1'!C73,'Tool 16.1'!C74,'Tool 16.1'!C91,'Tool 16.1'!C107)</f>
        <v>973.03598636682386</v>
      </c>
      <c r="E173" t="str">
        <f>IF(D141="Yes","Yes","NA")</f>
        <v>NA</v>
      </c>
      <c r="H173" t="s">
        <v>242</v>
      </c>
      <c r="I173" t="s">
        <v>16</v>
      </c>
    </row>
    <row r="174" spans="2:9" s="10" customFormat="1" ht="18">
      <c r="C174" s="9" t="s">
        <v>289</v>
      </c>
      <c r="E174" s="10" t="s">
        <v>14</v>
      </c>
    </row>
    <row r="175" spans="2:9" s="25" customFormat="1" ht="28.9">
      <c r="B175" s="25" t="s">
        <v>11</v>
      </c>
      <c r="C175" s="26" t="s">
        <v>290</v>
      </c>
      <c r="D175" s="25" t="s">
        <v>16</v>
      </c>
      <c r="E175" s="25" t="s">
        <v>14</v>
      </c>
      <c r="H175" s="25" t="s">
        <v>28</v>
      </c>
      <c r="I175" s="25" t="s">
        <v>16</v>
      </c>
    </row>
    <row r="176" spans="2:9" s="25" customFormat="1" ht="28.9">
      <c r="B176" s="25" t="s">
        <v>11</v>
      </c>
      <c r="C176" s="26" t="s">
        <v>291</v>
      </c>
      <c r="D176" s="25" t="s">
        <v>16</v>
      </c>
      <c r="E176" s="25" t="s">
        <v>14</v>
      </c>
      <c r="F176" s="25" t="str">
        <f>'Help Text Notes'!A30</f>
        <v>Help Text: The global warming potentials used to calculate the carbon dioxide equivalence of anthropogenic emissions by sources of greenhouse gases not listed in annex A of the Kyoto Protocol, shall be those accepted by the Intergovernmental Panel on Climate Change in its third assessment report.</v>
      </c>
      <c r="H176" s="25" t="s">
        <v>28</v>
      </c>
      <c r="I176" s="25" t="s">
        <v>16</v>
      </c>
    </row>
    <row r="177" spans="1:9" ht="28.9">
      <c r="B177" t="s">
        <v>11</v>
      </c>
      <c r="C177" s="1" t="s">
        <v>292</v>
      </c>
      <c r="D177">
        <v>254</v>
      </c>
      <c r="E177" t="str">
        <f>IF(D175="Yes","Yes","NA")</f>
        <v>NA</v>
      </c>
      <c r="H177" t="s">
        <v>90</v>
      </c>
      <c r="I177" t="s">
        <v>16</v>
      </c>
    </row>
    <row r="178" spans="1:9">
      <c r="B178" t="s">
        <v>11</v>
      </c>
      <c r="C178" s="1" t="s">
        <v>293</v>
      </c>
      <c r="D178">
        <v>97.7</v>
      </c>
      <c r="E178" t="str">
        <f>IF(D176="Yes","Yes","NA")</f>
        <v>NA</v>
      </c>
      <c r="H178" t="s">
        <v>90</v>
      </c>
      <c r="I178" t="s">
        <v>16</v>
      </c>
    </row>
    <row r="179" spans="1:9">
      <c r="B179" t="s">
        <v>294</v>
      </c>
      <c r="C179" s="1" t="s">
        <v>295</v>
      </c>
      <c r="D179" s="22">
        <f>SUM('Tool 16.1'!C111,'Tool 16.1'!C116,'Tool 16.1'!C119,'Tool 16.1'!C136)</f>
        <v>833.7056759824784</v>
      </c>
      <c r="E179" t="str">
        <f>IF(D45="Yes","Yes","NA")</f>
        <v>Yes</v>
      </c>
      <c r="H179" t="s">
        <v>242</v>
      </c>
      <c r="I179" t="s">
        <v>16</v>
      </c>
    </row>
    <row r="180" spans="1:9" ht="28.9">
      <c r="B180" t="s">
        <v>11</v>
      </c>
      <c r="C180" s="1" t="s">
        <v>296</v>
      </c>
      <c r="E180" t="str">
        <f>IF(AND('Tool 16.1'!C27="Omitted",'Tool 22'!B10="Included"),"Yes","NA")</f>
        <v>NA</v>
      </c>
      <c r="H180" t="s">
        <v>15</v>
      </c>
      <c r="I180" t="s">
        <v>16</v>
      </c>
    </row>
    <row r="181" spans="1:9" ht="28.9">
      <c r="B181" t="s">
        <v>11</v>
      </c>
      <c r="C181" s="1" t="s">
        <v>297</v>
      </c>
      <c r="E181" t="str">
        <f>IF(AND('Tool 16.1'!C30="Omitted",'Tool 22'!B23="To be estimated and deducted"),"Yes","NA")</f>
        <v>NA</v>
      </c>
      <c r="H181" t="s">
        <v>15</v>
      </c>
      <c r="I181" t="s">
        <v>16</v>
      </c>
    </row>
    <row r="182" spans="1:9" ht="28.9">
      <c r="B182" t="s">
        <v>11</v>
      </c>
      <c r="C182" s="1" t="s">
        <v>298</v>
      </c>
      <c r="E182" t="str">
        <f>IF('Tool 16.1'!C32="Omitted","Yes","NA")</f>
        <v>Yes</v>
      </c>
      <c r="H182" t="s">
        <v>15</v>
      </c>
      <c r="I182" t="s">
        <v>16</v>
      </c>
    </row>
    <row r="183" spans="1:9" ht="28.9">
      <c r="B183" t="s">
        <v>11</v>
      </c>
      <c r="C183" s="1" t="s">
        <v>299</v>
      </c>
      <c r="E183" t="str">
        <f>IF('Tool 16.1'!C33="Omitted","Yes","NA")</f>
        <v>Yes</v>
      </c>
      <c r="H183" t="s">
        <v>15</v>
      </c>
      <c r="I183" t="s">
        <v>16</v>
      </c>
    </row>
    <row r="184" spans="1:9" s="10" customFormat="1" ht="18">
      <c r="C184" s="9" t="s">
        <v>300</v>
      </c>
      <c r="E184" s="10" t="s">
        <v>14</v>
      </c>
    </row>
    <row r="185" spans="1:9" ht="15">
      <c r="A185" s="166" t="s">
        <v>301</v>
      </c>
      <c r="B185" t="s">
        <v>182</v>
      </c>
      <c r="C185" s="1" t="s">
        <v>302</v>
      </c>
      <c r="D185" s="22">
        <f>D68+D72+D77+D83+D88+D109+D127+D135</f>
        <v>6520.8931352941181</v>
      </c>
      <c r="E185" t="s">
        <v>14</v>
      </c>
      <c r="H185" t="s">
        <v>199</v>
      </c>
      <c r="I185" t="s">
        <v>16</v>
      </c>
    </row>
    <row r="186" spans="1:9" ht="15">
      <c r="A186" s="166" t="s">
        <v>303</v>
      </c>
      <c r="B186" t="s">
        <v>304</v>
      </c>
      <c r="C186" s="1" t="s">
        <v>305</v>
      </c>
      <c r="D186" s="22">
        <f>D143+D145+D161+D171+D173</f>
        <v>1743.6715263668239</v>
      </c>
      <c r="E186" t="s">
        <v>14</v>
      </c>
      <c r="H186" t="s">
        <v>199</v>
      </c>
      <c r="I186" t="s">
        <v>16</v>
      </c>
    </row>
    <row r="187" spans="1:9" ht="15">
      <c r="A187" s="166"/>
      <c r="B187" t="s">
        <v>306</v>
      </c>
      <c r="C187" s="1" t="s">
        <v>307</v>
      </c>
      <c r="D187" s="22">
        <f>D177+D178+D179</f>
        <v>1185.4056759824784</v>
      </c>
      <c r="E187" t="s">
        <v>14</v>
      </c>
      <c r="H187" t="s">
        <v>199</v>
      </c>
      <c r="I187" t="s">
        <v>16</v>
      </c>
    </row>
    <row r="188" spans="1:9" ht="15">
      <c r="A188" s="166" t="s">
        <v>308</v>
      </c>
      <c r="B188" t="s">
        <v>309</v>
      </c>
      <c r="C188" s="1" t="s">
        <v>307</v>
      </c>
      <c r="D188" s="22">
        <f>D185-D186-D187</f>
        <v>3591.8159329448158</v>
      </c>
      <c r="E188" t="s">
        <v>14</v>
      </c>
      <c r="H188" t="s">
        <v>199</v>
      </c>
      <c r="I188" t="s">
        <v>16</v>
      </c>
    </row>
  </sheetData>
  <mergeCells count="8">
    <mergeCell ref="B54:E54"/>
    <mergeCell ref="B55:E55"/>
    <mergeCell ref="B48:E48"/>
    <mergeCell ref="B49:E49"/>
    <mergeCell ref="B50:E50"/>
    <mergeCell ref="B51:E51"/>
    <mergeCell ref="B52:E52"/>
    <mergeCell ref="B53:E53"/>
  </mergeCells>
  <hyperlinks>
    <hyperlink ref="D17" r:id="rId1" xr:uid="{AEFCF581-E076-4DF7-8B21-063589F6622E}"/>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0203DCB5-3141-4896-A3A9-48D415E68763}">
          <x14:formula1>
            <xm:f>'AMS I.C. MF Dropdown Items'!$A$2:$A$4</xm:f>
          </x14:formula1>
          <xm:sqref>D29:D30 D175:D176 D57 D59:D63 D111:D114 D32:D35 D147:D148 D163 D37:D45 D140:D141</xm:sqref>
        </x14:dataValidation>
        <x14:dataValidation type="list" allowBlank="1" showInputMessage="1" showErrorMessage="1" xr:uid="{9E4280A1-E7F2-4AAB-A6A6-262F2A1AF825}">
          <x14:formula1>
            <xm:f>'AMS I.C. MF Dropdown Items'!$B$2:$B$5</xm:f>
          </x14:formula1>
          <xm:sqref>D31</xm:sqref>
        </x14:dataValidation>
        <x14:dataValidation type="list" allowBlank="1" showInputMessage="1" showErrorMessage="1" xr:uid="{540DFE45-19FF-41C6-B735-074D87B57DE1}">
          <x14:formula1>
            <xm:f>'AMS I.C. MF Dropdown Items'!$C$2:$C$11</xm:f>
          </x14:formula1>
          <xm:sqref>D58:D63 D111:D114 D33:D34 D147:D148 D163 D175:D176 D140:D141</xm:sqref>
        </x14:dataValidation>
        <x14:dataValidation type="list" allowBlank="1" showInputMessage="1" showErrorMessage="1" xr:uid="{65245CE2-7BCA-4FB7-A5F4-643FEA62E709}">
          <x14:formula1>
            <xm:f>'AMS I.C. MF Dropdown Items'!$D$2:$D$3</xm:f>
          </x14:formula1>
          <xm:sqref>D164</xm:sqref>
        </x14:dataValidation>
        <x14:dataValidation type="list" allowBlank="1" showInputMessage="1" showErrorMessage="1" xr:uid="{1B856ED6-07CD-422E-A487-8E646C470C06}">
          <x14:formula1>
            <xm:f>'AMS I.C. MF Dropdown Items'!$E$2:$E$4</xm:f>
          </x14:formula1>
          <xm:sqref>D7</xm:sqref>
        </x14:dataValidation>
        <x14:dataValidation type="list" allowBlank="1" showInputMessage="1" showErrorMessage="1" xr:uid="{5407C513-94D5-48CC-BB5A-1E1993BF29A1}">
          <x14:formula1>
            <xm:f>'IWA Properties'!$A$2:$A$277</xm:f>
          </x14:formula1>
          <xm:sqref>A3:A27 A185:A188</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D3B0A-94C6-49AE-8722-B902C9AA7C34}">
  <dimension ref="A1:H47"/>
  <sheetViews>
    <sheetView zoomScale="70" zoomScaleNormal="70" workbookViewId="0">
      <pane ySplit="1" topLeftCell="A20" activePane="bottomLeft" state="frozen"/>
      <selection pane="bottomLeft" activeCell="H29" sqref="H29"/>
      <selection activeCell="O15" sqref="O15"/>
    </sheetView>
  </sheetViews>
  <sheetFormatPr defaultRowHeight="14.4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29" t="s">
        <v>359</v>
      </c>
      <c r="B1" s="29" t="s">
        <v>9</v>
      </c>
      <c r="C1" s="30" t="s">
        <v>360</v>
      </c>
      <c r="D1" s="29" t="s">
        <v>7</v>
      </c>
      <c r="E1" s="29" t="s">
        <v>1</v>
      </c>
      <c r="F1" s="31" t="s">
        <v>361</v>
      </c>
      <c r="G1" s="31" t="s">
        <v>362</v>
      </c>
      <c r="H1" s="30" t="s">
        <v>363</v>
      </c>
    </row>
    <row r="2" spans="1:8" ht="30" customHeight="1">
      <c r="A2" s="177" t="s">
        <v>580</v>
      </c>
      <c r="B2" s="177"/>
      <c r="C2" s="177"/>
      <c r="D2" s="177"/>
      <c r="E2" s="177"/>
      <c r="F2" s="177"/>
      <c r="G2" s="177"/>
      <c r="H2" s="177"/>
    </row>
    <row r="3" spans="1:8" ht="33" customHeight="1">
      <c r="A3" s="179" t="s">
        <v>581</v>
      </c>
      <c r="B3" s="179"/>
      <c r="C3" s="179"/>
      <c r="D3" s="179"/>
      <c r="E3" s="179"/>
      <c r="F3" s="179"/>
      <c r="G3" s="179"/>
      <c r="H3" s="179"/>
    </row>
    <row r="4" spans="1:8" s="51" customFormat="1" ht="202.9">
      <c r="A4" s="55" t="s">
        <v>14</v>
      </c>
      <c r="B4" s="55"/>
      <c r="C4" s="55" t="s">
        <v>16</v>
      </c>
      <c r="D4" s="55" t="s">
        <v>428</v>
      </c>
      <c r="E4" s="55"/>
      <c r="F4" s="54" t="s">
        <v>582</v>
      </c>
      <c r="G4" s="54" t="s">
        <v>583</v>
      </c>
      <c r="H4" s="53" t="s">
        <v>584</v>
      </c>
    </row>
    <row r="5" spans="1:8" ht="30.75" customHeight="1">
      <c r="A5" s="180" t="s">
        <v>585</v>
      </c>
      <c r="B5" s="180"/>
      <c r="C5" s="180"/>
      <c r="D5" s="180"/>
      <c r="E5" s="180"/>
      <c r="F5" s="180"/>
      <c r="G5" s="180"/>
      <c r="H5" s="180"/>
    </row>
    <row r="6" spans="1:8" ht="27">
      <c r="A6" s="52" t="s">
        <v>16</v>
      </c>
      <c r="B6" s="52"/>
      <c r="C6" s="52" t="s">
        <v>16</v>
      </c>
      <c r="D6" s="52" t="s">
        <v>389</v>
      </c>
      <c r="E6" s="39" t="s">
        <v>586</v>
      </c>
      <c r="F6" s="5" t="s">
        <v>587</v>
      </c>
      <c r="G6" s="34">
        <f>SUM(G8*G7*(1+G9))</f>
        <v>0.73499999999999999</v>
      </c>
      <c r="H6" s="34"/>
    </row>
    <row r="7" spans="1:8" ht="27">
      <c r="A7" s="52" t="s">
        <v>16</v>
      </c>
      <c r="B7" s="52"/>
      <c r="C7" s="52" t="s">
        <v>16</v>
      </c>
      <c r="D7" s="52" t="s">
        <v>389</v>
      </c>
      <c r="E7" s="39" t="s">
        <v>588</v>
      </c>
      <c r="F7" s="5" t="s">
        <v>589</v>
      </c>
      <c r="G7" s="34">
        <f>G32</f>
        <v>0.25</v>
      </c>
      <c r="H7" s="5" t="s">
        <v>590</v>
      </c>
    </row>
    <row r="8" spans="1:8" ht="27">
      <c r="A8" s="51" t="s">
        <v>14</v>
      </c>
      <c r="B8" s="51"/>
      <c r="C8" s="51" t="s">
        <v>14</v>
      </c>
      <c r="D8" s="51" t="s">
        <v>90</v>
      </c>
      <c r="E8" s="40" t="s">
        <v>591</v>
      </c>
      <c r="F8" s="1" t="s">
        <v>592</v>
      </c>
      <c r="G8" s="41">
        <v>2.8</v>
      </c>
    </row>
    <row r="9" spans="1:8" ht="28.9">
      <c r="A9" s="51" t="s">
        <v>14</v>
      </c>
      <c r="B9" s="51"/>
      <c r="C9" s="51" t="s">
        <v>14</v>
      </c>
      <c r="D9" s="51" t="s">
        <v>90</v>
      </c>
      <c r="E9" s="40" t="s">
        <v>593</v>
      </c>
      <c r="F9" s="1" t="s">
        <v>594</v>
      </c>
      <c r="G9" s="41">
        <v>0.05</v>
      </c>
    </row>
    <row r="10" spans="1:8" ht="21" customHeight="1">
      <c r="A10" s="51" t="s">
        <v>14</v>
      </c>
      <c r="B10" s="51"/>
      <c r="C10" s="51" t="s">
        <v>14</v>
      </c>
      <c r="D10" s="51" t="s">
        <v>15</v>
      </c>
      <c r="E10" s="50" t="s">
        <v>541</v>
      </c>
      <c r="F10" t="s">
        <v>595</v>
      </c>
      <c r="G10" s="41"/>
    </row>
    <row r="11" spans="1:8" ht="27">
      <c r="A11" s="52" t="s">
        <v>16</v>
      </c>
      <c r="B11" s="52"/>
      <c r="C11" s="52" t="s">
        <v>16</v>
      </c>
      <c r="D11" s="52" t="s">
        <v>389</v>
      </c>
      <c r="E11" s="39" t="s">
        <v>596</v>
      </c>
      <c r="F11" s="5" t="s">
        <v>597</v>
      </c>
      <c r="G11" s="34">
        <f>SUM(G13*G12*(1+G14))</f>
        <v>1.1287499999999999</v>
      </c>
      <c r="H11" s="34"/>
    </row>
    <row r="12" spans="1:8" ht="27">
      <c r="A12" s="52" t="s">
        <v>16</v>
      </c>
      <c r="B12" s="52"/>
      <c r="C12" s="52" t="s">
        <v>16</v>
      </c>
      <c r="D12" s="52" t="s">
        <v>389</v>
      </c>
      <c r="E12" s="39" t="s">
        <v>598</v>
      </c>
      <c r="F12" s="5" t="s">
        <v>599</v>
      </c>
      <c r="G12" s="34">
        <f>G32</f>
        <v>0.25</v>
      </c>
      <c r="H12" s="5" t="s">
        <v>590</v>
      </c>
    </row>
    <row r="13" spans="1:8" ht="28.9">
      <c r="A13" s="51" t="s">
        <v>14</v>
      </c>
      <c r="B13" s="51"/>
      <c r="C13" s="51" t="s">
        <v>14</v>
      </c>
      <c r="D13" s="51" t="s">
        <v>90</v>
      </c>
      <c r="E13" s="40" t="s">
        <v>600</v>
      </c>
      <c r="F13" s="1" t="s">
        <v>601</v>
      </c>
      <c r="G13" s="41">
        <v>4.3</v>
      </c>
    </row>
    <row r="14" spans="1:8" ht="28.9">
      <c r="A14" s="51" t="s">
        <v>14</v>
      </c>
      <c r="B14" s="51"/>
      <c r="C14" s="51" t="s">
        <v>14</v>
      </c>
      <c r="D14" s="51" t="s">
        <v>90</v>
      </c>
      <c r="E14" s="40" t="s">
        <v>602</v>
      </c>
      <c r="F14" s="1" t="s">
        <v>603</v>
      </c>
      <c r="G14" s="41">
        <v>0.05</v>
      </c>
    </row>
    <row r="15" spans="1:8" ht="30" customHeight="1">
      <c r="A15" s="51" t="s">
        <v>14</v>
      </c>
      <c r="B15" s="51"/>
      <c r="C15" s="51" t="s">
        <v>14</v>
      </c>
      <c r="D15" s="51" t="s">
        <v>15</v>
      </c>
      <c r="E15" s="50" t="s">
        <v>538</v>
      </c>
      <c r="F15" t="s">
        <v>604</v>
      </c>
      <c r="G15" s="41"/>
    </row>
    <row r="16" spans="1:8" ht="27">
      <c r="A16" s="52" t="s">
        <v>16</v>
      </c>
      <c r="B16" s="52"/>
      <c r="C16" s="52" t="s">
        <v>16</v>
      </c>
      <c r="D16" s="52" t="s">
        <v>389</v>
      </c>
      <c r="E16" s="39" t="s">
        <v>605</v>
      </c>
      <c r="F16" s="5" t="s">
        <v>606</v>
      </c>
      <c r="G16" s="34">
        <f>SUM(G18*G17*(1+G19))</f>
        <v>0.39375000000000004</v>
      </c>
      <c r="H16" s="34"/>
    </row>
    <row r="17" spans="1:8" ht="27">
      <c r="A17" s="52" t="s">
        <v>16</v>
      </c>
      <c r="B17" s="52"/>
      <c r="C17" s="52" t="s">
        <v>16</v>
      </c>
      <c r="D17" s="52" t="s">
        <v>389</v>
      </c>
      <c r="E17" s="39" t="s">
        <v>607</v>
      </c>
      <c r="F17" s="5" t="s">
        <v>608</v>
      </c>
      <c r="G17" s="34">
        <f>G32</f>
        <v>0.25</v>
      </c>
      <c r="H17" s="5" t="s">
        <v>590</v>
      </c>
    </row>
    <row r="18" spans="1:8" ht="27">
      <c r="A18" s="51" t="s">
        <v>14</v>
      </c>
      <c r="B18" s="51"/>
      <c r="C18" s="51" t="s">
        <v>14</v>
      </c>
      <c r="D18" s="51" t="s">
        <v>90</v>
      </c>
      <c r="E18" s="40" t="s">
        <v>609</v>
      </c>
      <c r="F18" s="1" t="s">
        <v>610</v>
      </c>
      <c r="G18" s="41">
        <v>1.5</v>
      </c>
    </row>
    <row r="19" spans="1:8" ht="28.9">
      <c r="A19" s="51" t="s">
        <v>14</v>
      </c>
      <c r="B19" s="51"/>
      <c r="C19" s="51" t="s">
        <v>14</v>
      </c>
      <c r="D19" s="51" t="s">
        <v>90</v>
      </c>
      <c r="E19" s="40" t="s">
        <v>611</v>
      </c>
      <c r="F19" s="1" t="s">
        <v>612</v>
      </c>
      <c r="G19" s="41">
        <v>0.05</v>
      </c>
    </row>
    <row r="20" spans="1:8" ht="24" customHeight="1">
      <c r="A20" s="51" t="s">
        <v>14</v>
      </c>
      <c r="B20" s="51"/>
      <c r="C20" s="51" t="s">
        <v>14</v>
      </c>
      <c r="D20" s="51" t="s">
        <v>15</v>
      </c>
      <c r="E20" s="50" t="s">
        <v>613</v>
      </c>
      <c r="F20" t="s">
        <v>614</v>
      </c>
      <c r="G20" s="41"/>
    </row>
    <row r="21" spans="1:8" ht="36" customHeight="1">
      <c r="A21" s="181" t="s">
        <v>615</v>
      </c>
      <c r="B21" s="181"/>
      <c r="C21" s="181"/>
      <c r="D21" s="181"/>
      <c r="E21" s="181"/>
      <c r="F21" s="181"/>
      <c r="G21" s="181"/>
      <c r="H21" s="181"/>
    </row>
    <row r="22" spans="1:8" ht="28.5" customHeight="1">
      <c r="A22" s="22" t="s">
        <v>16</v>
      </c>
      <c r="B22" s="22"/>
      <c r="C22" s="22" t="s">
        <v>16</v>
      </c>
      <c r="D22" s="22" t="s">
        <v>389</v>
      </c>
      <c r="E22" s="39" t="s">
        <v>616</v>
      </c>
      <c r="F22" s="5" t="s">
        <v>617</v>
      </c>
      <c r="G22" s="34">
        <f>11400*1.3*G24</f>
        <v>0</v>
      </c>
      <c r="H22" s="34"/>
    </row>
    <row r="23" spans="1:8" ht="28.5" customHeight="1">
      <c r="A23" s="22" t="s">
        <v>16</v>
      </c>
      <c r="B23" s="22"/>
      <c r="C23" s="22" t="s">
        <v>16</v>
      </c>
      <c r="D23" s="22" t="s">
        <v>389</v>
      </c>
      <c r="E23" s="39" t="s">
        <v>618</v>
      </c>
      <c r="F23" s="5" t="s">
        <v>619</v>
      </c>
      <c r="G23" s="34">
        <f>11400*1.3*G26</f>
        <v>0</v>
      </c>
      <c r="H23" s="34"/>
    </row>
    <row r="24" spans="1:8" ht="28.9">
      <c r="A24" t="s">
        <v>16</v>
      </c>
      <c r="C24" t="s">
        <v>14</v>
      </c>
      <c r="D24" t="s">
        <v>90</v>
      </c>
      <c r="E24" s="40" t="s">
        <v>620</v>
      </c>
      <c r="F24" s="1" t="s">
        <v>621</v>
      </c>
    </row>
    <row r="25" spans="1:8" ht="28.9">
      <c r="A25" t="s">
        <v>14</v>
      </c>
      <c r="C25" t="s">
        <v>14</v>
      </c>
      <c r="D25" t="s">
        <v>15</v>
      </c>
      <c r="E25" s="40" t="s">
        <v>541</v>
      </c>
      <c r="F25" s="1" t="s">
        <v>622</v>
      </c>
    </row>
    <row r="26" spans="1:8" ht="28.9">
      <c r="A26" t="s">
        <v>16</v>
      </c>
      <c r="C26" t="s">
        <v>14</v>
      </c>
      <c r="D26" t="s">
        <v>90</v>
      </c>
      <c r="E26" s="40" t="s">
        <v>623</v>
      </c>
      <c r="F26" s="1" t="s">
        <v>624</v>
      </c>
    </row>
    <row r="27" spans="1:8" ht="28.9">
      <c r="A27" t="s">
        <v>14</v>
      </c>
      <c r="C27" t="s">
        <v>14</v>
      </c>
      <c r="D27" t="s">
        <v>15</v>
      </c>
      <c r="E27" s="40" t="s">
        <v>613</v>
      </c>
      <c r="F27" s="1" t="s">
        <v>625</v>
      </c>
    </row>
    <row r="28" spans="1:8" ht="21">
      <c r="A28" s="179" t="s">
        <v>626</v>
      </c>
      <c r="B28" s="179"/>
      <c r="C28" s="179"/>
      <c r="D28" s="179"/>
      <c r="E28" s="179"/>
      <c r="F28" s="179"/>
      <c r="G28" s="179"/>
      <c r="H28" s="179"/>
    </row>
    <row r="29" spans="1:8" ht="92.25" customHeight="1">
      <c r="A29" s="25" t="s">
        <v>14</v>
      </c>
      <c r="B29" s="25"/>
      <c r="C29" s="25" t="s">
        <v>16</v>
      </c>
      <c r="D29" s="25" t="s">
        <v>428</v>
      </c>
      <c r="E29" s="26" t="s">
        <v>627</v>
      </c>
      <c r="F29" s="47" t="s">
        <v>628</v>
      </c>
      <c r="G29" s="25" t="s">
        <v>629</v>
      </c>
      <c r="H29" s="26" t="s">
        <v>630</v>
      </c>
    </row>
    <row r="30" spans="1:8" ht="102" customHeight="1">
      <c r="A30" s="25" t="s">
        <v>14</v>
      </c>
      <c r="B30" s="25"/>
      <c r="C30" s="25" t="s">
        <v>16</v>
      </c>
      <c r="D30" s="25" t="s">
        <v>428</v>
      </c>
      <c r="E30" s="46" t="s">
        <v>631</v>
      </c>
      <c r="F30" s="47" t="s">
        <v>632</v>
      </c>
      <c r="G30" s="46" t="s">
        <v>633</v>
      </c>
      <c r="H30" s="37"/>
    </row>
    <row r="31" spans="1:8" ht="68.25" customHeight="1">
      <c r="A31" s="25" t="s">
        <v>14</v>
      </c>
      <c r="B31" s="25"/>
      <c r="C31" s="25" t="s">
        <v>16</v>
      </c>
      <c r="D31" s="25" t="s">
        <v>428</v>
      </c>
      <c r="E31" s="46" t="s">
        <v>634</v>
      </c>
      <c r="F31" s="47" t="s">
        <v>635</v>
      </c>
      <c r="G31" s="46" t="s">
        <v>16</v>
      </c>
      <c r="H31" s="37" t="s">
        <v>636</v>
      </c>
    </row>
    <row r="32" spans="1:8" ht="70.5" customHeight="1">
      <c r="A32" s="22" t="s">
        <v>16</v>
      </c>
      <c r="B32" s="22"/>
      <c r="C32" s="22" t="s">
        <v>16</v>
      </c>
      <c r="D32" s="22" t="s">
        <v>389</v>
      </c>
      <c r="E32" s="48" t="s">
        <v>637</v>
      </c>
      <c r="F32" s="5" t="s">
        <v>638</v>
      </c>
      <c r="G32" s="34">
        <v>0.25</v>
      </c>
      <c r="H32" s="33" t="s">
        <v>639</v>
      </c>
    </row>
    <row r="33" spans="1:8" ht="31.5" customHeight="1">
      <c r="A33" s="178" t="s">
        <v>640</v>
      </c>
      <c r="B33" s="178"/>
      <c r="C33" s="178"/>
      <c r="D33" s="178"/>
      <c r="E33" s="178"/>
      <c r="F33" s="178"/>
      <c r="G33" s="178"/>
      <c r="H33" s="178"/>
    </row>
    <row r="34" spans="1:8" ht="86.45">
      <c r="A34" s="25" t="s">
        <v>14</v>
      </c>
      <c r="B34" s="25"/>
      <c r="C34" s="25" t="s">
        <v>16</v>
      </c>
      <c r="D34" s="25" t="s">
        <v>428</v>
      </c>
      <c r="E34" s="47" t="s">
        <v>641</v>
      </c>
      <c r="F34" s="47" t="s">
        <v>642</v>
      </c>
      <c r="G34" s="47" t="s">
        <v>643</v>
      </c>
      <c r="H34" s="47" t="s">
        <v>644</v>
      </c>
    </row>
    <row r="35" spans="1:8" ht="43.15">
      <c r="A35" s="25" t="s">
        <v>14</v>
      </c>
      <c r="B35" s="25"/>
      <c r="C35" s="25" t="s">
        <v>16</v>
      </c>
      <c r="D35" s="25" t="s">
        <v>428</v>
      </c>
      <c r="E35" s="47" t="s">
        <v>645</v>
      </c>
      <c r="F35" s="47" t="s">
        <v>646</v>
      </c>
      <c r="G35" s="46" t="s">
        <v>647</v>
      </c>
      <c r="H35" s="47" t="s">
        <v>648</v>
      </c>
    </row>
    <row r="36" spans="1:8" ht="86.45">
      <c r="A36" s="25" t="s">
        <v>14</v>
      </c>
      <c r="B36" s="25"/>
      <c r="C36" s="25" t="s">
        <v>16</v>
      </c>
      <c r="D36" s="25" t="s">
        <v>428</v>
      </c>
      <c r="E36" s="47" t="s">
        <v>649</v>
      </c>
      <c r="F36" s="47" t="s">
        <v>650</v>
      </c>
      <c r="G36" s="47" t="s">
        <v>651</v>
      </c>
      <c r="H36" s="37" t="s">
        <v>652</v>
      </c>
    </row>
    <row r="37" spans="1:8" ht="63" customHeight="1">
      <c r="A37" s="22" t="s">
        <v>16</v>
      </c>
      <c r="B37" s="22"/>
      <c r="C37" s="22" t="s">
        <v>16</v>
      </c>
      <c r="D37" s="22" t="s">
        <v>389</v>
      </c>
      <c r="E37" s="48" t="s">
        <v>637</v>
      </c>
      <c r="F37" s="5" t="s">
        <v>653</v>
      </c>
      <c r="G37" s="34">
        <f>'Tool 05.2 Power Plants'!G3</f>
        <v>1.7670440000000003</v>
      </c>
      <c r="H37" s="34" t="s">
        <v>654</v>
      </c>
    </row>
    <row r="38" spans="1:8" ht="49.5" customHeight="1">
      <c r="A38" s="22" t="s">
        <v>16</v>
      </c>
      <c r="B38" s="22"/>
      <c r="C38" s="22" t="s">
        <v>16</v>
      </c>
      <c r="D38" s="22" t="s">
        <v>389</v>
      </c>
      <c r="E38" s="48" t="s">
        <v>637</v>
      </c>
      <c r="F38" s="5" t="s">
        <v>655</v>
      </c>
      <c r="G38" s="34">
        <f>'Tool 05.2 Power Plants'!G4</f>
        <v>1.7253240000000001</v>
      </c>
      <c r="H38" s="49" t="s">
        <v>656</v>
      </c>
    </row>
    <row r="39" spans="1:8" ht="21">
      <c r="A39" s="178" t="s">
        <v>657</v>
      </c>
      <c r="B39" s="178"/>
      <c r="C39" s="178"/>
      <c r="D39" s="178"/>
      <c r="E39" s="178"/>
      <c r="F39" s="178"/>
      <c r="G39" s="178"/>
      <c r="H39" s="178"/>
    </row>
    <row r="40" spans="1:8" ht="86.45">
      <c r="A40" s="25" t="s">
        <v>14</v>
      </c>
      <c r="B40" s="25"/>
      <c r="C40" s="25" t="s">
        <v>16</v>
      </c>
      <c r="D40" s="25" t="s">
        <v>428</v>
      </c>
      <c r="E40" s="47" t="s">
        <v>658</v>
      </c>
      <c r="F40" s="47" t="s">
        <v>659</v>
      </c>
      <c r="G40" s="46" t="s">
        <v>346</v>
      </c>
      <c r="H40" s="37" t="s">
        <v>660</v>
      </c>
    </row>
    <row r="41" spans="1:8" ht="45" customHeight="1">
      <c r="A41" s="22" t="s">
        <v>16</v>
      </c>
      <c r="B41" s="22"/>
      <c r="C41" s="22" t="s">
        <v>16</v>
      </c>
      <c r="D41" s="22" t="s">
        <v>389</v>
      </c>
      <c r="E41" s="48" t="s">
        <v>637</v>
      </c>
      <c r="F41" s="5" t="s">
        <v>638</v>
      </c>
      <c r="G41" s="34">
        <v>1.3</v>
      </c>
      <c r="H41" s="34" t="s">
        <v>661</v>
      </c>
    </row>
    <row r="42" spans="1:8" ht="34.5" customHeight="1">
      <c r="A42" s="22" t="s">
        <v>16</v>
      </c>
      <c r="B42" s="22"/>
      <c r="C42" s="22" t="s">
        <v>16</v>
      </c>
      <c r="D42" s="22" t="s">
        <v>389</v>
      </c>
      <c r="E42" s="48" t="s">
        <v>637</v>
      </c>
      <c r="F42" s="5" t="s">
        <v>662</v>
      </c>
      <c r="G42" s="34">
        <v>0.4</v>
      </c>
      <c r="H42" s="34" t="s">
        <v>663</v>
      </c>
    </row>
    <row r="43" spans="1:8" ht="21">
      <c r="A43" s="178" t="s">
        <v>664</v>
      </c>
      <c r="B43" s="178"/>
      <c r="C43" s="178"/>
      <c r="D43" s="178"/>
      <c r="E43" s="178"/>
      <c r="F43" s="178"/>
      <c r="G43" s="178"/>
      <c r="H43" s="178"/>
    </row>
    <row r="44" spans="1:8" ht="172.9">
      <c r="A44" s="25" t="s">
        <v>14</v>
      </c>
      <c r="B44" s="25"/>
      <c r="C44" s="25" t="s">
        <v>16</v>
      </c>
      <c r="D44" s="25" t="s">
        <v>428</v>
      </c>
      <c r="E44" s="25"/>
      <c r="F44" s="47" t="s">
        <v>665</v>
      </c>
      <c r="G44" s="46" t="s">
        <v>666</v>
      </c>
      <c r="H44" s="26"/>
    </row>
    <row r="45" spans="1:8">
      <c r="A45" s="25" t="s">
        <v>14</v>
      </c>
      <c r="B45" s="25"/>
      <c r="C45" s="25" t="s">
        <v>16</v>
      </c>
      <c r="D45" s="25" t="s">
        <v>667</v>
      </c>
      <c r="E45" s="25"/>
      <c r="F45" s="26" t="s">
        <v>668</v>
      </c>
      <c r="G45" s="26" t="s">
        <v>669</v>
      </c>
      <c r="H45" s="26"/>
    </row>
    <row r="46" spans="1:8" ht="36.75" customHeight="1">
      <c r="A46" s="25" t="s">
        <v>14</v>
      </c>
      <c r="B46" s="25"/>
      <c r="C46" s="25" t="s">
        <v>16</v>
      </c>
      <c r="D46" s="25" t="s">
        <v>667</v>
      </c>
      <c r="E46" s="25"/>
      <c r="F46" s="26" t="s">
        <v>670</v>
      </c>
      <c r="G46" s="26" t="s">
        <v>671</v>
      </c>
      <c r="H46" s="26"/>
    </row>
    <row r="47" spans="1:8" ht="57.6">
      <c r="A47" s="25" t="s">
        <v>14</v>
      </c>
      <c r="B47" s="25"/>
      <c r="C47" s="25" t="s">
        <v>16</v>
      </c>
      <c r="D47" s="25" t="s">
        <v>667</v>
      </c>
      <c r="E47" s="25"/>
      <c r="F47" s="26" t="s">
        <v>672</v>
      </c>
      <c r="G47" s="26" t="s">
        <v>673</v>
      </c>
      <c r="H47" s="26" t="s">
        <v>674</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22D83C57-196A-4C8D-B6FC-43917B772EEE}">
      <formula1>"Option A1,Option A2"</formula1>
    </dataValidation>
    <dataValidation type="list" allowBlank="1" showInputMessage="1" showErrorMessage="1" sqref="G30" xr:uid="{7937F4F8-7CC3-42C1-8FA5-BED63EA96082}">
      <formula1>"Option 2.1,Option 2.2"</formula1>
    </dataValidation>
    <dataValidation type="list" allowBlank="1" showInputMessage="1" showErrorMessage="1" sqref="G31" xr:uid="{C495FD4B-B18A-4A9D-B626-B37DBBB38DFF}">
      <formula1>"Yes,No"</formula1>
    </dataValidation>
    <dataValidation type="list" allowBlank="1" showInputMessage="1" showErrorMessage="1" sqref="G4" xr:uid="{8069D297-9D48-4CEF-BB32-3F042E71A804}">
      <formula1>"A: From the Grid,B: Off-Grid Captive Power Plants,C: From the Grid and Captive Power Plant"</formula1>
    </dataValidation>
    <dataValidation type="list" allowBlank="1" showInputMessage="1" showErrorMessage="1" sqref="G34" xr:uid="{24D18E7F-3612-44D8-85F0-EE58C4D5737E}">
      <formula1>"Yes: Alternative Approach, No: Generic Approach"</formula1>
    </dataValidation>
    <dataValidation type="list" allowBlank="1" showInputMessage="1" showErrorMessage="1" sqref="G35" xr:uid="{776DD144-D232-4206-B87C-94B243CDDBF6}">
      <formula1>"Monitored Data, Default Values"</formula1>
    </dataValidation>
    <dataValidation type="list" allowBlank="1" showInputMessage="1" showErrorMessage="1" sqref="G36" xr:uid="{CC4AE3E5-E388-4D49-878C-F7D1D112DBF8}">
      <formula1>"Heat Generation ignored,Fuel consumption between electricity and heat generation"</formula1>
    </dataValidation>
    <dataValidation type="list" allowBlank="1" showInputMessage="1" showErrorMessage="1" sqref="G40" xr:uid="{13AE50A2-A1B3-4988-8A33-C84018D2C166}">
      <formula1>"Option A,Option B"</formula1>
    </dataValidation>
    <dataValidation type="list" allowBlank="1" showInputMessage="1" showErrorMessage="1" sqref="G44" xr:uid="{AB20C069-0CAF-4E83-8F2F-5242EF47FBE8}">
      <formula1>"Case 1,Case 2, Case 3"</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6A34-E1CF-41DB-9F32-2E78937F259D}">
  <dimension ref="A1:H40"/>
  <sheetViews>
    <sheetView topLeftCell="B1" workbookViewId="0">
      <selection activeCell="F8" sqref="F8"/>
    </sheetView>
  </sheetViews>
  <sheetFormatPr defaultRowHeight="14.4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6">
      <c r="A1" s="29" t="s">
        <v>359</v>
      </c>
      <c r="B1" s="29" t="s">
        <v>9</v>
      </c>
      <c r="C1" s="30" t="s">
        <v>360</v>
      </c>
      <c r="D1" s="29" t="s">
        <v>7</v>
      </c>
      <c r="E1" s="29" t="s">
        <v>1</v>
      </c>
      <c r="F1" s="30" t="s">
        <v>361</v>
      </c>
      <c r="G1" s="29" t="s">
        <v>362</v>
      </c>
      <c r="H1" s="29" t="s">
        <v>363</v>
      </c>
    </row>
    <row r="2" spans="1:8" ht="18">
      <c r="A2" s="182" t="s">
        <v>675</v>
      </c>
      <c r="B2" s="182"/>
      <c r="C2" s="182"/>
      <c r="D2" s="182"/>
      <c r="E2" s="182"/>
      <c r="F2" s="182"/>
      <c r="G2" s="182"/>
      <c r="H2" s="182"/>
    </row>
    <row r="3" spans="1:8" ht="29.45">
      <c r="A3" s="22" t="s">
        <v>16</v>
      </c>
      <c r="B3" s="22"/>
      <c r="C3" s="22" t="s">
        <v>16</v>
      </c>
      <c r="D3" s="22" t="s">
        <v>199</v>
      </c>
      <c r="E3" s="48" t="s">
        <v>637</v>
      </c>
      <c r="F3" s="5" t="s">
        <v>676</v>
      </c>
      <c r="G3" s="34">
        <f>G7+G19+G31</f>
        <v>1.7670440000000003</v>
      </c>
      <c r="H3" s="61" t="s">
        <v>677</v>
      </c>
    </row>
    <row r="4" spans="1:8" ht="29.45">
      <c r="A4" s="22" t="s">
        <v>16</v>
      </c>
      <c r="B4" s="22"/>
      <c r="C4" s="22" t="s">
        <v>16</v>
      </c>
      <c r="D4" s="22" t="s">
        <v>199</v>
      </c>
      <c r="E4" s="48" t="s">
        <v>637</v>
      </c>
      <c r="F4" s="5" t="s">
        <v>655</v>
      </c>
      <c r="G4" s="34">
        <f>G8+G20+G32</f>
        <v>1.7253240000000001</v>
      </c>
      <c r="H4" s="43" t="s">
        <v>678</v>
      </c>
    </row>
    <row r="5" spans="1:8" ht="18">
      <c r="A5" s="182" t="s">
        <v>679</v>
      </c>
      <c r="B5" s="182"/>
      <c r="C5" s="182"/>
      <c r="D5" s="182"/>
      <c r="E5" s="182"/>
      <c r="F5" s="182"/>
      <c r="G5" s="182"/>
      <c r="H5" s="182"/>
    </row>
    <row r="6" spans="1:8">
      <c r="A6" s="59" t="s">
        <v>14</v>
      </c>
      <c r="B6" s="59"/>
      <c r="C6" s="59" t="s">
        <v>14</v>
      </c>
      <c r="D6" s="59" t="s">
        <v>15</v>
      </c>
      <c r="E6" s="60"/>
      <c r="F6" s="59" t="s">
        <v>680</v>
      </c>
      <c r="G6" s="59" t="s">
        <v>681</v>
      </c>
    </row>
    <row r="7" spans="1:8" ht="29.45">
      <c r="A7" s="22" t="s">
        <v>16</v>
      </c>
      <c r="B7" s="22"/>
      <c r="C7" s="22" t="s">
        <v>16</v>
      </c>
      <c r="D7" s="22" t="s">
        <v>199</v>
      </c>
      <c r="E7" s="48" t="s">
        <v>637</v>
      </c>
      <c r="F7" s="5" t="s">
        <v>676</v>
      </c>
      <c r="G7" s="34">
        <f>(G12*G10*G11)/G13</f>
        <v>0.60550999999999999</v>
      </c>
      <c r="H7" s="22"/>
    </row>
    <row r="8" spans="1:8" ht="29.45">
      <c r="A8" s="22" t="s">
        <v>16</v>
      </c>
      <c r="B8" s="22"/>
      <c r="C8" s="22" t="s">
        <v>16</v>
      </c>
      <c r="D8" s="22" t="s">
        <v>199</v>
      </c>
      <c r="E8" s="48" t="s">
        <v>637</v>
      </c>
      <c r="F8" s="5" t="s">
        <v>655</v>
      </c>
      <c r="G8" s="34">
        <f>ABS(((G12*G10)-(G14/G15))*G11)/G13</f>
        <v>0.59040999999999999</v>
      </c>
      <c r="H8" s="22"/>
    </row>
    <row r="9" spans="1:8">
      <c r="A9" s="25" t="s">
        <v>14</v>
      </c>
      <c r="B9" s="25"/>
      <c r="C9" s="25" t="s">
        <v>16</v>
      </c>
      <c r="D9" s="25" t="s">
        <v>434</v>
      </c>
      <c r="E9" s="25"/>
      <c r="F9" s="26" t="s">
        <v>682</v>
      </c>
      <c r="G9" s="58" t="s">
        <v>683</v>
      </c>
      <c r="H9" s="25"/>
    </row>
    <row r="10" spans="1:8" ht="28.9">
      <c r="A10" s="22" t="s">
        <v>16</v>
      </c>
      <c r="B10" s="22"/>
      <c r="C10" s="22" t="s">
        <v>16</v>
      </c>
      <c r="D10" s="22" t="s">
        <v>199</v>
      </c>
      <c r="E10" s="57" t="s">
        <v>684</v>
      </c>
      <c r="F10" s="5" t="s">
        <v>685</v>
      </c>
      <c r="G10" s="34">
        <f>IF(G9="","",VLOOKUP(G9,'Tool 05.3 Default Values'!B4:D56,2,FALSE))</f>
        <v>40.1</v>
      </c>
      <c r="H10" s="5" t="s">
        <v>686</v>
      </c>
    </row>
    <row r="11" spans="1:8" ht="28.9">
      <c r="A11" s="22" t="s">
        <v>16</v>
      </c>
      <c r="B11" s="22"/>
      <c r="C11" s="22" t="s">
        <v>16</v>
      </c>
      <c r="D11" s="22" t="s">
        <v>199</v>
      </c>
      <c r="E11" s="57" t="s">
        <v>687</v>
      </c>
      <c r="F11" s="5" t="s">
        <v>688</v>
      </c>
      <c r="G11" s="34">
        <f>IF(G9="","",VLOOKUP(G9,'Tool 05.3 Default Values'!B4:D56,3,FALSE))*0.001</f>
        <v>75.5</v>
      </c>
      <c r="H11" s="5" t="s">
        <v>689</v>
      </c>
    </row>
    <row r="12" spans="1:8" ht="28.9">
      <c r="A12" t="s">
        <v>14</v>
      </c>
      <c r="C12" t="s">
        <v>14</v>
      </c>
      <c r="D12" t="s">
        <v>90</v>
      </c>
      <c r="E12" s="56" t="s">
        <v>690</v>
      </c>
      <c r="F12" s="1" t="s">
        <v>691</v>
      </c>
      <c r="G12" s="41">
        <v>2</v>
      </c>
    </row>
    <row r="13" spans="1:8" ht="28.9">
      <c r="A13" t="s">
        <v>14</v>
      </c>
      <c r="C13" t="s">
        <v>14</v>
      </c>
      <c r="D13" t="s">
        <v>90</v>
      </c>
      <c r="E13" s="56" t="s">
        <v>692</v>
      </c>
      <c r="F13" s="1" t="s">
        <v>693</v>
      </c>
      <c r="G13" s="41">
        <v>10000</v>
      </c>
    </row>
    <row r="14" spans="1:8" ht="43.15">
      <c r="A14" t="s">
        <v>14</v>
      </c>
      <c r="C14" t="s">
        <v>14</v>
      </c>
      <c r="D14" t="s">
        <v>90</v>
      </c>
      <c r="E14" s="56" t="s">
        <v>694</v>
      </c>
      <c r="F14" s="1" t="s">
        <v>695</v>
      </c>
      <c r="G14" s="41">
        <v>2</v>
      </c>
    </row>
    <row r="15" spans="1:8" ht="32.450000000000003">
      <c r="A15" s="22" t="s">
        <v>16</v>
      </c>
      <c r="B15" s="22"/>
      <c r="C15" s="22" t="s">
        <v>16</v>
      </c>
      <c r="D15" s="22" t="s">
        <v>199</v>
      </c>
      <c r="E15" s="42" t="s">
        <v>696</v>
      </c>
      <c r="F15" s="5" t="s">
        <v>697</v>
      </c>
      <c r="G15" s="34">
        <v>1</v>
      </c>
      <c r="H15" s="22" t="s">
        <v>698</v>
      </c>
    </row>
    <row r="16" spans="1:8" ht="32.450000000000003">
      <c r="A16" s="22" t="s">
        <v>16</v>
      </c>
      <c r="B16" s="22"/>
      <c r="C16" s="22" t="s">
        <v>16</v>
      </c>
      <c r="D16" s="22" t="s">
        <v>199</v>
      </c>
      <c r="E16" s="42" t="s">
        <v>696</v>
      </c>
      <c r="F16" s="5" t="s">
        <v>699</v>
      </c>
      <c r="G16" s="34">
        <v>0.6</v>
      </c>
      <c r="H16" s="22" t="s">
        <v>698</v>
      </c>
    </row>
    <row r="17" spans="1:8" ht="18">
      <c r="A17" s="182" t="s">
        <v>679</v>
      </c>
      <c r="B17" s="182"/>
      <c r="C17" s="182"/>
      <c r="D17" s="182"/>
      <c r="E17" s="182"/>
      <c r="F17" s="182"/>
      <c r="G17" s="182"/>
      <c r="H17" s="182"/>
    </row>
    <row r="18" spans="1:8">
      <c r="A18" s="59" t="s">
        <v>14</v>
      </c>
      <c r="B18" s="59"/>
      <c r="C18" s="59" t="s">
        <v>14</v>
      </c>
      <c r="D18" s="59" t="s">
        <v>15</v>
      </c>
      <c r="E18" s="60"/>
      <c r="F18" s="59" t="s">
        <v>680</v>
      </c>
      <c r="G18" s="59" t="s">
        <v>700</v>
      </c>
    </row>
    <row r="19" spans="1:8" ht="29.45">
      <c r="A19" s="22" t="s">
        <v>16</v>
      </c>
      <c r="B19" s="22"/>
      <c r="C19" s="22" t="s">
        <v>16</v>
      </c>
      <c r="D19" s="22" t="s">
        <v>199</v>
      </c>
      <c r="E19" s="48" t="s">
        <v>637</v>
      </c>
      <c r="F19" s="5" t="s">
        <v>676</v>
      </c>
      <c r="G19" s="34">
        <f>(G24*G22*G23)/G25</f>
        <v>0.61934400000000001</v>
      </c>
      <c r="H19" s="22"/>
    </row>
    <row r="20" spans="1:8" ht="29.45">
      <c r="A20" s="22" t="s">
        <v>16</v>
      </c>
      <c r="B20" s="22"/>
      <c r="C20" s="22" t="s">
        <v>16</v>
      </c>
      <c r="D20" s="22" t="s">
        <v>199</v>
      </c>
      <c r="E20" s="48" t="s">
        <v>637</v>
      </c>
      <c r="F20" s="5" t="s">
        <v>655</v>
      </c>
      <c r="G20" s="34">
        <f>ABS(((G24*G22)-(G26/G27))*G23)/G25</f>
        <v>0.60438399999999992</v>
      </c>
      <c r="H20" s="22"/>
    </row>
    <row r="21" spans="1:8">
      <c r="A21" s="25" t="s">
        <v>14</v>
      </c>
      <c r="B21" s="25"/>
      <c r="C21" s="25" t="s">
        <v>16</v>
      </c>
      <c r="D21" s="25" t="s">
        <v>434</v>
      </c>
      <c r="E21" s="25"/>
      <c r="F21" s="26" t="s">
        <v>682</v>
      </c>
      <c r="G21" s="58" t="s">
        <v>701</v>
      </c>
      <c r="H21" s="25"/>
    </row>
    <row r="22" spans="1:8" ht="28.9">
      <c r="A22" s="22" t="s">
        <v>16</v>
      </c>
      <c r="B22" s="22"/>
      <c r="C22" s="22" t="s">
        <v>16</v>
      </c>
      <c r="D22" s="22" t="s">
        <v>199</v>
      </c>
      <c r="E22" s="57" t="s">
        <v>684</v>
      </c>
      <c r="F22" s="5" t="s">
        <v>685</v>
      </c>
      <c r="G22" s="34">
        <f>IF(G21="","",VLOOKUP(G21,'Tool 05.3 Default Values'!B4:D56,2,FALSE))</f>
        <v>41.4</v>
      </c>
      <c r="H22" s="5" t="s">
        <v>686</v>
      </c>
    </row>
    <row r="23" spans="1:8" ht="28.9">
      <c r="A23" s="22" t="s">
        <v>16</v>
      </c>
      <c r="B23" s="22"/>
      <c r="C23" s="22" t="s">
        <v>16</v>
      </c>
      <c r="D23" s="22" t="s">
        <v>199</v>
      </c>
      <c r="E23" s="57" t="s">
        <v>687</v>
      </c>
      <c r="F23" s="5" t="s">
        <v>688</v>
      </c>
      <c r="G23" s="34">
        <f>IF(G21="","",VLOOKUP(G21,'Tool 05.3 Default Values'!B4:D56,3,FALSE))*0.001</f>
        <v>74.8</v>
      </c>
      <c r="H23" s="5" t="s">
        <v>689</v>
      </c>
    </row>
    <row r="24" spans="1:8" ht="28.9">
      <c r="A24" t="s">
        <v>14</v>
      </c>
      <c r="C24" t="s">
        <v>14</v>
      </c>
      <c r="D24" t="s">
        <v>90</v>
      </c>
      <c r="E24" s="56" t="s">
        <v>690</v>
      </c>
      <c r="F24" s="1" t="s">
        <v>691</v>
      </c>
      <c r="G24" s="41">
        <v>2</v>
      </c>
    </row>
    <row r="25" spans="1:8" ht="28.9">
      <c r="A25" t="s">
        <v>14</v>
      </c>
      <c r="C25" t="s">
        <v>14</v>
      </c>
      <c r="D25" t="s">
        <v>90</v>
      </c>
      <c r="E25" s="56" t="s">
        <v>692</v>
      </c>
      <c r="F25" s="1" t="s">
        <v>693</v>
      </c>
      <c r="G25" s="41">
        <v>10000</v>
      </c>
    </row>
    <row r="26" spans="1:8" ht="43.15">
      <c r="A26" t="s">
        <v>14</v>
      </c>
      <c r="C26" t="s">
        <v>14</v>
      </c>
      <c r="D26" t="s">
        <v>90</v>
      </c>
      <c r="E26" s="56" t="s">
        <v>694</v>
      </c>
      <c r="F26" s="1" t="s">
        <v>695</v>
      </c>
      <c r="G26" s="41">
        <v>2</v>
      </c>
    </row>
    <row r="27" spans="1:8" ht="32.450000000000003">
      <c r="A27" s="22" t="s">
        <v>16</v>
      </c>
      <c r="B27" s="22"/>
      <c r="C27" s="22" t="s">
        <v>16</v>
      </c>
      <c r="D27" s="22" t="s">
        <v>199</v>
      </c>
      <c r="E27" s="42" t="s">
        <v>696</v>
      </c>
      <c r="F27" s="5" t="s">
        <v>697</v>
      </c>
      <c r="G27" s="34">
        <v>1</v>
      </c>
      <c r="H27" s="22" t="s">
        <v>698</v>
      </c>
    </row>
    <row r="28" spans="1:8" ht="32.450000000000003">
      <c r="A28" s="22" t="s">
        <v>16</v>
      </c>
      <c r="B28" s="22"/>
      <c r="C28" s="22" t="s">
        <v>16</v>
      </c>
      <c r="D28" s="22" t="s">
        <v>199</v>
      </c>
      <c r="E28" s="42" t="s">
        <v>696</v>
      </c>
      <c r="F28" s="5" t="s">
        <v>699</v>
      </c>
      <c r="G28" s="34">
        <v>0.6</v>
      </c>
      <c r="H28" s="22" t="s">
        <v>698</v>
      </c>
    </row>
    <row r="29" spans="1:8" ht="18">
      <c r="A29" s="182" t="s">
        <v>679</v>
      </c>
      <c r="B29" s="182"/>
      <c r="C29" s="182"/>
      <c r="D29" s="182"/>
      <c r="E29" s="182"/>
      <c r="F29" s="182"/>
      <c r="G29" s="182"/>
      <c r="H29" s="182"/>
    </row>
    <row r="30" spans="1:8">
      <c r="A30" s="59" t="s">
        <v>14</v>
      </c>
      <c r="B30" s="59"/>
      <c r="C30" s="59" t="s">
        <v>14</v>
      </c>
      <c r="D30" s="59" t="s">
        <v>15</v>
      </c>
      <c r="E30" s="60"/>
      <c r="F30" s="59" t="s">
        <v>680</v>
      </c>
      <c r="G30" s="59" t="s">
        <v>702</v>
      </c>
    </row>
    <row r="31" spans="1:8" ht="29.45">
      <c r="A31" s="22" t="s">
        <v>16</v>
      </c>
      <c r="B31" s="22"/>
      <c r="C31" s="22" t="s">
        <v>16</v>
      </c>
      <c r="D31" s="22" t="s">
        <v>199</v>
      </c>
      <c r="E31" s="48" t="s">
        <v>637</v>
      </c>
      <c r="F31" s="5" t="s">
        <v>676</v>
      </c>
      <c r="G31" s="34">
        <f>(G36*G34*G35)/G37</f>
        <v>0.54219000000000006</v>
      </c>
      <c r="H31" s="22"/>
    </row>
    <row r="32" spans="1:8" ht="29.45">
      <c r="A32" s="22" t="s">
        <v>16</v>
      </c>
      <c r="B32" s="22"/>
      <c r="C32" s="22" t="s">
        <v>16</v>
      </c>
      <c r="D32" s="22" t="s">
        <v>199</v>
      </c>
      <c r="E32" s="48" t="s">
        <v>637</v>
      </c>
      <c r="F32" s="5" t="s">
        <v>655</v>
      </c>
      <c r="G32" s="34">
        <f>ABS(((G36*G34)-(G38/G39))*G35)/G37</f>
        <v>0.53053000000000006</v>
      </c>
      <c r="H32" s="22"/>
    </row>
    <row r="33" spans="1:8">
      <c r="A33" s="25" t="s">
        <v>14</v>
      </c>
      <c r="B33" s="25"/>
      <c r="C33" s="25" t="s">
        <v>16</v>
      </c>
      <c r="D33" s="25" t="s">
        <v>434</v>
      </c>
      <c r="E33" s="25"/>
      <c r="F33" s="26" t="s">
        <v>682</v>
      </c>
      <c r="G33" s="58" t="s">
        <v>703</v>
      </c>
      <c r="H33" s="25"/>
    </row>
    <row r="34" spans="1:8" ht="28.9">
      <c r="A34" s="22" t="s">
        <v>16</v>
      </c>
      <c r="B34" s="22"/>
      <c r="C34" s="22" t="s">
        <v>16</v>
      </c>
      <c r="D34" s="22" t="s">
        <v>199</v>
      </c>
      <c r="E34" s="57" t="s">
        <v>684</v>
      </c>
      <c r="F34" s="5" t="s">
        <v>685</v>
      </c>
      <c r="G34" s="34">
        <f>IF(G33="","",VLOOKUP(G33,'Tool 05.3 Default Values'!B4:D56,2,FALSE))</f>
        <v>46.5</v>
      </c>
      <c r="H34" s="5" t="s">
        <v>686</v>
      </c>
    </row>
    <row r="35" spans="1:8" ht="28.9">
      <c r="A35" s="22" t="s">
        <v>16</v>
      </c>
      <c r="B35" s="22"/>
      <c r="C35" s="22" t="s">
        <v>16</v>
      </c>
      <c r="D35" s="22" t="s">
        <v>199</v>
      </c>
      <c r="E35" s="57" t="s">
        <v>687</v>
      </c>
      <c r="F35" s="5" t="s">
        <v>688</v>
      </c>
      <c r="G35" s="34">
        <f>IF(G33="","",VLOOKUP(G33,'Tool 05.3 Default Values'!B4:D56,3,FALSE))*0.001</f>
        <v>58.300000000000004</v>
      </c>
      <c r="H35" s="5" t="s">
        <v>689</v>
      </c>
    </row>
    <row r="36" spans="1:8" ht="28.9">
      <c r="A36" t="s">
        <v>14</v>
      </c>
      <c r="C36" t="s">
        <v>14</v>
      </c>
      <c r="D36" t="s">
        <v>90</v>
      </c>
      <c r="E36" s="56" t="s">
        <v>690</v>
      </c>
      <c r="F36" s="1" t="s">
        <v>691</v>
      </c>
      <c r="G36" s="41">
        <v>2</v>
      </c>
    </row>
    <row r="37" spans="1:8" ht="28.9">
      <c r="A37" t="s">
        <v>14</v>
      </c>
      <c r="C37" t="s">
        <v>14</v>
      </c>
      <c r="D37" t="s">
        <v>90</v>
      </c>
      <c r="E37" s="56" t="s">
        <v>692</v>
      </c>
      <c r="F37" s="1" t="s">
        <v>693</v>
      </c>
      <c r="G37" s="41">
        <v>10000</v>
      </c>
    </row>
    <row r="38" spans="1:8" ht="43.15">
      <c r="A38" t="s">
        <v>14</v>
      </c>
      <c r="C38" t="s">
        <v>14</v>
      </c>
      <c r="D38" t="s">
        <v>90</v>
      </c>
      <c r="E38" s="56" t="s">
        <v>694</v>
      </c>
      <c r="F38" s="1" t="s">
        <v>695</v>
      </c>
      <c r="G38" s="41">
        <v>2</v>
      </c>
    </row>
    <row r="39" spans="1:8" ht="32.450000000000003">
      <c r="A39" s="22" t="s">
        <v>16</v>
      </c>
      <c r="B39" s="22"/>
      <c r="C39" s="22" t="s">
        <v>16</v>
      </c>
      <c r="D39" s="22" t="s">
        <v>199</v>
      </c>
      <c r="E39" s="42" t="s">
        <v>696</v>
      </c>
      <c r="F39" s="5" t="s">
        <v>697</v>
      </c>
      <c r="G39" s="34">
        <v>1</v>
      </c>
      <c r="H39" s="22" t="s">
        <v>698</v>
      </c>
    </row>
    <row r="40" spans="1:8" ht="32.450000000000003">
      <c r="A40" s="22" t="s">
        <v>16</v>
      </c>
      <c r="B40" s="22"/>
      <c r="C40" s="22" t="s">
        <v>16</v>
      </c>
      <c r="D40" s="22" t="s">
        <v>199</v>
      </c>
      <c r="E40" s="42" t="s">
        <v>696</v>
      </c>
      <c r="F40" s="5" t="s">
        <v>699</v>
      </c>
      <c r="G40" s="34">
        <v>0.6</v>
      </c>
      <c r="H40" s="22" t="s">
        <v>698</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64C8ACC-5B5C-4766-951F-8568E51A8C6C}">
          <x14:formula1>
            <xm:f>'Tool 05.3 Default Values'!$B$4:$B$56</xm:f>
          </x14:formula1>
          <xm:sqref>G9 G21 G33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801DF-5430-4564-AA0D-EB2A45359D4E}">
  <dimension ref="B1:D56"/>
  <sheetViews>
    <sheetView workbookViewId="0">
      <selection activeCell="B4" sqref="B4"/>
    </sheetView>
  </sheetViews>
  <sheetFormatPr defaultRowHeight="14.45"/>
  <cols>
    <col min="2" max="2" width="33.85546875" bestFit="1" customWidth="1"/>
    <col min="3" max="3" width="20.7109375" customWidth="1"/>
    <col min="4" max="4" width="40.42578125" customWidth="1"/>
  </cols>
  <sheetData>
    <row r="1" spans="2:4" ht="15" thickBot="1"/>
    <row r="2" spans="2:4" ht="18.600000000000001" thickBot="1">
      <c r="B2" s="183" t="s">
        <v>704</v>
      </c>
      <c r="C2" s="184"/>
      <c r="D2" s="185"/>
    </row>
    <row r="3" spans="2:4" ht="31.9" thickBot="1">
      <c r="B3" s="73" t="s">
        <v>705</v>
      </c>
      <c r="C3" s="72" t="s">
        <v>706</v>
      </c>
      <c r="D3" s="72" t="s">
        <v>707</v>
      </c>
    </row>
    <row r="4" spans="2:4">
      <c r="B4" s="71" t="s">
        <v>683</v>
      </c>
      <c r="C4" s="70">
        <v>40.1</v>
      </c>
      <c r="D4" s="69">
        <v>75500</v>
      </c>
    </row>
    <row r="5" spans="2:4">
      <c r="B5" s="67" t="s">
        <v>708</v>
      </c>
      <c r="C5" s="66">
        <v>27.5</v>
      </c>
      <c r="D5" s="65">
        <v>85400</v>
      </c>
    </row>
    <row r="6" spans="2:4">
      <c r="B6" s="67" t="s">
        <v>709</v>
      </c>
      <c r="C6" s="66">
        <v>40.9</v>
      </c>
      <c r="D6" s="65">
        <v>70400</v>
      </c>
    </row>
    <row r="7" spans="2:4">
      <c r="B7" s="67" t="s">
        <v>710</v>
      </c>
      <c r="C7" s="66">
        <v>42.5</v>
      </c>
      <c r="D7" s="65">
        <v>73000</v>
      </c>
    </row>
    <row r="8" spans="2:4">
      <c r="B8" s="67" t="s">
        <v>711</v>
      </c>
      <c r="C8" s="66">
        <v>42.5</v>
      </c>
      <c r="D8" s="65">
        <v>73000</v>
      </c>
    </row>
    <row r="9" spans="2:4">
      <c r="B9" s="67" t="s">
        <v>712</v>
      </c>
      <c r="C9" s="66">
        <v>42.5</v>
      </c>
      <c r="D9" s="65">
        <v>73000</v>
      </c>
    </row>
    <row r="10" spans="2:4">
      <c r="B10" s="67" t="s">
        <v>713</v>
      </c>
      <c r="C10" s="66">
        <v>42</v>
      </c>
      <c r="D10" s="65">
        <v>74400</v>
      </c>
    </row>
    <row r="11" spans="2:4">
      <c r="B11" s="67" t="s">
        <v>714</v>
      </c>
      <c r="C11" s="66">
        <v>42.4</v>
      </c>
      <c r="D11" s="65">
        <v>73700</v>
      </c>
    </row>
    <row r="12" spans="2:4">
      <c r="B12" s="67" t="s">
        <v>715</v>
      </c>
      <c r="C12" s="66">
        <v>32.1</v>
      </c>
      <c r="D12" s="65">
        <v>79200</v>
      </c>
    </row>
    <row r="13" spans="2:4">
      <c r="B13" s="67" t="s">
        <v>701</v>
      </c>
      <c r="C13" s="66">
        <v>41.4</v>
      </c>
      <c r="D13" s="65">
        <v>74800</v>
      </c>
    </row>
    <row r="14" spans="2:4">
      <c r="B14" s="67" t="s">
        <v>716</v>
      </c>
      <c r="C14" s="66">
        <v>39.799999999999997</v>
      </c>
      <c r="D14" s="65">
        <v>78800</v>
      </c>
    </row>
    <row r="15" spans="2:4">
      <c r="B15" s="67" t="s">
        <v>717</v>
      </c>
      <c r="C15" s="66">
        <v>44.8</v>
      </c>
      <c r="D15" s="65">
        <v>65600</v>
      </c>
    </row>
    <row r="16" spans="2:4">
      <c r="B16" s="67" t="s">
        <v>718</v>
      </c>
      <c r="C16" s="66">
        <v>44.9</v>
      </c>
      <c r="D16" s="65">
        <v>68600</v>
      </c>
    </row>
    <row r="17" spans="2:4">
      <c r="B17" s="67" t="s">
        <v>719</v>
      </c>
      <c r="C17" s="66">
        <v>41.8</v>
      </c>
      <c r="D17" s="65">
        <v>76300</v>
      </c>
    </row>
    <row r="18" spans="2:4">
      <c r="B18" s="67" t="s">
        <v>720</v>
      </c>
      <c r="C18" s="66">
        <v>33.5</v>
      </c>
      <c r="D18" s="65">
        <v>89900</v>
      </c>
    </row>
    <row r="19" spans="2:4">
      <c r="B19" s="67" t="s">
        <v>721</v>
      </c>
      <c r="C19" s="66">
        <v>33.5</v>
      </c>
      <c r="D19" s="65">
        <v>75200</v>
      </c>
    </row>
    <row r="20" spans="2:4">
      <c r="B20" s="67" t="s">
        <v>722</v>
      </c>
      <c r="C20" s="66">
        <v>29.7</v>
      </c>
      <c r="D20" s="65">
        <v>115000</v>
      </c>
    </row>
    <row r="21" spans="2:4">
      <c r="B21" s="67" t="s">
        <v>723</v>
      </c>
      <c r="C21" s="66">
        <v>36.299999999999997</v>
      </c>
      <c r="D21" s="65">
        <v>76600</v>
      </c>
    </row>
    <row r="22" spans="2:4">
      <c r="B22" s="67" t="s">
        <v>724</v>
      </c>
      <c r="C22" s="66">
        <v>47.5</v>
      </c>
      <c r="D22" s="65">
        <v>69000</v>
      </c>
    </row>
    <row r="23" spans="2:4">
      <c r="B23" s="67" t="s">
        <v>725</v>
      </c>
      <c r="C23" s="66">
        <v>33.700000000000003</v>
      </c>
      <c r="D23" s="65">
        <v>74400</v>
      </c>
    </row>
    <row r="24" spans="2:4">
      <c r="B24" s="67" t="s">
        <v>726</v>
      </c>
      <c r="C24" s="66">
        <v>33.700000000000003</v>
      </c>
      <c r="D24" s="65">
        <v>74400</v>
      </c>
    </row>
    <row r="25" spans="2:4">
      <c r="B25" s="67" t="s">
        <v>727</v>
      </c>
      <c r="C25" s="66">
        <v>33.700000000000003</v>
      </c>
      <c r="D25" s="65">
        <v>74400</v>
      </c>
    </row>
    <row r="26" spans="2:4">
      <c r="B26" s="67" t="s">
        <v>728</v>
      </c>
      <c r="C26" s="66">
        <v>21.6</v>
      </c>
      <c r="D26" s="65">
        <v>101000</v>
      </c>
    </row>
    <row r="27" spans="2:4">
      <c r="B27" s="67" t="s">
        <v>729</v>
      </c>
      <c r="C27" s="66">
        <v>24</v>
      </c>
      <c r="D27" s="65">
        <v>101000</v>
      </c>
    </row>
    <row r="28" spans="2:4">
      <c r="B28" s="67" t="s">
        <v>730</v>
      </c>
      <c r="C28" s="66">
        <v>19.899999999999999</v>
      </c>
      <c r="D28" s="65">
        <v>99700</v>
      </c>
    </row>
    <row r="29" spans="2:4">
      <c r="B29" s="67" t="s">
        <v>731</v>
      </c>
      <c r="C29" s="66">
        <v>11.5</v>
      </c>
      <c r="D29" s="65">
        <v>100000</v>
      </c>
    </row>
    <row r="30" spans="2:4">
      <c r="B30" s="67" t="s">
        <v>732</v>
      </c>
      <c r="C30" s="66">
        <v>5.5</v>
      </c>
      <c r="D30" s="65">
        <v>115000</v>
      </c>
    </row>
    <row r="31" spans="2:4">
      <c r="B31" s="67" t="s">
        <v>733</v>
      </c>
      <c r="C31" s="66">
        <v>7.1</v>
      </c>
      <c r="D31" s="65">
        <v>125000</v>
      </c>
    </row>
    <row r="32" spans="2:4">
      <c r="B32" s="67" t="s">
        <v>734</v>
      </c>
      <c r="C32" s="66">
        <v>15.1</v>
      </c>
      <c r="D32" s="65">
        <v>109000</v>
      </c>
    </row>
    <row r="33" spans="2:4">
      <c r="B33" s="67" t="s">
        <v>735</v>
      </c>
      <c r="C33" s="66">
        <v>15.1</v>
      </c>
      <c r="D33" s="65">
        <v>109000</v>
      </c>
    </row>
    <row r="34" spans="2:4">
      <c r="B34" s="67" t="s">
        <v>736</v>
      </c>
      <c r="C34" s="66">
        <v>25.1</v>
      </c>
      <c r="D34" s="65">
        <v>119000</v>
      </c>
    </row>
    <row r="35" spans="2:4">
      <c r="B35" s="67" t="s">
        <v>737</v>
      </c>
      <c r="C35" s="66">
        <v>25.1</v>
      </c>
      <c r="D35" s="65">
        <v>119000</v>
      </c>
    </row>
    <row r="36" spans="2:4">
      <c r="B36" s="67" t="s">
        <v>738</v>
      </c>
      <c r="C36" s="66">
        <v>14.1</v>
      </c>
      <c r="D36" s="65">
        <v>95300</v>
      </c>
    </row>
    <row r="37" spans="2:4">
      <c r="B37" s="67" t="s">
        <v>739</v>
      </c>
      <c r="C37" s="66">
        <v>19.600000000000001</v>
      </c>
      <c r="D37" s="65">
        <v>54100</v>
      </c>
    </row>
    <row r="38" spans="2:4">
      <c r="B38" s="67" t="s">
        <v>740</v>
      </c>
      <c r="C38" s="66">
        <v>19.600000000000001</v>
      </c>
      <c r="D38" s="65">
        <v>54100</v>
      </c>
    </row>
    <row r="39" spans="2:4">
      <c r="B39" s="67" t="s">
        <v>741</v>
      </c>
      <c r="C39" s="66">
        <v>1.2</v>
      </c>
      <c r="D39" s="65">
        <v>308000</v>
      </c>
    </row>
    <row r="40" spans="2:4">
      <c r="B40" s="67" t="s">
        <v>742</v>
      </c>
      <c r="C40" s="66">
        <v>3.8</v>
      </c>
      <c r="D40" s="65">
        <v>202000</v>
      </c>
    </row>
    <row r="41" spans="2:4">
      <c r="B41" s="67" t="s">
        <v>703</v>
      </c>
      <c r="C41" s="66">
        <v>46.5</v>
      </c>
      <c r="D41" s="65">
        <v>58300</v>
      </c>
    </row>
    <row r="42" spans="2:4" ht="28.9">
      <c r="B42" s="68" t="s">
        <v>743</v>
      </c>
      <c r="C42" s="66">
        <v>7</v>
      </c>
      <c r="D42" s="65">
        <v>121000</v>
      </c>
    </row>
    <row r="43" spans="2:4">
      <c r="B43" s="67" t="s">
        <v>744</v>
      </c>
      <c r="C43" s="66">
        <v>20.3</v>
      </c>
      <c r="D43" s="65">
        <v>74400</v>
      </c>
    </row>
    <row r="44" spans="2:4">
      <c r="B44" s="67" t="s">
        <v>745</v>
      </c>
      <c r="C44" s="66">
        <v>7.8</v>
      </c>
      <c r="D44" s="65">
        <v>108000</v>
      </c>
    </row>
    <row r="45" spans="2:4">
      <c r="B45" s="67" t="s">
        <v>746</v>
      </c>
      <c r="C45" s="66">
        <v>7.9</v>
      </c>
      <c r="D45" s="65">
        <v>132000</v>
      </c>
    </row>
    <row r="46" spans="2:4">
      <c r="B46" s="67" t="s">
        <v>747</v>
      </c>
      <c r="C46" s="66">
        <v>5.9</v>
      </c>
      <c r="D46" s="65">
        <v>110000</v>
      </c>
    </row>
    <row r="47" spans="2:4">
      <c r="B47" s="67" t="s">
        <v>748</v>
      </c>
      <c r="C47" s="66">
        <v>5.9</v>
      </c>
      <c r="D47" s="65">
        <v>117000</v>
      </c>
    </row>
    <row r="48" spans="2:4">
      <c r="B48" s="67" t="s">
        <v>749</v>
      </c>
      <c r="C48" s="66">
        <v>14.9</v>
      </c>
      <c r="D48" s="65">
        <v>132000</v>
      </c>
    </row>
    <row r="49" spans="2:4">
      <c r="B49" s="67" t="s">
        <v>750</v>
      </c>
      <c r="C49" s="66">
        <v>13.6</v>
      </c>
      <c r="D49" s="65">
        <v>84300</v>
      </c>
    </row>
    <row r="50" spans="2:4">
      <c r="B50" s="67" t="s">
        <v>751</v>
      </c>
      <c r="C50" s="66">
        <v>13.6</v>
      </c>
      <c r="D50" s="65">
        <v>84300</v>
      </c>
    </row>
    <row r="51" spans="2:4">
      <c r="B51" s="67" t="s">
        <v>752</v>
      </c>
      <c r="C51" s="66">
        <v>13.8</v>
      </c>
      <c r="D51" s="65">
        <v>95300</v>
      </c>
    </row>
    <row r="52" spans="2:4">
      <c r="B52" s="67" t="s">
        <v>753</v>
      </c>
      <c r="C52" s="66">
        <v>25.4</v>
      </c>
      <c r="D52" s="65">
        <v>66000</v>
      </c>
    </row>
    <row r="53" spans="2:4">
      <c r="B53" s="67" t="s">
        <v>754</v>
      </c>
      <c r="C53" s="66">
        <v>25.4</v>
      </c>
      <c r="D53" s="65">
        <v>66000</v>
      </c>
    </row>
    <row r="54" spans="2:4">
      <c r="B54" s="67" t="s">
        <v>755</v>
      </c>
      <c r="C54" s="66">
        <v>25.4</v>
      </c>
      <c r="D54" s="65">
        <v>66000</v>
      </c>
    </row>
    <row r="55" spans="2:4">
      <c r="B55" s="67" t="s">
        <v>756</v>
      </c>
      <c r="C55" s="66">
        <v>6.8</v>
      </c>
      <c r="D55" s="65">
        <v>117000</v>
      </c>
    </row>
    <row r="56" spans="2:4" ht="15" thickBot="1">
      <c r="B56" s="64" t="s">
        <v>757</v>
      </c>
      <c r="C56" s="63" t="s">
        <v>758</v>
      </c>
      <c r="D56" s="62">
        <v>183000</v>
      </c>
    </row>
  </sheetData>
  <mergeCells count="1">
    <mergeCell ref="B2:D2"/>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DB30-44A8-4C0B-AEE1-B64BCDAEB71A}">
  <dimension ref="A1:F69"/>
  <sheetViews>
    <sheetView topLeftCell="A43" workbookViewId="0">
      <selection activeCell="E78" sqref="E78"/>
    </sheetView>
  </sheetViews>
  <sheetFormatPr defaultRowHeight="14.4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
      <c r="A1" s="134" t="s">
        <v>359</v>
      </c>
      <c r="B1" s="134" t="s">
        <v>7</v>
      </c>
      <c r="C1" s="134" t="s">
        <v>1</v>
      </c>
      <c r="D1" s="31" t="s">
        <v>361</v>
      </c>
      <c r="E1" s="31" t="s">
        <v>8</v>
      </c>
      <c r="F1" s="134" t="s">
        <v>362</v>
      </c>
    </row>
    <row r="2" spans="1:6" s="86" customFormat="1" ht="18">
      <c r="A2" s="135"/>
      <c r="B2" s="135"/>
      <c r="C2" s="136"/>
      <c r="D2" s="135" t="s">
        <v>100</v>
      </c>
      <c r="E2" s="136"/>
      <c r="F2" s="136"/>
    </row>
    <row r="3" spans="1:6" ht="113.25" customHeight="1">
      <c r="A3" t="s">
        <v>14</v>
      </c>
      <c r="B3" t="s">
        <v>428</v>
      </c>
      <c r="D3" s="1" t="s">
        <v>759</v>
      </c>
      <c r="E3" t="s">
        <v>16</v>
      </c>
      <c r="F3" s="1" t="s">
        <v>760</v>
      </c>
    </row>
    <row r="4" spans="1:6" s="86" customFormat="1" ht="18">
      <c r="A4" s="135"/>
      <c r="B4" s="135"/>
      <c r="C4" s="136"/>
      <c r="D4" s="135" t="s">
        <v>761</v>
      </c>
      <c r="E4" s="136"/>
      <c r="F4" s="136"/>
    </row>
    <row r="5" spans="1:6" s="22" customFormat="1">
      <c r="A5" s="22" t="s">
        <v>16</v>
      </c>
      <c r="B5" s="22" t="s">
        <v>389</v>
      </c>
      <c r="C5" s="154" t="s">
        <v>762</v>
      </c>
      <c r="D5" s="22" t="s">
        <v>763</v>
      </c>
      <c r="E5" s="34" t="s">
        <v>16</v>
      </c>
      <c r="F5" s="34">
        <v>16.04</v>
      </c>
    </row>
    <row r="6" spans="1:6" s="22" customFormat="1">
      <c r="A6" s="22" t="s">
        <v>16</v>
      </c>
      <c r="B6" s="22" t="s">
        <v>389</v>
      </c>
      <c r="C6" s="22" t="s">
        <v>764</v>
      </c>
      <c r="D6" s="22" t="s">
        <v>765</v>
      </c>
      <c r="E6" s="34" t="s">
        <v>16</v>
      </c>
      <c r="F6" s="34">
        <v>28.01</v>
      </c>
    </row>
    <row r="7" spans="1:6" s="22" customFormat="1">
      <c r="A7" s="22" t="s">
        <v>16</v>
      </c>
      <c r="B7" s="22" t="s">
        <v>389</v>
      </c>
      <c r="C7" s="22" t="s">
        <v>766</v>
      </c>
      <c r="D7" s="22" t="s">
        <v>767</v>
      </c>
      <c r="E7" s="34" t="s">
        <v>16</v>
      </c>
      <c r="F7" s="34">
        <v>44.01</v>
      </c>
    </row>
    <row r="8" spans="1:6" s="22" customFormat="1">
      <c r="A8" s="22" t="s">
        <v>16</v>
      </c>
      <c r="B8" s="22" t="s">
        <v>389</v>
      </c>
      <c r="C8" s="22" t="s">
        <v>768</v>
      </c>
      <c r="D8" s="22" t="s">
        <v>769</v>
      </c>
      <c r="E8" s="34" t="s">
        <v>16</v>
      </c>
      <c r="F8" s="34">
        <v>32</v>
      </c>
    </row>
    <row r="9" spans="1:6" s="22" customFormat="1">
      <c r="A9" s="22" t="s">
        <v>16</v>
      </c>
      <c r="B9" s="22" t="s">
        <v>389</v>
      </c>
      <c r="C9" s="22" t="s">
        <v>770</v>
      </c>
      <c r="D9" s="22" t="s">
        <v>771</v>
      </c>
      <c r="E9" s="34" t="s">
        <v>16</v>
      </c>
      <c r="F9" s="34">
        <v>2.02</v>
      </c>
    </row>
    <row r="10" spans="1:6" s="22" customFormat="1">
      <c r="A10" s="22" t="s">
        <v>16</v>
      </c>
      <c r="B10" s="22" t="s">
        <v>389</v>
      </c>
      <c r="C10" s="22" t="s">
        <v>772</v>
      </c>
      <c r="D10" s="22" t="s">
        <v>773</v>
      </c>
      <c r="E10" s="34" t="s">
        <v>16</v>
      </c>
      <c r="F10" s="34">
        <v>28.02</v>
      </c>
    </row>
    <row r="11" spans="1:6" s="22" customFormat="1">
      <c r="A11" s="22" t="s">
        <v>16</v>
      </c>
      <c r="B11" s="22" t="s">
        <v>389</v>
      </c>
      <c r="C11" s="22" t="s">
        <v>774</v>
      </c>
      <c r="D11" s="22" t="s">
        <v>775</v>
      </c>
      <c r="E11" s="34" t="s">
        <v>16</v>
      </c>
      <c r="F11" s="34">
        <v>12</v>
      </c>
    </row>
    <row r="12" spans="1:6" s="22" customFormat="1">
      <c r="A12" s="22" t="s">
        <v>16</v>
      </c>
      <c r="B12" s="22" t="s">
        <v>389</v>
      </c>
      <c r="C12" s="22" t="s">
        <v>776</v>
      </c>
      <c r="D12" s="22" t="s">
        <v>777</v>
      </c>
      <c r="E12" s="34" t="s">
        <v>16</v>
      </c>
      <c r="F12" s="34">
        <v>1.01</v>
      </c>
    </row>
    <row r="13" spans="1:6" s="22" customFormat="1">
      <c r="A13" s="22" t="s">
        <v>16</v>
      </c>
      <c r="B13" s="22" t="s">
        <v>389</v>
      </c>
      <c r="C13" s="22" t="s">
        <v>778</v>
      </c>
      <c r="D13" s="22" t="s">
        <v>779</v>
      </c>
      <c r="E13" s="34" t="s">
        <v>16</v>
      </c>
      <c r="F13" s="34">
        <v>16</v>
      </c>
    </row>
    <row r="14" spans="1:6" s="22" customFormat="1">
      <c r="A14" s="22" t="s">
        <v>16</v>
      </c>
      <c r="B14" s="22" t="s">
        <v>389</v>
      </c>
      <c r="C14" s="22" t="s">
        <v>780</v>
      </c>
      <c r="D14" s="22" t="s">
        <v>781</v>
      </c>
      <c r="E14" s="34" t="s">
        <v>16</v>
      </c>
      <c r="F14" s="34">
        <v>14.01</v>
      </c>
    </row>
    <row r="15" spans="1:6" s="22" customFormat="1">
      <c r="A15" s="22" t="s">
        <v>16</v>
      </c>
      <c r="B15" s="22" t="s">
        <v>389</v>
      </c>
      <c r="C15" s="22" t="s">
        <v>782</v>
      </c>
      <c r="D15" s="22" t="s">
        <v>783</v>
      </c>
      <c r="E15" s="34" t="s">
        <v>16</v>
      </c>
      <c r="F15" s="34">
        <v>101325</v>
      </c>
    </row>
    <row r="16" spans="1:6" s="22" customFormat="1">
      <c r="A16" s="22" t="s">
        <v>16</v>
      </c>
      <c r="B16" s="22" t="s">
        <v>389</v>
      </c>
      <c r="C16" s="22" t="s">
        <v>784</v>
      </c>
      <c r="D16" s="22" t="s">
        <v>785</v>
      </c>
      <c r="E16" s="34" t="s">
        <v>16</v>
      </c>
      <c r="F16" s="34">
        <v>8314.4719999999998</v>
      </c>
    </row>
    <row r="17" spans="1:6" s="22" customFormat="1">
      <c r="A17" s="22" t="s">
        <v>16</v>
      </c>
      <c r="B17" s="22" t="s">
        <v>389</v>
      </c>
      <c r="C17" s="22" t="s">
        <v>786</v>
      </c>
      <c r="D17" s="22" t="s">
        <v>787</v>
      </c>
      <c r="E17" s="34" t="s">
        <v>16</v>
      </c>
      <c r="F17" s="34">
        <v>273.14999999999998</v>
      </c>
    </row>
    <row r="18" spans="1:6" s="22" customFormat="1">
      <c r="A18" s="22" t="s">
        <v>16</v>
      </c>
      <c r="B18" s="22" t="s">
        <v>389</v>
      </c>
      <c r="C18" s="22" t="s">
        <v>788</v>
      </c>
      <c r="D18" s="22" t="s">
        <v>789</v>
      </c>
      <c r="E18" s="34" t="s">
        <v>16</v>
      </c>
      <c r="F18" s="34">
        <v>0.21</v>
      </c>
    </row>
    <row r="19" spans="1:6" s="22" customFormat="1">
      <c r="A19" s="22" t="s">
        <v>16</v>
      </c>
      <c r="B19" s="22" t="s">
        <v>389</v>
      </c>
      <c r="C19" s="22" t="s">
        <v>790</v>
      </c>
      <c r="D19" s="22" t="s">
        <v>791</v>
      </c>
      <c r="E19" s="34" t="s">
        <v>16</v>
      </c>
      <c r="F19" s="34">
        <v>25</v>
      </c>
    </row>
    <row r="20" spans="1:6" s="22" customFormat="1" ht="28.9">
      <c r="A20" s="22" t="s">
        <v>16</v>
      </c>
      <c r="B20" s="22" t="s">
        <v>389</v>
      </c>
      <c r="C20" s="22" t="s">
        <v>792</v>
      </c>
      <c r="D20" s="5" t="s">
        <v>793</v>
      </c>
      <c r="E20" s="34" t="s">
        <v>16</v>
      </c>
      <c r="F20" s="34">
        <v>22.414000000000001</v>
      </c>
    </row>
    <row r="21" spans="1:6" s="22" customFormat="1">
      <c r="A21" s="22" t="s">
        <v>16</v>
      </c>
      <c r="B21" s="22" t="s">
        <v>389</v>
      </c>
      <c r="C21" s="22" t="s">
        <v>794</v>
      </c>
      <c r="D21" s="22" t="s">
        <v>795</v>
      </c>
      <c r="E21" s="34" t="s">
        <v>16</v>
      </c>
      <c r="F21" s="34">
        <v>0.71599999999999997</v>
      </c>
    </row>
    <row r="22" spans="1:6" s="22" customFormat="1" ht="28.9">
      <c r="A22" s="22" t="s">
        <v>16</v>
      </c>
      <c r="B22" s="22" t="s">
        <v>389</v>
      </c>
      <c r="C22" s="22" t="s">
        <v>796</v>
      </c>
      <c r="D22" s="5" t="s">
        <v>797</v>
      </c>
      <c r="E22" s="34" t="s">
        <v>16</v>
      </c>
      <c r="F22" s="34" t="s">
        <v>798</v>
      </c>
    </row>
    <row r="23" spans="1:6" s="22" customFormat="1">
      <c r="A23" s="22" t="s">
        <v>16</v>
      </c>
      <c r="B23" s="22" t="s">
        <v>389</v>
      </c>
      <c r="C23" s="22" t="s">
        <v>799</v>
      </c>
      <c r="D23" s="5" t="s">
        <v>800</v>
      </c>
      <c r="E23" s="34" t="s">
        <v>16</v>
      </c>
      <c r="F23" s="34">
        <v>1</v>
      </c>
    </row>
    <row r="24" spans="1:6" s="22" customFormat="1">
      <c r="A24" s="22" t="s">
        <v>16</v>
      </c>
      <c r="B24" s="22" t="s">
        <v>389</v>
      </c>
      <c r="C24" s="22" t="s">
        <v>801</v>
      </c>
      <c r="D24" s="22" t="s">
        <v>802</v>
      </c>
      <c r="E24" s="34" t="s">
        <v>16</v>
      </c>
      <c r="F24" s="34">
        <v>1</v>
      </c>
    </row>
    <row r="25" spans="1:6" s="22" customFormat="1">
      <c r="A25" s="22" t="s">
        <v>16</v>
      </c>
      <c r="B25" s="22" t="s">
        <v>389</v>
      </c>
      <c r="C25" s="22" t="s">
        <v>803</v>
      </c>
      <c r="D25" s="5" t="s">
        <v>804</v>
      </c>
      <c r="E25" s="34" t="s">
        <v>16</v>
      </c>
      <c r="F25" s="34">
        <v>1</v>
      </c>
    </row>
    <row r="26" spans="1:6" s="22" customFormat="1">
      <c r="A26" s="22" t="s">
        <v>16</v>
      </c>
      <c r="B26" s="22" t="s">
        <v>389</v>
      </c>
      <c r="C26" s="22" t="s">
        <v>805</v>
      </c>
      <c r="D26" s="5" t="s">
        <v>806</v>
      </c>
      <c r="E26" s="34" t="s">
        <v>16</v>
      </c>
      <c r="F26" s="34">
        <v>4</v>
      </c>
    </row>
    <row r="27" spans="1:6" s="22" customFormat="1">
      <c r="A27" s="22" t="s">
        <v>16</v>
      </c>
      <c r="B27" s="22" t="s">
        <v>389</v>
      </c>
      <c r="C27" s="22" t="s">
        <v>807</v>
      </c>
      <c r="D27" s="22" t="s">
        <v>808</v>
      </c>
      <c r="E27" s="34" t="s">
        <v>16</v>
      </c>
      <c r="F27" s="34">
        <v>2</v>
      </c>
    </row>
    <row r="28" spans="1:6" s="22" customFormat="1">
      <c r="A28" s="22" t="s">
        <v>16</v>
      </c>
      <c r="B28" s="22" t="s">
        <v>389</v>
      </c>
      <c r="C28" s="22" t="s">
        <v>809</v>
      </c>
      <c r="D28" s="22" t="s">
        <v>810</v>
      </c>
      <c r="E28" s="34" t="s">
        <v>16</v>
      </c>
      <c r="F28" s="34">
        <v>1</v>
      </c>
    </row>
    <row r="29" spans="1:6" s="22" customFormat="1">
      <c r="A29" s="22" t="s">
        <v>16</v>
      </c>
      <c r="B29" s="22" t="s">
        <v>389</v>
      </c>
      <c r="C29" s="22" t="s">
        <v>811</v>
      </c>
      <c r="D29" s="5" t="s">
        <v>812</v>
      </c>
      <c r="E29" s="34" t="s">
        <v>16</v>
      </c>
      <c r="F29" s="34">
        <v>2</v>
      </c>
    </row>
    <row r="30" spans="1:6" s="22" customFormat="1">
      <c r="A30" s="22" t="s">
        <v>16</v>
      </c>
      <c r="B30" s="22" t="s">
        <v>389</v>
      </c>
      <c r="C30" s="22" t="s">
        <v>813</v>
      </c>
      <c r="D30" s="22" t="s">
        <v>814</v>
      </c>
      <c r="E30" s="34" t="s">
        <v>16</v>
      </c>
      <c r="F30" s="34">
        <v>2</v>
      </c>
    </row>
    <row r="31" spans="1:6" s="22" customFormat="1">
      <c r="A31" s="22" t="s">
        <v>16</v>
      </c>
      <c r="B31" s="22" t="s">
        <v>389</v>
      </c>
      <c r="C31" s="22" t="s">
        <v>815</v>
      </c>
      <c r="D31" s="22" t="s">
        <v>816</v>
      </c>
      <c r="E31" s="34" t="s">
        <v>16</v>
      </c>
      <c r="F31" s="34">
        <v>2</v>
      </c>
    </row>
    <row r="32" spans="1:6" s="86" customFormat="1" ht="18">
      <c r="A32" s="135"/>
      <c r="B32" s="135"/>
      <c r="C32" s="136"/>
      <c r="D32" s="135" t="s">
        <v>817</v>
      </c>
      <c r="E32" s="136"/>
      <c r="F32" s="136"/>
    </row>
    <row r="33" spans="1:6">
      <c r="A33" t="s">
        <v>14</v>
      </c>
      <c r="B33" t="s">
        <v>90</v>
      </c>
      <c r="C33" t="s">
        <v>818</v>
      </c>
      <c r="D33" t="s">
        <v>819</v>
      </c>
      <c r="E33" s="41" t="s">
        <v>14</v>
      </c>
      <c r="F33" s="155">
        <v>0.55000000000000004</v>
      </c>
    </row>
    <row r="34" spans="1:6">
      <c r="A34" t="s">
        <v>14</v>
      </c>
      <c r="B34" t="s">
        <v>90</v>
      </c>
      <c r="C34" t="s">
        <v>820</v>
      </c>
      <c r="D34" t="s">
        <v>821</v>
      </c>
      <c r="E34" s="41" t="s">
        <v>14</v>
      </c>
      <c r="F34" s="155">
        <v>0</v>
      </c>
    </row>
    <row r="35" spans="1:6">
      <c r="A35" t="s">
        <v>14</v>
      </c>
      <c r="B35" t="s">
        <v>90</v>
      </c>
      <c r="C35" t="s">
        <v>822</v>
      </c>
      <c r="D35" t="s">
        <v>823</v>
      </c>
      <c r="E35" s="41" t="s">
        <v>14</v>
      </c>
      <c r="F35" s="155">
        <v>0.35</v>
      </c>
    </row>
    <row r="36" spans="1:6">
      <c r="A36" t="s">
        <v>14</v>
      </c>
      <c r="B36" t="s">
        <v>90</v>
      </c>
      <c r="C36" t="s">
        <v>824</v>
      </c>
      <c r="D36" t="s">
        <v>825</v>
      </c>
      <c r="E36" s="41" t="s">
        <v>14</v>
      </c>
      <c r="F36" s="155">
        <v>0.05</v>
      </c>
    </row>
    <row r="37" spans="1:6">
      <c r="A37" t="s">
        <v>14</v>
      </c>
      <c r="B37" t="s">
        <v>90</v>
      </c>
      <c r="C37" t="s">
        <v>826</v>
      </c>
      <c r="D37" t="s">
        <v>827</v>
      </c>
      <c r="E37" s="41" t="s">
        <v>14</v>
      </c>
      <c r="F37" s="155">
        <v>0.01</v>
      </c>
    </row>
    <row r="38" spans="1:6">
      <c r="A38" t="s">
        <v>14</v>
      </c>
      <c r="B38" t="s">
        <v>90</v>
      </c>
      <c r="C38" t="s">
        <v>828</v>
      </c>
      <c r="D38" t="s">
        <v>829</v>
      </c>
      <c r="E38" s="41" t="s">
        <v>14</v>
      </c>
      <c r="F38" s="155">
        <v>0.04</v>
      </c>
    </row>
    <row r="39" spans="1:6">
      <c r="A39" t="s">
        <v>14</v>
      </c>
      <c r="B39" t="s">
        <v>90</v>
      </c>
      <c r="C39" t="s">
        <v>830</v>
      </c>
      <c r="D39" s="1" t="s">
        <v>831</v>
      </c>
      <c r="E39" s="41" t="s">
        <v>14</v>
      </c>
      <c r="F39" s="156">
        <v>1000</v>
      </c>
    </row>
    <row r="40" spans="1:6">
      <c r="A40" t="s">
        <v>14</v>
      </c>
      <c r="B40" t="s">
        <v>90</v>
      </c>
      <c r="C40" t="s">
        <v>832</v>
      </c>
      <c r="D40" t="s">
        <v>833</v>
      </c>
      <c r="E40" s="41" t="s">
        <v>14</v>
      </c>
      <c r="F40" s="155">
        <v>0.1</v>
      </c>
    </row>
    <row r="41" spans="1:6" ht="28.9">
      <c r="A41" t="s">
        <v>14</v>
      </c>
      <c r="B41" t="s">
        <v>90</v>
      </c>
      <c r="C41" t="s">
        <v>834</v>
      </c>
      <c r="D41" s="1" t="s">
        <v>835</v>
      </c>
      <c r="E41" s="41" t="s">
        <v>14</v>
      </c>
      <c r="F41" s="41">
        <v>1000</v>
      </c>
    </row>
    <row r="42" spans="1:6">
      <c r="A42" t="s">
        <v>14</v>
      </c>
      <c r="B42" t="s">
        <v>90</v>
      </c>
      <c r="C42" t="s">
        <v>836</v>
      </c>
      <c r="D42" t="s">
        <v>837</v>
      </c>
      <c r="E42" s="41" t="s">
        <v>14</v>
      </c>
      <c r="F42" s="107">
        <v>8760</v>
      </c>
    </row>
    <row r="43" spans="1:6" s="86" customFormat="1" ht="18">
      <c r="A43" s="135"/>
      <c r="B43" s="135"/>
      <c r="C43" s="136"/>
      <c r="D43" s="135" t="s">
        <v>838</v>
      </c>
      <c r="E43" s="136"/>
      <c r="F43" s="136"/>
    </row>
    <row r="44" spans="1:6" s="22" customFormat="1" ht="28.9">
      <c r="A44" s="22" t="s">
        <v>16</v>
      </c>
      <c r="B44" s="22" t="s">
        <v>389</v>
      </c>
      <c r="C44" s="22" t="s">
        <v>839</v>
      </c>
      <c r="D44" s="5" t="s">
        <v>840</v>
      </c>
      <c r="E44" s="22" t="s">
        <v>16</v>
      </c>
      <c r="F44" s="34">
        <f>F45*F46</f>
        <v>1203.109940767265</v>
      </c>
    </row>
    <row r="45" spans="1:6" s="22" customFormat="1" ht="28.9">
      <c r="A45" s="22" t="s">
        <v>16</v>
      </c>
      <c r="B45" s="22" t="s">
        <v>389</v>
      </c>
      <c r="C45" s="22" t="s">
        <v>841</v>
      </c>
      <c r="D45" s="5" t="s">
        <v>842</v>
      </c>
      <c r="E45" s="22" t="s">
        <v>16</v>
      </c>
      <c r="F45" s="34">
        <f>F47/(F16*F17)</f>
        <v>1.203109940767265</v>
      </c>
    </row>
    <row r="46" spans="1:6" s="22" customFormat="1" ht="33" customHeight="1">
      <c r="A46" s="22" t="s">
        <v>16</v>
      </c>
      <c r="B46" s="22" t="s">
        <v>389</v>
      </c>
      <c r="C46" s="22" t="s">
        <v>843</v>
      </c>
      <c r="D46" s="5" t="s">
        <v>844</v>
      </c>
      <c r="E46" s="22" t="s">
        <v>16</v>
      </c>
      <c r="F46" s="34">
        <v>1000</v>
      </c>
    </row>
    <row r="47" spans="1:6" s="22" customFormat="1">
      <c r="A47" s="22" t="s">
        <v>16</v>
      </c>
      <c r="B47" s="22" t="s">
        <v>389</v>
      </c>
      <c r="C47" s="22" t="s">
        <v>845</v>
      </c>
      <c r="D47" s="5" t="s">
        <v>846</v>
      </c>
      <c r="E47" s="22" t="s">
        <v>16</v>
      </c>
      <c r="F47" s="34">
        <f>F15*F48</f>
        <v>2732380.6124999998</v>
      </c>
    </row>
    <row r="48" spans="1:6" s="22" customFormat="1" ht="28.9">
      <c r="A48" s="22" t="s">
        <v>16</v>
      </c>
      <c r="B48" s="22" t="s">
        <v>389</v>
      </c>
      <c r="C48" s="22" t="s">
        <v>847</v>
      </c>
      <c r="D48" s="5" t="s">
        <v>848</v>
      </c>
      <c r="E48" s="22" t="s">
        <v>16</v>
      </c>
      <c r="F48" s="34">
        <f>F5*F33+F6*F34+F7*F35+F8*F36+F9*F37+F10*F38</f>
        <v>26.966499999999996</v>
      </c>
    </row>
    <row r="49" spans="1:6" s="86" customFormat="1" ht="18">
      <c r="A49" s="135"/>
      <c r="B49" s="135"/>
      <c r="C49" s="136"/>
      <c r="D49" s="135" t="s">
        <v>849</v>
      </c>
      <c r="E49" s="136"/>
      <c r="F49" s="136"/>
    </row>
    <row r="50" spans="1:6" s="34" customFormat="1" ht="28.9">
      <c r="A50" s="34" t="s">
        <v>16</v>
      </c>
      <c r="B50" s="34" t="s">
        <v>389</v>
      </c>
      <c r="C50" s="34" t="s">
        <v>850</v>
      </c>
      <c r="D50" s="49" t="s">
        <v>851</v>
      </c>
      <c r="E50" s="34" t="s">
        <v>16</v>
      </c>
      <c r="F50" s="34">
        <f>F39*F33*F21</f>
        <v>393.8</v>
      </c>
    </row>
    <row r="51" spans="1:6" s="86" customFormat="1" ht="18">
      <c r="A51" s="135"/>
      <c r="B51" s="135"/>
      <c r="C51" s="136"/>
      <c r="D51" s="135" t="s">
        <v>852</v>
      </c>
      <c r="E51" s="136"/>
      <c r="F51" s="136"/>
    </row>
    <row r="52" spans="1:6" s="22" customFormat="1">
      <c r="A52" s="22" t="s">
        <v>16</v>
      </c>
      <c r="B52" s="22" t="s">
        <v>389</v>
      </c>
      <c r="C52" s="22" t="s">
        <v>853</v>
      </c>
      <c r="D52" s="22" t="s">
        <v>854</v>
      </c>
      <c r="E52" s="22" t="s">
        <v>16</v>
      </c>
      <c r="F52" s="34">
        <f>(1-(F54/F50))*100</f>
        <v>97.620272779259992</v>
      </c>
    </row>
    <row r="53" spans="1:6" s="86" customFormat="1" ht="18">
      <c r="A53" s="135"/>
      <c r="B53" s="135"/>
      <c r="C53" s="136"/>
      <c r="D53" s="135" t="s">
        <v>855</v>
      </c>
      <c r="E53" s="136"/>
      <c r="F53" s="136"/>
    </row>
    <row r="54" spans="1:6" s="22" customFormat="1" ht="43.15">
      <c r="A54" s="22" t="s">
        <v>16</v>
      </c>
      <c r="B54" s="22" t="s">
        <v>389</v>
      </c>
      <c r="C54" s="22" t="s">
        <v>856</v>
      </c>
      <c r="D54" s="127" t="s">
        <v>857</v>
      </c>
      <c r="E54" s="22" t="s">
        <v>16</v>
      </c>
      <c r="F54" s="34">
        <f>F56*F41/1000000</f>
        <v>9.3713657952741762</v>
      </c>
    </row>
    <row r="55" spans="1:6" s="86" customFormat="1" ht="18">
      <c r="A55" s="135"/>
      <c r="B55" s="135"/>
      <c r="C55" s="136"/>
      <c r="D55" s="135" t="s">
        <v>858</v>
      </c>
      <c r="E55" s="136"/>
      <c r="F55" s="136"/>
    </row>
    <row r="56" spans="1:6" s="22" customFormat="1" ht="34.5" customHeight="1">
      <c r="A56" s="22" t="s">
        <v>16</v>
      </c>
      <c r="B56" s="22" t="s">
        <v>389</v>
      </c>
      <c r="C56" s="22" t="s">
        <v>859</v>
      </c>
      <c r="D56" s="5" t="s">
        <v>860</v>
      </c>
      <c r="E56" s="22" t="s">
        <v>16</v>
      </c>
      <c r="F56" s="34">
        <f>F57*F44</f>
        <v>9371.365795274176</v>
      </c>
    </row>
    <row r="57" spans="1:6" s="22" customFormat="1" ht="47.25" customHeight="1">
      <c r="A57" s="22" t="s">
        <v>16</v>
      </c>
      <c r="B57" s="22" t="s">
        <v>389</v>
      </c>
      <c r="C57" s="157" t="s">
        <v>861</v>
      </c>
      <c r="D57" s="5" t="s">
        <v>862</v>
      </c>
      <c r="E57" s="22" t="s">
        <v>16</v>
      </c>
      <c r="F57" s="34">
        <f>F60+F59+F58</f>
        <v>7.7892846511580895</v>
      </c>
    </row>
    <row r="58" spans="1:6" s="22" customFormat="1" ht="43.15">
      <c r="A58" s="22" t="s">
        <v>16</v>
      </c>
      <c r="B58" s="22" t="s">
        <v>389</v>
      </c>
      <c r="C58" s="22" t="s">
        <v>863</v>
      </c>
      <c r="D58" s="5" t="s">
        <v>864</v>
      </c>
      <c r="E58" s="22" t="s">
        <v>16</v>
      </c>
      <c r="F58" s="34">
        <f>F61*F20</f>
        <v>0.77892846511580904</v>
      </c>
    </row>
    <row r="59" spans="1:6" s="22" customFormat="1" ht="46.5" customHeight="1">
      <c r="A59" s="22" t="s">
        <v>16</v>
      </c>
      <c r="B59" s="22" t="s">
        <v>389</v>
      </c>
      <c r="C59" s="22" t="s">
        <v>865</v>
      </c>
      <c r="D59" s="5" t="s">
        <v>866</v>
      </c>
      <c r="E59" s="22" t="s">
        <v>16</v>
      </c>
      <c r="F59" s="34">
        <f>F20*((F67/(2*F14)+((1-F18)/F18)*(F62+F61)))</f>
        <v>6.2622947023495508</v>
      </c>
    </row>
    <row r="60" spans="1:6" s="22" customFormat="1" ht="47.25" customHeight="1">
      <c r="A60" s="22" t="s">
        <v>16</v>
      </c>
      <c r="B60" s="22" t="s">
        <v>389</v>
      </c>
      <c r="C60" s="22" t="s">
        <v>867</v>
      </c>
      <c r="D60" s="5" t="s">
        <v>868</v>
      </c>
      <c r="E60" s="22" t="s">
        <v>16</v>
      </c>
      <c r="F60" s="34">
        <f>(F64/F11)*F20</f>
        <v>0.74806148369272996</v>
      </c>
    </row>
    <row r="61" spans="1:6" s="22" customFormat="1" ht="43.15">
      <c r="A61" s="22" t="s">
        <v>16</v>
      </c>
      <c r="B61" s="22" t="s">
        <v>389</v>
      </c>
      <c r="C61" s="22" t="s">
        <v>869</v>
      </c>
      <c r="D61" s="5" t="s">
        <v>870</v>
      </c>
      <c r="E61" s="22" t="s">
        <v>16</v>
      </c>
      <c r="F61" s="34">
        <f>(F40/(1-(F40/F18))*(F64/F11+F67/(2*F14)+((1-F18)/F18)*F62))</f>
        <v>3.4751872272499734E-2</v>
      </c>
    </row>
    <row r="62" spans="1:6" s="22" customFormat="1" ht="43.15">
      <c r="A62" s="22" t="s">
        <v>16</v>
      </c>
      <c r="B62" s="22" t="s">
        <v>389</v>
      </c>
      <c r="C62" s="22" t="s">
        <v>871</v>
      </c>
      <c r="D62" s="5" t="s">
        <v>872</v>
      </c>
      <c r="E62" s="22" t="s">
        <v>16</v>
      </c>
      <c r="F62" s="34">
        <f>((F64/F11)+(F65/(4*F12)-(F66)/(2*F13)))</f>
        <v>3.9122615096508641E-2</v>
      </c>
    </row>
    <row r="63" spans="1:6" s="86" customFormat="1" ht="18">
      <c r="A63" s="135"/>
      <c r="B63" s="135"/>
      <c r="D63" s="135" t="s">
        <v>873</v>
      </c>
      <c r="E63" s="136"/>
      <c r="F63" s="136"/>
    </row>
    <row r="64" spans="1:6" s="22" customFormat="1" ht="28.9">
      <c r="A64" s="22" t="s">
        <v>16</v>
      </c>
      <c r="B64" s="22" t="s">
        <v>389</v>
      </c>
      <c r="C64" s="157" t="s">
        <v>874</v>
      </c>
      <c r="D64" s="5" t="s">
        <v>875</v>
      </c>
      <c r="E64" s="22" t="s">
        <v>16</v>
      </c>
      <c r="F64" s="34">
        <f>((F33*F23+F34*F24+F35*F25)*F11)/F48</f>
        <v>0.40049691283629696</v>
      </c>
    </row>
    <row r="65" spans="1:6" s="22" customFormat="1" ht="28.9">
      <c r="A65" s="22" t="s">
        <v>16</v>
      </c>
      <c r="B65" s="22" t="s">
        <v>389</v>
      </c>
      <c r="C65" s="22" t="s">
        <v>876</v>
      </c>
      <c r="D65" s="5" t="s">
        <v>877</v>
      </c>
      <c r="E65" s="22" t="s">
        <v>16</v>
      </c>
      <c r="F65" s="34">
        <f>(F33*F26+F37*F27)*F12/F48</f>
        <v>8.314760907051344E-2</v>
      </c>
    </row>
    <row r="66" spans="1:6" s="22" customFormat="1" ht="28.9">
      <c r="A66" s="22" t="s">
        <v>16</v>
      </c>
      <c r="B66" s="22" t="s">
        <v>389</v>
      </c>
      <c r="C66" s="22" t="s">
        <v>878</v>
      </c>
      <c r="D66" s="5" t="s">
        <v>879</v>
      </c>
      <c r="E66" s="22" t="s">
        <v>16</v>
      </c>
      <c r="F66" s="34">
        <f>(F34*F28+F35*F29+F36*F30)*F13/F48</f>
        <v>0.47466300780598153</v>
      </c>
    </row>
    <row r="67" spans="1:6" s="22" customFormat="1" ht="28.9">
      <c r="A67" s="22" t="s">
        <v>16</v>
      </c>
      <c r="B67" s="22" t="s">
        <v>389</v>
      </c>
      <c r="C67" s="22" t="s">
        <v>880</v>
      </c>
      <c r="D67" s="5" t="s">
        <v>881</v>
      </c>
      <c r="E67" s="22" t="s">
        <v>16</v>
      </c>
      <c r="F67" s="34">
        <f>F38*F31*F14/F48</f>
        <v>4.1562679621011261E-2</v>
      </c>
    </row>
    <row r="68" spans="1:6" s="86" customFormat="1" ht="18">
      <c r="A68" s="135"/>
      <c r="B68" s="135"/>
      <c r="D68" s="135" t="s">
        <v>882</v>
      </c>
      <c r="E68" s="136"/>
      <c r="F68" s="136"/>
    </row>
    <row r="69" spans="1:6" s="22" customFormat="1" ht="28.9">
      <c r="A69" s="22" t="s">
        <v>16</v>
      </c>
      <c r="B69" s="22" t="s">
        <v>389</v>
      </c>
      <c r="C69" s="22" t="s">
        <v>883</v>
      </c>
      <c r="D69" s="5" t="s">
        <v>884</v>
      </c>
      <c r="E69" s="22" t="s">
        <v>16</v>
      </c>
      <c r="F69" s="34">
        <f>(F42*(1-F52/100)*F50)*F19/100</f>
        <v>20523.291091650441</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DB8A-9D19-4B4B-85FC-6AB71F1BAD20}">
  <dimension ref="A1:H41"/>
  <sheetViews>
    <sheetView workbookViewId="0">
      <selection activeCell="C27" sqref="C27"/>
    </sheetView>
  </sheetViews>
  <sheetFormatPr defaultRowHeight="14.45"/>
  <cols>
    <col min="1" max="1" width="9.85546875" customWidth="1"/>
    <col min="2" max="2" width="87.5703125" style="1" customWidth="1"/>
    <col min="3" max="3" width="21.140625" customWidth="1"/>
    <col min="5" max="5" width="19.5703125" customWidth="1"/>
    <col min="6" max="6" width="29.7109375" customWidth="1"/>
    <col min="7" max="7" width="16.28515625" customWidth="1"/>
    <col min="8" max="8" width="18.5703125" customWidth="1"/>
  </cols>
  <sheetData>
    <row r="1" spans="1:8">
      <c r="A1" t="s">
        <v>1</v>
      </c>
      <c r="B1" t="s">
        <v>361</v>
      </c>
      <c r="C1" t="s">
        <v>362</v>
      </c>
      <c r="D1" t="s">
        <v>4</v>
      </c>
      <c r="E1" t="s">
        <v>7</v>
      </c>
      <c r="F1" t="s">
        <v>885</v>
      </c>
      <c r="G1" t="s">
        <v>360</v>
      </c>
      <c r="H1" t="s">
        <v>9</v>
      </c>
    </row>
    <row r="2" spans="1:8" ht="28.9">
      <c r="B2" s="1" t="s">
        <v>886</v>
      </c>
      <c r="C2" t="s">
        <v>14</v>
      </c>
      <c r="D2" t="s">
        <v>14</v>
      </c>
      <c r="E2" t="s">
        <v>434</v>
      </c>
      <c r="F2" t="s">
        <v>887</v>
      </c>
      <c r="G2" t="s">
        <v>16</v>
      </c>
    </row>
    <row r="3" spans="1:8">
      <c r="B3" s="1" t="s">
        <v>888</v>
      </c>
      <c r="C3" t="s">
        <v>889</v>
      </c>
      <c r="D3" t="s">
        <v>14</v>
      </c>
      <c r="E3" t="s">
        <v>434</v>
      </c>
      <c r="G3" t="s">
        <v>16</v>
      </c>
    </row>
    <row r="4" spans="1:8">
      <c r="B4" s="1" t="s">
        <v>890</v>
      </c>
      <c r="C4" t="s">
        <v>14</v>
      </c>
      <c r="D4" t="str">
        <f>IF(OR(C3="Option A: Use the manufacturer’s load-efficiency function",C3="Option E: Determine the efficiency based on measurements and use a conservative value"),"Yes","No")</f>
        <v>No</v>
      </c>
      <c r="E4" t="s">
        <v>434</v>
      </c>
    </row>
    <row r="5" spans="1:8" ht="28.9">
      <c r="B5" s="1" t="s">
        <v>891</v>
      </c>
      <c r="D5" t="str">
        <f>IF(OR(C3="Option B: Establish a load-efficiency function based on measurements and a regression analysis",C3="Option C: Establish the efficiency based on historical data and a regression analysis",C3="Option E: Determine the efficiency based on measurements and use a conservative value"),"Yes","No")</f>
        <v>No</v>
      </c>
      <c r="E5" t="s">
        <v>15</v>
      </c>
      <c r="F5" t="s">
        <v>892</v>
      </c>
      <c r="G5" t="s">
        <v>16</v>
      </c>
    </row>
    <row r="6" spans="1:8">
      <c r="B6" s="1" t="s">
        <v>893</v>
      </c>
      <c r="C6" t="s">
        <v>14</v>
      </c>
      <c r="D6" t="s">
        <v>14</v>
      </c>
      <c r="E6" t="s">
        <v>434</v>
      </c>
      <c r="G6" t="s">
        <v>16</v>
      </c>
    </row>
    <row r="7" spans="1:8" ht="28.9">
      <c r="B7" s="1" t="s">
        <v>894</v>
      </c>
      <c r="C7" t="s">
        <v>16</v>
      </c>
      <c r="D7" t="str">
        <f>IF(OR(C3="Option A: Use the manufacturer’s load-efficiency function",C3="Option D: Use the manufacturer’s efficiency values"),"Yes","No")</f>
        <v>No</v>
      </c>
      <c r="E7" t="s">
        <v>434</v>
      </c>
      <c r="F7" t="s">
        <v>895</v>
      </c>
      <c r="G7" t="s">
        <v>16</v>
      </c>
    </row>
    <row r="8" spans="1:8" ht="28.9">
      <c r="B8" s="1" t="s">
        <v>896</v>
      </c>
      <c r="C8" t="s">
        <v>14</v>
      </c>
      <c r="D8" t="str">
        <f>IF(C3="Option A: Use the manufacturer’s load-efficiency function","Yes","No")</f>
        <v>No</v>
      </c>
      <c r="E8" t="s">
        <v>434</v>
      </c>
      <c r="G8" t="s">
        <v>16</v>
      </c>
    </row>
    <row r="9" spans="1:8">
      <c r="B9" s="1" t="s">
        <v>897</v>
      </c>
      <c r="C9" t="s">
        <v>14</v>
      </c>
      <c r="D9" t="str">
        <f>IF(C3="Option A: Use the manufacturer’s load-efficiency function","Yes","No")</f>
        <v>No</v>
      </c>
      <c r="E9" t="s">
        <v>434</v>
      </c>
      <c r="G9" t="s">
        <v>16</v>
      </c>
    </row>
    <row r="10" spans="1:8" ht="28.9">
      <c r="B10" s="1" t="s">
        <v>898</v>
      </c>
      <c r="C10" t="s">
        <v>16</v>
      </c>
      <c r="D10" t="str">
        <f>IF(OR(C3="Option A: Use the manufacturer’s load-efficiency function",C3="Option C: Establish the efficiency based on historical data and a regression analysis"),"Yes","No")</f>
        <v>No</v>
      </c>
      <c r="E10" t="s">
        <v>434</v>
      </c>
      <c r="G10" t="s">
        <v>16</v>
      </c>
    </row>
    <row r="11" spans="1:8" ht="43.15">
      <c r="B11" s="1" t="s">
        <v>899</v>
      </c>
      <c r="C11" t="s">
        <v>14</v>
      </c>
      <c r="D11" t="str">
        <f>IF(AND(C3="Option C: Establish the efficiency based on historical data and a regression analysis",C6="No"),"Yes","No")</f>
        <v>No</v>
      </c>
      <c r="E11" t="s">
        <v>434</v>
      </c>
      <c r="G11" t="s">
        <v>16</v>
      </c>
    </row>
    <row r="12" spans="1:8" ht="28.9">
      <c r="B12" s="1" t="s">
        <v>900</v>
      </c>
      <c r="C12" t="s">
        <v>14</v>
      </c>
      <c r="D12" t="str">
        <f>IF(AND(C3="Option C: Establish the efficiency based on historical data and a regression analysis",C6="Yes"),"Yes","No")</f>
        <v>No</v>
      </c>
      <c r="E12" t="s">
        <v>434</v>
      </c>
      <c r="G12" t="s">
        <v>16</v>
      </c>
    </row>
    <row r="13" spans="1:8" s="21" customFormat="1">
      <c r="B13" s="15" t="s">
        <v>901</v>
      </c>
      <c r="D13" s="21" t="str">
        <f>IF(AND(C2="Yes",C3="Option A: Use the manufacturer’s load-efficiency function",C4="Yes",C6="No",C7="Yes",C8="Yes",C9="Yes",C10="No"),"Yes","NA")</f>
        <v>NA</v>
      </c>
    </row>
    <row r="14" spans="1:8" ht="28.9">
      <c r="A14" t="s">
        <v>902</v>
      </c>
      <c r="B14" s="1" t="s">
        <v>903</v>
      </c>
      <c r="D14" t="str">
        <f>IF(AND(C2="Yes",C3="Option A: Use the manufacturer’s load-efficiency function",C4="Yes",C6="No",C7="Yes",C8="Yes",C9="Yes",C10="No"),"Yes","NA")</f>
        <v>NA</v>
      </c>
      <c r="E14" t="s">
        <v>904</v>
      </c>
      <c r="G14" t="s">
        <v>905</v>
      </c>
    </row>
    <row r="15" spans="1:8" s="21" customFormat="1">
      <c r="B15" s="15" t="s">
        <v>906</v>
      </c>
      <c r="D15" s="21" t="str">
        <f>IF(AND(C2="Yes",C3="Option B: Establish a load-efficiency function based on measurements and a regression analysis",C6="No"),"Yes","NA")</f>
        <v>NA</v>
      </c>
    </row>
    <row r="16" spans="1:8" ht="28.9">
      <c r="A16" t="s">
        <v>902</v>
      </c>
      <c r="B16" s="1" t="s">
        <v>903</v>
      </c>
      <c r="D16" t="str">
        <f>IF(AND(C2="Yes",C3="Option B: Establish a load-efficiency function based on measurements and a regression analysis",C6="No"),"Yes","NA")</f>
        <v>NA</v>
      </c>
      <c r="E16" t="s">
        <v>904</v>
      </c>
      <c r="F16" t="s">
        <v>907</v>
      </c>
      <c r="G16" t="s">
        <v>16</v>
      </c>
    </row>
    <row r="17" spans="1:7" s="14" customFormat="1">
      <c r="B17" s="15" t="s">
        <v>908</v>
      </c>
      <c r="D17" s="21" t="str">
        <f>IF(AND(C2="Yes",C3="Option C: Establish the efficiency based on historical data and a regression analysis"),"Yes","NA")</f>
        <v>NA</v>
      </c>
    </row>
    <row r="18" spans="1:7">
      <c r="A18" t="s">
        <v>909</v>
      </c>
      <c r="B18" s="1" t="s">
        <v>910</v>
      </c>
      <c r="D18" t="str">
        <f>IF(AND(C2="Yes",C3="Option C: Establish the efficiency based on historical data and a regression analysis",C6="Yes",C10="No",C12="Yes"),"Yes","NA")</f>
        <v>NA</v>
      </c>
      <c r="E18" t="s">
        <v>90</v>
      </c>
      <c r="F18" t="s">
        <v>911</v>
      </c>
      <c r="G18" t="s">
        <v>16</v>
      </c>
    </row>
    <row r="19" spans="1:7" ht="28.9">
      <c r="A19" t="s">
        <v>902</v>
      </c>
      <c r="B19" s="1" t="s">
        <v>903</v>
      </c>
      <c r="D19" t="str">
        <f>IF(AND(C2="Yes",C3="Option C: Establish the efficiency based on historical data and a regression analysis",C6="No",C10="No",C11="Yes"),"Yes","NA")</f>
        <v>NA</v>
      </c>
      <c r="E19" t="s">
        <v>904</v>
      </c>
      <c r="F19" t="s">
        <v>912</v>
      </c>
      <c r="G19" t="s">
        <v>16</v>
      </c>
    </row>
    <row r="20" spans="1:7" s="14" customFormat="1">
      <c r="B20" s="15" t="s">
        <v>913</v>
      </c>
      <c r="D20" s="21" t="str">
        <f>IF(AND(C2="Yes",C3="Option D: Use the manufacturer’s efficiency values",C6="Yes",C7="No",C10="No"),"Yes","NA")</f>
        <v>NA</v>
      </c>
    </row>
    <row r="21" spans="1:7">
      <c r="A21" t="s">
        <v>909</v>
      </c>
      <c r="B21" s="1" t="s">
        <v>910</v>
      </c>
      <c r="C21">
        <v>0.85</v>
      </c>
      <c r="D21" t="str">
        <f>IF(AND(C2="Yes",C3="Option D: Use the manufacturer’s efficiency values",C6="Yes",C7="No",C10="No"),"Yes","NA")</f>
        <v>NA</v>
      </c>
      <c r="E21" t="s">
        <v>90</v>
      </c>
      <c r="G21" t="s">
        <v>16</v>
      </c>
    </row>
    <row r="22" spans="1:7" s="14" customFormat="1">
      <c r="B22" s="15" t="s">
        <v>914</v>
      </c>
      <c r="D22" s="21" t="str">
        <f>IF(AND(C2="Yes",C3="Option E: Determine the efficiency based on measurements and use a conservative value",C4="Yes",C6="Yes"),"Yes","NA")</f>
        <v>NA</v>
      </c>
    </row>
    <row r="23" spans="1:7">
      <c r="A23" t="s">
        <v>909</v>
      </c>
      <c r="B23" s="1" t="s">
        <v>910</v>
      </c>
      <c r="C23">
        <v>0.85</v>
      </c>
      <c r="D23" t="str">
        <f>IF(AND(C2="Yes",C3="Option E: Determine the efficiency based on measurements and use a conservative value",C4="Yes",C6="Yes"),"Yes","NA")</f>
        <v>NA</v>
      </c>
      <c r="E23" t="s">
        <v>90</v>
      </c>
      <c r="F23" t="s">
        <v>915</v>
      </c>
      <c r="G23" t="s">
        <v>16</v>
      </c>
    </row>
    <row r="24" spans="1:7" s="14" customFormat="1">
      <c r="B24" s="15" t="s">
        <v>889</v>
      </c>
      <c r="D24" s="21" t="str">
        <f>IF(AND(C2="Yes",C3="Option F: Use a default value",C6="Yes"),"Yes","NA")</f>
        <v>Yes</v>
      </c>
    </row>
    <row r="25" spans="1:7" ht="15" thickBot="1">
      <c r="A25" t="s">
        <v>909</v>
      </c>
      <c r="B25" s="1" t="s">
        <v>910</v>
      </c>
      <c r="C25">
        <v>0.85</v>
      </c>
      <c r="D25" t="str">
        <f>IF(AND(C2="Yes",C3="Option F: Use a default value",C6="Yes"),"Yes","NA")</f>
        <v>Yes</v>
      </c>
      <c r="E25" t="s">
        <v>90</v>
      </c>
      <c r="F25" t="s">
        <v>916</v>
      </c>
      <c r="G25" t="s">
        <v>16</v>
      </c>
    </row>
    <row r="26" spans="1:7" s="17" customFormat="1" ht="20.45" thickBot="1">
      <c r="A26" s="20"/>
      <c r="B26" s="19" t="s">
        <v>917</v>
      </c>
      <c r="C26" s="18">
        <f>IF(AND(C3="Option A: Use the manufacturer’s load-efficiency function",D14="Yes"),C14, IF(AND(C3="Option B: Establish a load-efficiency function based on measurements and a regression analysis",D16="Yes"),C16,IF(AND(C3="Option C: Establish the efficiency based on historical data and a regression analysis",D18="Yes"),C18,IF(AND(C3="Option C: Establish the efficiency based on historical data and a regression analysis",D19="Yes"),C19,IF(AND(C3="Option D: Use the manufacturer’s efficiency values",D21="Yes"),C21,IF(AND(C3="Option E: Determine the efficiency based on measurements and use a conservative value",D23="Yes"),C23,IF(AND(C3="Option F: Use a default value",D25="Yes"),C25,"NA")))))))</f>
        <v>0.85</v>
      </c>
      <c r="E26" s="17" t="s">
        <v>101</v>
      </c>
      <c r="G26" s="17" t="s">
        <v>16</v>
      </c>
    </row>
    <row r="27" spans="1:7">
      <c r="B27" s="16"/>
    </row>
    <row r="31" spans="1:7" ht="18">
      <c r="A31" s="186" t="s">
        <v>918</v>
      </c>
      <c r="B31" s="186"/>
      <c r="C31" s="186"/>
      <c r="D31" s="186"/>
      <c r="E31" s="186"/>
    </row>
    <row r="32" spans="1:7" s="2" customFormat="1">
      <c r="A32" s="2" t="s">
        <v>919</v>
      </c>
      <c r="D32" s="2" t="s">
        <v>920</v>
      </c>
    </row>
    <row r="33" spans="1:5">
      <c r="A33" t="s">
        <v>901</v>
      </c>
      <c r="B33"/>
      <c r="D33" t="s">
        <v>14</v>
      </c>
    </row>
    <row r="34" spans="1:5">
      <c r="A34" t="s">
        <v>906</v>
      </c>
      <c r="B34"/>
      <c r="D34" t="s">
        <v>16</v>
      </c>
    </row>
    <row r="35" spans="1:5">
      <c r="A35" t="s">
        <v>921</v>
      </c>
      <c r="B35"/>
    </row>
    <row r="36" spans="1:5">
      <c r="A36" t="s">
        <v>913</v>
      </c>
      <c r="B36"/>
    </row>
    <row r="37" spans="1:5">
      <c r="A37" t="s">
        <v>914</v>
      </c>
      <c r="B37"/>
    </row>
    <row r="38" spans="1:5">
      <c r="A38" t="s">
        <v>889</v>
      </c>
      <c r="B38"/>
    </row>
    <row r="41" spans="1:5" ht="18">
      <c r="A41" s="186" t="s">
        <v>922</v>
      </c>
      <c r="B41" s="186"/>
      <c r="C41" s="186"/>
      <c r="D41" s="186"/>
      <c r="E41" s="186"/>
    </row>
  </sheetData>
  <mergeCells count="2">
    <mergeCell ref="A31:E31"/>
    <mergeCell ref="A41:E41"/>
  </mergeCells>
  <dataValidations count="2">
    <dataValidation type="list" allowBlank="1" showInputMessage="1" showErrorMessage="1" sqref="C6:C12 C4 C2" xr:uid="{39F9F44C-1F39-4F07-A141-6C2D5A884F63}">
      <formula1>$D$33:$D$34</formula1>
    </dataValidation>
    <dataValidation type="list" allowBlank="1" showInputMessage="1" showErrorMessage="1" sqref="C3" xr:uid="{1D89DBF6-90EC-49F1-ACA4-5DC1046C53D0}">
      <formula1>$A$33:$A$38</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C18EA-193B-4E2A-92AF-48527B771C5D}">
  <dimension ref="A1:H24"/>
  <sheetViews>
    <sheetView workbookViewId="0">
      <selection activeCell="C25" sqref="C25"/>
    </sheetView>
  </sheetViews>
  <sheetFormatPr defaultColWidth="8.7109375" defaultRowHeight="14.45"/>
  <cols>
    <col min="1" max="1" width="14.85546875" customWidth="1"/>
    <col min="2" max="2" width="65.7109375" style="1" customWidth="1"/>
    <col min="3" max="3" width="38.28515625" style="41" customWidth="1"/>
    <col min="4" max="4" width="31.140625" customWidth="1"/>
    <col min="5" max="5" width="20.140625" customWidth="1"/>
    <col min="7" max="7" width="17.7109375" customWidth="1"/>
    <col min="8" max="8" width="21" customWidth="1"/>
  </cols>
  <sheetData>
    <row r="1" spans="1:8">
      <c r="A1" t="s">
        <v>1</v>
      </c>
      <c r="B1" s="1" t="s">
        <v>2</v>
      </c>
      <c r="C1" s="41" t="s">
        <v>3</v>
      </c>
      <c r="D1" t="s">
        <v>4</v>
      </c>
      <c r="E1" t="s">
        <v>7</v>
      </c>
      <c r="F1" t="s">
        <v>363</v>
      </c>
      <c r="G1" t="s">
        <v>923</v>
      </c>
      <c r="H1" t="s">
        <v>924</v>
      </c>
    </row>
    <row r="2" spans="1:8" s="86" customFormat="1">
      <c r="B2" s="104" t="s">
        <v>431</v>
      </c>
      <c r="C2" s="105"/>
    </row>
    <row r="3" spans="1:8">
      <c r="B3" s="1" t="s">
        <v>925</v>
      </c>
      <c r="C3" s="41" t="s">
        <v>905</v>
      </c>
      <c r="D3" t="s">
        <v>14</v>
      </c>
      <c r="E3" t="s">
        <v>28</v>
      </c>
      <c r="G3" t="s">
        <v>16</v>
      </c>
    </row>
    <row r="4" spans="1:8" ht="28.9">
      <c r="B4" s="1" t="s">
        <v>926</v>
      </c>
      <c r="C4" s="41" t="s">
        <v>927</v>
      </c>
      <c r="D4" t="s">
        <v>14</v>
      </c>
      <c r="E4" t="s">
        <v>28</v>
      </c>
      <c r="G4" t="s">
        <v>16</v>
      </c>
    </row>
    <row r="5" spans="1:8">
      <c r="A5" t="s">
        <v>928</v>
      </c>
      <c r="B5" s="1" t="s">
        <v>929</v>
      </c>
      <c r="C5" s="41" t="s">
        <v>930</v>
      </c>
      <c r="D5" t="s">
        <v>14</v>
      </c>
      <c r="E5" t="s">
        <v>15</v>
      </c>
      <c r="G5" t="s">
        <v>16</v>
      </c>
    </row>
    <row r="6" spans="1:8">
      <c r="B6" s="187" t="s">
        <v>931</v>
      </c>
      <c r="C6" s="187"/>
      <c r="D6" s="187"/>
      <c r="E6" s="106"/>
      <c r="F6" t="s">
        <v>932</v>
      </c>
    </row>
    <row r="7" spans="1:8" ht="28.9">
      <c r="B7" s="1" t="s">
        <v>933</v>
      </c>
      <c r="C7" s="41" t="s">
        <v>934</v>
      </c>
      <c r="D7" t="s">
        <v>14</v>
      </c>
      <c r="E7" t="s">
        <v>15</v>
      </c>
      <c r="G7" t="s">
        <v>16</v>
      </c>
    </row>
    <row r="8" spans="1:8" ht="28.9">
      <c r="B8" s="1" t="s">
        <v>935</v>
      </c>
      <c r="C8" s="41" t="s">
        <v>936</v>
      </c>
      <c r="D8" t="s">
        <v>14</v>
      </c>
      <c r="E8" t="s">
        <v>15</v>
      </c>
      <c r="G8" t="s">
        <v>16</v>
      </c>
    </row>
    <row r="9" spans="1:8" ht="28.9">
      <c r="B9" s="1" t="s">
        <v>937</v>
      </c>
      <c r="C9" s="41" t="s">
        <v>938</v>
      </c>
      <c r="D9" t="s">
        <v>14</v>
      </c>
      <c r="E9" t="s">
        <v>15</v>
      </c>
      <c r="G9" t="s">
        <v>16</v>
      </c>
    </row>
    <row r="10" spans="1:8">
      <c r="B10" s="1" t="s">
        <v>939</v>
      </c>
      <c r="C10" s="41">
        <v>1</v>
      </c>
      <c r="D10" t="s">
        <v>14</v>
      </c>
      <c r="E10" t="s">
        <v>90</v>
      </c>
      <c r="G10" t="s">
        <v>16</v>
      </c>
    </row>
    <row r="11" spans="1:8" ht="28.9">
      <c r="A11" t="s">
        <v>940</v>
      </c>
      <c r="B11" s="1" t="s">
        <v>941</v>
      </c>
      <c r="C11" s="41">
        <v>2</v>
      </c>
      <c r="D11" t="s">
        <v>14</v>
      </c>
      <c r="E11" t="s">
        <v>90</v>
      </c>
      <c r="F11" t="s">
        <v>942</v>
      </c>
      <c r="G11" t="s">
        <v>16</v>
      </c>
    </row>
    <row r="12" spans="1:8" ht="28.9">
      <c r="B12" s="1" t="s">
        <v>943</v>
      </c>
      <c r="C12" s="41" t="s">
        <v>944</v>
      </c>
      <c r="D12" t="s">
        <v>14</v>
      </c>
      <c r="E12" t="s">
        <v>28</v>
      </c>
      <c r="G12" t="s">
        <v>16</v>
      </c>
    </row>
    <row r="13" spans="1:8" ht="28.9" customHeight="1">
      <c r="B13" s="1" t="s">
        <v>945</v>
      </c>
      <c r="C13" s="41" t="s">
        <v>946</v>
      </c>
      <c r="D13" t="s">
        <v>14</v>
      </c>
      <c r="E13" t="s">
        <v>28</v>
      </c>
      <c r="G13" t="s">
        <v>16</v>
      </c>
    </row>
    <row r="14" spans="1:8">
      <c r="B14" s="1" t="s">
        <v>947</v>
      </c>
      <c r="C14" s="41" t="s">
        <v>948</v>
      </c>
      <c r="D14" t="str">
        <f>IF(C13="Road Vehicle","Yes","No")</f>
        <v>Yes</v>
      </c>
      <c r="E14" t="s">
        <v>28</v>
      </c>
      <c r="G14" t="s">
        <v>16</v>
      </c>
    </row>
    <row r="15" spans="1:8" s="86" customFormat="1">
      <c r="B15" s="104" t="s">
        <v>949</v>
      </c>
      <c r="C15" s="105"/>
      <c r="D15" s="86" t="str">
        <f>IF(C3="Yes","NA",IF(C13="Rail","NA",IF(C12="Option A: Monitoring fuel consumption","Yes","NA")))</f>
        <v>NA</v>
      </c>
    </row>
    <row r="16" spans="1:8" ht="28.9">
      <c r="B16" s="1" t="s">
        <v>950</v>
      </c>
      <c r="D16" t="str">
        <f>IF(C3="Yes","NA",IF(C13="Rail","NA",IF(C12="Option A: Monitoring fuel consumption","Yes","NA")))</f>
        <v>NA</v>
      </c>
      <c r="E16" t="s">
        <v>15</v>
      </c>
      <c r="F16" t="s">
        <v>951</v>
      </c>
    </row>
    <row r="17" spans="1:7" ht="28.9">
      <c r="A17" t="s">
        <v>952</v>
      </c>
      <c r="B17" s="1" t="s">
        <v>953</v>
      </c>
      <c r="C17" s="34">
        <f>'(Revised) Tool 03'!G3</f>
        <v>73.333333333333329</v>
      </c>
      <c r="D17" t="str">
        <f>IF(C3="Yes","NA",IF(C13="Rail","NA",IF(C12="Option A: Monitoring fuel consumption","Yes","NA")))</f>
        <v>NA</v>
      </c>
      <c r="E17" t="s">
        <v>242</v>
      </c>
      <c r="F17" t="s">
        <v>954</v>
      </c>
      <c r="G17" t="s">
        <v>16</v>
      </c>
    </row>
    <row r="18" spans="1:7" s="86" customFormat="1">
      <c r="B18" s="104" t="s">
        <v>944</v>
      </c>
      <c r="C18" s="105"/>
      <c r="D18" s="86" t="str">
        <f>IF(C3="Yes","NA",IF(OR(C12="Option B: Using conservative default values",C13="Rail"),"Yes","NA"))</f>
        <v>Yes</v>
      </c>
    </row>
    <row r="19" spans="1:7">
      <c r="A19" t="s">
        <v>955</v>
      </c>
      <c r="B19" s="1" t="s">
        <v>956</v>
      </c>
      <c r="C19" s="41">
        <v>11966</v>
      </c>
      <c r="D19" t="str">
        <f>IF(C3="Yes","NA",IF(OR(C12="Option B: Using conservative default values",C13="Rail"),"Yes","NA"))</f>
        <v>Yes</v>
      </c>
      <c r="E19" t="s">
        <v>90</v>
      </c>
      <c r="F19" t="s">
        <v>957</v>
      </c>
      <c r="G19" t="s">
        <v>16</v>
      </c>
    </row>
    <row r="20" spans="1:7" ht="28.9">
      <c r="A20" t="s">
        <v>958</v>
      </c>
      <c r="B20" s="1" t="s">
        <v>959</v>
      </c>
      <c r="C20" s="34" t="str">
        <f>IF(OR(C14="Heavy",C13="Rail"),"129","245")</f>
        <v>129</v>
      </c>
      <c r="D20" t="str">
        <f>IF(C3="Yes","NA",IF(OR(C12="Option B: Using conservative default values",C13="Rail"),"Yes","NA"))</f>
        <v>Yes</v>
      </c>
      <c r="E20" t="s">
        <v>960</v>
      </c>
      <c r="G20" t="s">
        <v>16</v>
      </c>
    </row>
    <row r="21" spans="1:7" ht="28.9">
      <c r="A21" t="s">
        <v>952</v>
      </c>
      <c r="B21" s="1" t="s">
        <v>961</v>
      </c>
      <c r="C21" s="34">
        <f>C19*C11*C20*(10^-6)</f>
        <v>3.0872279999999996</v>
      </c>
      <c r="D21" t="str">
        <f>IF(C3="Yes","NA",IF(OR(C12="Option B: Using conservative default values",C13="Rail"),"Yes","NA"))</f>
        <v>Yes</v>
      </c>
      <c r="E21" t="s">
        <v>960</v>
      </c>
      <c r="G21" t="s">
        <v>16</v>
      </c>
    </row>
    <row r="24" spans="1:7">
      <c r="C24" s="107"/>
    </row>
  </sheetData>
  <mergeCells count="1">
    <mergeCell ref="B6:D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3C654D-9591-4F31-B743-903678F69603}">
          <x14:formula1>
            <xm:f>'Tool 12 Dropdown Items'!$E$2:$E$3</xm:f>
          </x14:formula1>
          <xm:sqref>C4</xm:sqref>
        </x14:dataValidation>
        <x14:dataValidation type="list" allowBlank="1" showInputMessage="1" showErrorMessage="1" xr:uid="{041D0990-0CCB-4B28-B0F6-95B3394A1DD0}">
          <x14:formula1>
            <xm:f>'Tool 12 Dropdown Items'!$D$2:$D$3</xm:f>
          </x14:formula1>
          <xm:sqref>C14</xm:sqref>
        </x14:dataValidation>
        <x14:dataValidation type="list" allowBlank="1" showInputMessage="1" showErrorMessage="1" xr:uid="{998E1247-697B-44C3-9644-3CDCCEA6143E}">
          <x14:formula1>
            <xm:f>'Tool 12 Dropdown Items'!$C$2:$C$3</xm:f>
          </x14:formula1>
          <xm:sqref>C13</xm:sqref>
        </x14:dataValidation>
        <x14:dataValidation type="list" allowBlank="1" showInputMessage="1" showErrorMessage="1" xr:uid="{2D659EDE-9A93-4DEC-B848-D9E846D868EC}">
          <x14:formula1>
            <xm:f>'Tool 12 Dropdown Items'!$A$2:$A$3</xm:f>
          </x14:formula1>
          <xm:sqref>C12</xm:sqref>
        </x14:dataValidation>
        <x14:dataValidation type="list" allowBlank="1" showInputMessage="1" showErrorMessage="1" xr:uid="{9A6B780D-588A-4B75-BCC5-269FA5492F29}">
          <x14:formula1>
            <xm:f>'Tool 12 Dropdown Items'!$B$2:$B$3</xm:f>
          </x14:formula1>
          <xm:sqref>C3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E8C29-156F-44F9-902C-1C1DEAE4A487}">
  <dimension ref="A1:I17"/>
  <sheetViews>
    <sheetView workbookViewId="0">
      <selection activeCell="K29" sqref="K29"/>
    </sheetView>
  </sheetViews>
  <sheetFormatPr defaultColWidth="8.7109375" defaultRowHeight="14.45"/>
  <cols>
    <col min="1" max="1" width="10.28515625" style="41" customWidth="1"/>
    <col min="2" max="2" width="16.7109375" customWidth="1"/>
    <col min="3" max="3" width="10.28515625" customWidth="1"/>
    <col min="4" max="4" width="8.28515625" customWidth="1"/>
    <col min="5" max="5" width="11.42578125" customWidth="1"/>
    <col min="6" max="6" width="17.7109375" customWidth="1"/>
    <col min="7" max="7" width="20.28515625" customWidth="1"/>
    <col min="8" max="8" width="12.7109375" customWidth="1"/>
  </cols>
  <sheetData>
    <row r="1" spans="1:9" s="8" customFormat="1" ht="18.600000000000001" thickBot="1">
      <c r="A1" s="183" t="s">
        <v>962</v>
      </c>
      <c r="B1" s="184"/>
      <c r="C1" s="184"/>
      <c r="D1" s="184"/>
      <c r="E1" s="184"/>
      <c r="F1" s="184"/>
      <c r="G1" s="184"/>
      <c r="H1" s="184"/>
      <c r="I1" s="185"/>
    </row>
    <row r="2" spans="1:9" s="2" customFormat="1">
      <c r="A2" s="108" t="s">
        <v>963</v>
      </c>
      <c r="B2" s="2" t="s">
        <v>964</v>
      </c>
      <c r="C2" s="2" t="s">
        <v>965</v>
      </c>
      <c r="D2" s="2" t="s">
        <v>966</v>
      </c>
      <c r="E2" s="2" t="s">
        <v>967</v>
      </c>
      <c r="F2" s="2" t="s">
        <v>968</v>
      </c>
      <c r="G2" s="2" t="s">
        <v>969</v>
      </c>
      <c r="H2" s="2" t="s">
        <v>970</v>
      </c>
      <c r="I2" s="109" t="s">
        <v>971</v>
      </c>
    </row>
    <row r="3" spans="1:9">
      <c r="A3" s="110" t="str">
        <f>IF('Tool 12 - Freight Trans'!C4="Project emissions (PEtr,m)",'Tool 12 - Freight Trans'!C5)</f>
        <v>Activity 1</v>
      </c>
      <c r="B3" s="22" t="str">
        <f>IF('Tool 12 - Freight Trans'!C4="Project emissions (PEtr,m)",'Tool 12 - Freight Trans'!C9)</f>
        <v>Sugar cane bagasse</v>
      </c>
      <c r="C3" s="22">
        <f>IF('Tool 12 - Freight Trans'!C4="Project emissions (PEtr,m)",'Tool 12 - Freight Trans'!C11)</f>
        <v>2</v>
      </c>
      <c r="D3" s="22" t="str">
        <f>IF('Tool 12 - Freight Trans'!C4="Project emissions (PEtr,m)",'Tool 12 - Freight Trans'!C7)</f>
        <v>Source 1</v>
      </c>
      <c r="E3" s="22" t="str">
        <f>IF('Tool 12 - Freight Trans'!C4="Project emissions (PEtr,m)",'Tool 12 - Freight Trans'!C8)</f>
        <v>Facility 1</v>
      </c>
      <c r="F3" s="22">
        <f>IF(AND('Tool 12 - Freight Trans'!C4="Project emissions (PEtr,m)",'Tool 12 - Freight Trans'!C12="Option B: Using conservative default values"),'Tool 12 - Freight Trans'!C19)</f>
        <v>11966</v>
      </c>
      <c r="G3" s="22" t="str">
        <f>IF('Tool 12 - Freight Trans'!C4="Project emissions (PEtr,m)",'Tool 12 - Freight Trans'!C13)</f>
        <v>Road Vehicle</v>
      </c>
      <c r="H3" s="22" t="str">
        <f>IF('Tool 12 - Freight Trans'!C4="Project emissions (PEtr,m)",'Tool 12 - Freight Trans'!C14)</f>
        <v>Heavy</v>
      </c>
      <c r="I3" s="111">
        <f>IF(AND('Tool 12 - Freight Trans'!C4="Project emissions (PEtr,m)",'Tool 12 - Freight Trans'!C12="Option B: Using conservative default values"),'Tool 12 - Freight Trans'!C21,IF(AND('Tool 12 - Freight Trans'!C4="Project emissions (PEtr,m)",'Tool 12 - Freight Trans'!C12="Option A: Monitoring fuel consumption"),'Tool 12 - Freight Trans'!C17))</f>
        <v>3.0872279999999996</v>
      </c>
    </row>
    <row r="4" spans="1:9">
      <c r="A4" s="112">
        <v>2</v>
      </c>
      <c r="I4" s="113"/>
    </row>
    <row r="5" spans="1:9">
      <c r="A5" s="112">
        <v>3</v>
      </c>
      <c r="I5" s="113"/>
    </row>
    <row r="6" spans="1:9" ht="15" thickBot="1">
      <c r="A6" s="112">
        <v>4</v>
      </c>
      <c r="I6" s="113"/>
    </row>
    <row r="7" spans="1:9" s="2" customFormat="1" ht="15" thickBot="1">
      <c r="A7" s="114" t="s">
        <v>550</v>
      </c>
      <c r="B7" s="115"/>
      <c r="C7" s="115"/>
      <c r="D7" s="115"/>
      <c r="E7" s="115"/>
      <c r="F7" s="115"/>
      <c r="G7" s="115"/>
      <c r="H7" s="115"/>
      <c r="I7" s="116">
        <f>SUM(I3:I6)</f>
        <v>3.0872279999999996</v>
      </c>
    </row>
    <row r="10" spans="1:9" ht="15" thickBot="1"/>
    <row r="11" spans="1:9" ht="18.600000000000001" thickBot="1">
      <c r="A11" s="183" t="s">
        <v>972</v>
      </c>
      <c r="B11" s="184"/>
      <c r="C11" s="184"/>
      <c r="D11" s="184"/>
      <c r="E11" s="184"/>
      <c r="F11" s="184"/>
      <c r="G11" s="184"/>
      <c r="H11" s="184"/>
      <c r="I11" s="185"/>
    </row>
    <row r="12" spans="1:9">
      <c r="A12" s="108" t="s">
        <v>963</v>
      </c>
      <c r="B12" s="2" t="s">
        <v>964</v>
      </c>
      <c r="C12" s="2" t="s">
        <v>965</v>
      </c>
      <c r="D12" s="2" t="s">
        <v>966</v>
      </c>
      <c r="E12" s="2" t="s">
        <v>967</v>
      </c>
      <c r="F12" s="2" t="s">
        <v>968</v>
      </c>
      <c r="G12" s="2" t="s">
        <v>969</v>
      </c>
      <c r="H12" s="2" t="s">
        <v>970</v>
      </c>
      <c r="I12" s="109" t="s">
        <v>971</v>
      </c>
    </row>
    <row r="13" spans="1:9">
      <c r="A13" s="112">
        <v>1</v>
      </c>
      <c r="B13" s="22" t="b">
        <f>IF('Tool 12 - Freight Trans'!C4="Leakage emissions (LEtr,m)",'Tool 12 - Freight Trans'!C9)</f>
        <v>0</v>
      </c>
      <c r="C13" s="22" t="b">
        <f>IF('Tool 12 - Freight Trans'!C4="Leakage emissions (LEtr,m)",'Tool 12 - Freight Trans'!C11)</f>
        <v>0</v>
      </c>
      <c r="D13" s="22" t="b">
        <f>IF('Tool 12 - Freight Trans'!C4="Leakage emissions (LEtr,m)",'Tool 12 - Freight Trans'!C7)</f>
        <v>0</v>
      </c>
      <c r="E13" s="22" t="b">
        <f>IF('Tool 12 - Freight Trans'!C4="Leakage emissions (LEtr,m)",'Tool 12 - Freight Trans'!C8)</f>
        <v>0</v>
      </c>
      <c r="F13" s="22" t="b">
        <f>IF(AND('Tool 12 - Freight Trans'!C4="Leakage emissions (LEtr,m)",'Tool 12 - Freight Trans'!C12="Option B: Using conservative default values"),'Tool 12 - Freight Trans'!C19)</f>
        <v>0</v>
      </c>
      <c r="G13" s="22" t="b">
        <f>IF('Tool 12 - Freight Trans'!C4="Leakage emissions (LEtr,m)",'Tool 12 - Freight Trans'!C13)</f>
        <v>0</v>
      </c>
      <c r="H13" s="22" t="b">
        <f>IF('Tool 12 - Freight Trans'!C4="Leakage emissions (LEtr,m)",'Tool 12 - Freight Trans'!C14)</f>
        <v>0</v>
      </c>
      <c r="I13" s="111" t="b">
        <f>IF(AND('Tool 12 - Freight Trans'!C4="Leakage emissions (LEtr,m)",'Tool 12 - Freight Trans'!C12="Option B: Using conservative default values"),'Tool 12 - Freight Trans'!C21,IF(AND('Tool 12 - Freight Trans'!C4="Leakage emissions (LEtr,m)",'Tool 12 - Freight Trans'!C12="Option A: Monitoring fuel consumption"),'Tool 12 - Freight Trans'!C17))</f>
        <v>0</v>
      </c>
    </row>
    <row r="14" spans="1:9">
      <c r="A14" s="112">
        <v>2</v>
      </c>
      <c r="I14" s="113"/>
    </row>
    <row r="15" spans="1:9">
      <c r="A15" s="112">
        <v>3</v>
      </c>
      <c r="I15" s="113"/>
    </row>
    <row r="16" spans="1:9">
      <c r="A16" s="112">
        <v>4</v>
      </c>
      <c r="I16" s="113"/>
    </row>
    <row r="17" spans="1:9" ht="15" thickBot="1">
      <c r="A17" s="117" t="s">
        <v>550</v>
      </c>
      <c r="B17" s="118"/>
      <c r="C17" s="118"/>
      <c r="D17" s="118"/>
      <c r="E17" s="118"/>
      <c r="F17" s="118"/>
      <c r="G17" s="118"/>
      <c r="H17" s="118"/>
      <c r="I17" s="119">
        <f>SUM(I13:I16)</f>
        <v>0</v>
      </c>
    </row>
  </sheetData>
  <mergeCells count="2">
    <mergeCell ref="A1:I1"/>
    <mergeCell ref="A11:I1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B742-54DE-4F04-8427-F8570FBAE873}">
  <dimension ref="A1:E3"/>
  <sheetViews>
    <sheetView workbookViewId="0">
      <selection activeCell="E33" sqref="E33"/>
    </sheetView>
  </sheetViews>
  <sheetFormatPr defaultColWidth="8.7109375" defaultRowHeight="14.45"/>
  <cols>
    <col min="1" max="1" width="38.28515625" customWidth="1"/>
    <col min="2" max="2" width="13.7109375" customWidth="1"/>
    <col min="3" max="3" width="23.140625" customWidth="1"/>
    <col min="4" max="4" width="18.140625" customWidth="1"/>
  </cols>
  <sheetData>
    <row r="1" spans="1:5" s="2" customFormat="1">
      <c r="A1" s="2" t="s">
        <v>973</v>
      </c>
      <c r="B1" s="2" t="s">
        <v>920</v>
      </c>
      <c r="C1" s="2" t="s">
        <v>974</v>
      </c>
      <c r="D1" s="2" t="s">
        <v>970</v>
      </c>
      <c r="E1" s="2" t="s">
        <v>975</v>
      </c>
    </row>
    <row r="2" spans="1:5">
      <c r="A2" t="s">
        <v>949</v>
      </c>
      <c r="B2" t="s">
        <v>14</v>
      </c>
      <c r="C2" t="s">
        <v>976</v>
      </c>
      <c r="D2" t="s">
        <v>977</v>
      </c>
      <c r="E2" t="s">
        <v>927</v>
      </c>
    </row>
    <row r="3" spans="1:5">
      <c r="A3" t="s">
        <v>944</v>
      </c>
      <c r="B3" t="s">
        <v>905</v>
      </c>
      <c r="C3" t="s">
        <v>946</v>
      </c>
      <c r="D3" t="s">
        <v>948</v>
      </c>
      <c r="E3" t="s">
        <v>978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16D7-8B31-4663-B5CE-8EDF21C09FA3}">
  <dimension ref="A1:I65"/>
  <sheetViews>
    <sheetView topLeftCell="C11" workbookViewId="0">
      <selection activeCell="G11" sqref="G11"/>
    </sheetView>
  </sheetViews>
  <sheetFormatPr defaultRowHeight="14.4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6">
      <c r="A1" s="29" t="s">
        <v>359</v>
      </c>
      <c r="B1" s="29" t="s">
        <v>9</v>
      </c>
      <c r="C1" s="30" t="s">
        <v>360</v>
      </c>
      <c r="D1" s="30" t="s">
        <v>7</v>
      </c>
      <c r="E1" s="29" t="s">
        <v>1</v>
      </c>
      <c r="F1" s="31" t="s">
        <v>361</v>
      </c>
      <c r="G1" s="31" t="s">
        <v>362</v>
      </c>
      <c r="H1" s="30" t="s">
        <v>363</v>
      </c>
      <c r="I1" s="99"/>
    </row>
    <row r="2" spans="1:9" ht="21">
      <c r="A2" s="177" t="s">
        <v>979</v>
      </c>
      <c r="B2" s="177"/>
      <c r="C2" s="177"/>
      <c r="D2" s="177"/>
      <c r="E2" s="177"/>
      <c r="F2" s="177"/>
      <c r="G2" s="177"/>
      <c r="H2" s="177"/>
      <c r="I2" s="99"/>
    </row>
    <row r="3" spans="1:9" ht="18">
      <c r="A3" s="125" t="s">
        <v>16</v>
      </c>
      <c r="B3" s="126"/>
      <c r="C3" s="127" t="s">
        <v>16</v>
      </c>
      <c r="D3" s="127" t="s">
        <v>980</v>
      </c>
      <c r="E3" s="125" t="s">
        <v>981</v>
      </c>
      <c r="F3" s="22" t="s">
        <v>982</v>
      </c>
      <c r="G3" s="128">
        <f>G16+(IF(AND(G18="Option 1"),G20,IF(AND(G18="Option 2"),G22)))+G27+G43+G49</f>
        <v>95.130333333333326</v>
      </c>
      <c r="H3" s="129"/>
      <c r="I3" s="99"/>
    </row>
    <row r="4" spans="1:9" ht="21">
      <c r="A4" s="177" t="s">
        <v>983</v>
      </c>
      <c r="B4" s="177"/>
      <c r="C4" s="177"/>
      <c r="D4" s="177"/>
      <c r="E4" s="177"/>
      <c r="F4" s="177"/>
      <c r="G4" s="177"/>
      <c r="H4" s="177"/>
      <c r="I4" s="59"/>
    </row>
    <row r="5" spans="1:9" ht="57.6">
      <c r="A5" t="s">
        <v>14</v>
      </c>
      <c r="C5" t="s">
        <v>14</v>
      </c>
      <c r="D5" t="s">
        <v>667</v>
      </c>
      <c r="E5" t="s">
        <v>361</v>
      </c>
      <c r="F5" s="1" t="s">
        <v>984</v>
      </c>
      <c r="G5" t="s">
        <v>985</v>
      </c>
    </row>
    <row r="6" spans="1:9" ht="21">
      <c r="A6" s="177" t="s">
        <v>986</v>
      </c>
      <c r="B6" s="177"/>
      <c r="C6" s="177"/>
      <c r="D6" s="177"/>
      <c r="E6" s="177"/>
      <c r="F6" s="177"/>
      <c r="G6" s="177"/>
      <c r="H6" s="177"/>
      <c r="I6" s="59"/>
    </row>
    <row r="7" spans="1:9">
      <c r="A7" t="s">
        <v>14</v>
      </c>
      <c r="C7" t="s">
        <v>14</v>
      </c>
      <c r="D7" t="s">
        <v>90</v>
      </c>
      <c r="E7" t="s">
        <v>987</v>
      </c>
      <c r="F7" t="s">
        <v>988</v>
      </c>
      <c r="G7">
        <v>1</v>
      </c>
    </row>
    <row r="8" spans="1:9" ht="21">
      <c r="A8" s="177" t="s">
        <v>989</v>
      </c>
      <c r="B8" s="177"/>
      <c r="C8" s="177"/>
      <c r="D8" s="177"/>
      <c r="E8" s="177"/>
      <c r="F8" s="177"/>
      <c r="G8" s="177"/>
      <c r="H8" s="177"/>
      <c r="I8" s="59"/>
    </row>
    <row r="9" spans="1:9">
      <c r="A9" s="125" t="s">
        <v>16</v>
      </c>
      <c r="B9" s="22"/>
      <c r="C9" s="22" t="s">
        <v>16</v>
      </c>
      <c r="D9" s="127" t="s">
        <v>980</v>
      </c>
      <c r="E9" s="22" t="s">
        <v>987</v>
      </c>
      <c r="F9" s="22" t="s">
        <v>988</v>
      </c>
      <c r="G9" s="22">
        <f>SUM(G11,G13)</f>
        <v>2</v>
      </c>
      <c r="H9" s="22"/>
    </row>
    <row r="10" spans="1:9" ht="29.25" customHeight="1">
      <c r="A10" s="188" t="s">
        <v>990</v>
      </c>
      <c r="B10" s="188"/>
      <c r="C10" s="188"/>
      <c r="D10" s="188"/>
      <c r="E10" s="188"/>
      <c r="F10" s="188"/>
      <c r="G10" s="188"/>
      <c r="H10" s="188"/>
      <c r="I10" s="59"/>
    </row>
    <row r="11" spans="1:9" ht="29.25" customHeight="1">
      <c r="A11" t="s">
        <v>14</v>
      </c>
      <c r="C11" t="s">
        <v>14</v>
      </c>
      <c r="D11" t="s">
        <v>90</v>
      </c>
      <c r="E11" t="s">
        <v>991</v>
      </c>
      <c r="F11" s="1" t="s">
        <v>992</v>
      </c>
      <c r="G11">
        <v>1</v>
      </c>
    </row>
    <row r="12" spans="1:9" ht="29.25" customHeight="1">
      <c r="A12" s="188" t="s">
        <v>990</v>
      </c>
      <c r="B12" s="188"/>
      <c r="C12" s="188"/>
      <c r="D12" s="188"/>
      <c r="E12" s="188"/>
      <c r="F12" s="188"/>
      <c r="G12" s="188"/>
      <c r="H12" s="188"/>
      <c r="I12" s="59"/>
    </row>
    <row r="13" spans="1:9" ht="29.25" customHeight="1">
      <c r="A13" t="s">
        <v>14</v>
      </c>
      <c r="C13" t="s">
        <v>14</v>
      </c>
      <c r="D13" t="s">
        <v>90</v>
      </c>
      <c r="E13" t="s">
        <v>991</v>
      </c>
      <c r="F13" s="1" t="s">
        <v>992</v>
      </c>
      <c r="G13">
        <v>1</v>
      </c>
    </row>
    <row r="14" spans="1:9" ht="21">
      <c r="A14" s="177" t="s">
        <v>993</v>
      </c>
      <c r="B14" s="177"/>
      <c r="C14" s="177"/>
      <c r="D14" s="177"/>
      <c r="E14" s="177"/>
      <c r="F14" s="177"/>
      <c r="G14" s="177"/>
      <c r="H14" s="177"/>
    </row>
    <row r="15" spans="1:9" ht="72">
      <c r="A15" t="s">
        <v>14</v>
      </c>
      <c r="C15" t="s">
        <v>14</v>
      </c>
      <c r="D15" t="s">
        <v>667</v>
      </c>
      <c r="E15" t="s">
        <v>361</v>
      </c>
      <c r="F15" s="1" t="s">
        <v>994</v>
      </c>
      <c r="G15" t="s">
        <v>14</v>
      </c>
    </row>
    <row r="16" spans="1:9" ht="28.9">
      <c r="A16" s="125" t="s">
        <v>16</v>
      </c>
      <c r="B16" s="22"/>
      <c r="C16" s="22" t="s">
        <v>16</v>
      </c>
      <c r="D16" s="127" t="s">
        <v>980</v>
      </c>
      <c r="E16" s="22" t="s">
        <v>995</v>
      </c>
      <c r="F16" s="5" t="s">
        <v>996</v>
      </c>
      <c r="G16" s="22">
        <f>'Tool 05.1'!G6</f>
        <v>0.73499999999999999</v>
      </c>
      <c r="H16" s="22"/>
    </row>
    <row r="17" spans="1:8" ht="21">
      <c r="A17" s="177" t="s">
        <v>997</v>
      </c>
      <c r="B17" s="177"/>
      <c r="C17" s="177"/>
      <c r="D17" s="177"/>
      <c r="E17" s="177"/>
      <c r="F17" s="177"/>
      <c r="G17" s="177"/>
      <c r="H17" s="177"/>
    </row>
    <row r="18" spans="1:8" ht="57.6">
      <c r="A18" t="s">
        <v>14</v>
      </c>
      <c r="C18" t="s">
        <v>14</v>
      </c>
      <c r="D18" t="s">
        <v>667</v>
      </c>
      <c r="E18" t="s">
        <v>361</v>
      </c>
      <c r="F18" s="1" t="s">
        <v>998</v>
      </c>
      <c r="G18" t="s">
        <v>985</v>
      </c>
    </row>
    <row r="19" spans="1:8" ht="21">
      <c r="A19" s="177" t="s">
        <v>999</v>
      </c>
      <c r="B19" s="177"/>
      <c r="C19" s="177"/>
      <c r="D19" s="177"/>
      <c r="E19" s="177"/>
      <c r="F19" s="177"/>
      <c r="G19" s="177"/>
      <c r="H19" s="177"/>
    </row>
    <row r="20" spans="1:8" ht="28.9">
      <c r="A20" s="125" t="s">
        <v>16</v>
      </c>
      <c r="B20" s="22"/>
      <c r="C20" s="22" t="s">
        <v>16</v>
      </c>
      <c r="D20" s="127" t="s">
        <v>980</v>
      </c>
      <c r="E20" s="22" t="s">
        <v>1000</v>
      </c>
      <c r="F20" s="5" t="s">
        <v>1001</v>
      </c>
      <c r="G20" s="22">
        <f>'(Revised) Tool 03'!G3</f>
        <v>73.333333333333329</v>
      </c>
      <c r="H20" s="22"/>
    </row>
    <row r="21" spans="1:8" ht="21">
      <c r="A21" s="177" t="s">
        <v>1002</v>
      </c>
      <c r="B21" s="177"/>
      <c r="C21" s="177"/>
      <c r="D21" s="177"/>
      <c r="E21" s="177"/>
      <c r="F21" s="177"/>
      <c r="G21" s="177"/>
      <c r="H21" s="177"/>
    </row>
    <row r="22" spans="1:8" ht="28.9">
      <c r="A22" s="125" t="s">
        <v>16</v>
      </c>
      <c r="B22" s="22"/>
      <c r="C22" s="22" t="s">
        <v>16</v>
      </c>
      <c r="D22" s="127" t="s">
        <v>980</v>
      </c>
      <c r="E22" s="22" t="s">
        <v>1000</v>
      </c>
      <c r="F22" s="5" t="s">
        <v>1001</v>
      </c>
      <c r="G22" s="22">
        <f>G23*G24</f>
        <v>2.07E-2</v>
      </c>
      <c r="H22" s="22"/>
    </row>
    <row r="23" spans="1:8">
      <c r="A23" t="s">
        <v>14</v>
      </c>
      <c r="C23" t="s">
        <v>14</v>
      </c>
      <c r="D23" t="s">
        <v>90</v>
      </c>
      <c r="E23" t="s">
        <v>987</v>
      </c>
      <c r="F23" t="s">
        <v>1003</v>
      </c>
      <c r="G23">
        <v>1</v>
      </c>
    </row>
    <row r="24" spans="1:8" ht="28.9">
      <c r="A24" s="125" t="s">
        <v>16</v>
      </c>
      <c r="B24" s="22"/>
      <c r="C24" s="22" t="s">
        <v>16</v>
      </c>
      <c r="D24" s="127" t="s">
        <v>980</v>
      </c>
      <c r="E24" s="22" t="s">
        <v>1004</v>
      </c>
      <c r="F24" s="5" t="s">
        <v>1005</v>
      </c>
      <c r="G24" s="22">
        <f>0.0207</f>
        <v>2.07E-2</v>
      </c>
      <c r="H24" s="22"/>
    </row>
    <row r="25" spans="1:8" ht="21">
      <c r="A25" s="177" t="s">
        <v>1006</v>
      </c>
      <c r="B25" s="177"/>
      <c r="C25" s="177"/>
      <c r="D25" s="177"/>
      <c r="E25" s="177"/>
      <c r="F25" s="177"/>
      <c r="G25" s="177"/>
      <c r="H25" s="177"/>
    </row>
    <row r="26" spans="1:8" ht="43.15">
      <c r="A26" t="s">
        <v>14</v>
      </c>
      <c r="C26" t="s">
        <v>14</v>
      </c>
      <c r="D26" t="s">
        <v>667</v>
      </c>
      <c r="E26" t="s">
        <v>361</v>
      </c>
      <c r="F26" s="1" t="s">
        <v>1007</v>
      </c>
      <c r="G26" s="130" t="s">
        <v>985</v>
      </c>
    </row>
    <row r="27" spans="1:8">
      <c r="A27" s="125" t="s">
        <v>16</v>
      </c>
      <c r="B27" s="22"/>
      <c r="C27" s="22" t="s">
        <v>16</v>
      </c>
      <c r="D27" s="127" t="s">
        <v>980</v>
      </c>
      <c r="E27" s="22" t="s">
        <v>1008</v>
      </c>
      <c r="F27" s="5" t="s">
        <v>1009</v>
      </c>
      <c r="G27" s="131">
        <f>(IF(AND(G5="Option 1"),G7,IF(AND(G5="Option 2"),G9)))*G28*G55</f>
        <v>21</v>
      </c>
      <c r="H27" s="22"/>
    </row>
    <row r="28" spans="1:8" ht="28.9">
      <c r="A28" s="125" t="s">
        <v>16</v>
      </c>
      <c r="B28" s="22"/>
      <c r="C28" s="22" t="s">
        <v>16</v>
      </c>
      <c r="D28" s="127" t="s">
        <v>980</v>
      </c>
      <c r="E28" s="22" t="s">
        <v>1010</v>
      </c>
      <c r="F28" s="5" t="s">
        <v>1011</v>
      </c>
      <c r="G28" s="131">
        <f>IF(AND(G26="Option 1"),(SUM((G33/G35),(G38/G40))/G30),IF(AND(G26="Option 2"),0.002))</f>
        <v>1</v>
      </c>
      <c r="H28" s="22"/>
    </row>
    <row r="29" spans="1:8" ht="21">
      <c r="A29" s="177" t="s">
        <v>1012</v>
      </c>
      <c r="B29" s="177"/>
      <c r="C29" s="177"/>
      <c r="D29" s="177"/>
      <c r="E29" s="177"/>
      <c r="F29" s="177"/>
      <c r="G29" s="177"/>
      <c r="H29" s="177"/>
    </row>
    <row r="30" spans="1:8" ht="28.9">
      <c r="A30" t="s">
        <v>14</v>
      </c>
      <c r="C30" t="s">
        <v>14</v>
      </c>
      <c r="D30" t="s">
        <v>90</v>
      </c>
      <c r="E30" t="s">
        <v>1013</v>
      </c>
      <c r="F30" s="1" t="s">
        <v>1014</v>
      </c>
      <c r="G30">
        <v>2</v>
      </c>
    </row>
    <row r="31" spans="1:8" ht="21">
      <c r="A31" s="188" t="s">
        <v>1015</v>
      </c>
      <c r="B31" s="188"/>
      <c r="C31" s="188"/>
      <c r="D31" s="188"/>
      <c r="E31" s="188"/>
      <c r="F31" s="188"/>
      <c r="G31" s="188"/>
      <c r="H31" s="188"/>
    </row>
    <row r="32" spans="1:8">
      <c r="A32" t="s">
        <v>14</v>
      </c>
      <c r="C32" t="s">
        <v>14</v>
      </c>
      <c r="E32" t="s">
        <v>1016</v>
      </c>
      <c r="F32" t="s">
        <v>1017</v>
      </c>
      <c r="G32" s="130" t="s">
        <v>1018</v>
      </c>
    </row>
    <row r="33" spans="1:8">
      <c r="A33" t="s">
        <v>14</v>
      </c>
      <c r="C33" t="s">
        <v>14</v>
      </c>
      <c r="D33" t="s">
        <v>90</v>
      </c>
      <c r="E33" t="s">
        <v>1019</v>
      </c>
      <c r="F33" t="s">
        <v>1020</v>
      </c>
      <c r="G33">
        <v>1</v>
      </c>
    </row>
    <row r="34" spans="1:8">
      <c r="A34" t="s">
        <v>14</v>
      </c>
      <c r="C34" t="s">
        <v>14</v>
      </c>
      <c r="D34" t="s">
        <v>90</v>
      </c>
      <c r="E34" t="s">
        <v>1021</v>
      </c>
      <c r="F34" s="1" t="s">
        <v>1022</v>
      </c>
      <c r="G34">
        <v>1</v>
      </c>
    </row>
    <row r="35" spans="1:8">
      <c r="A35" t="s">
        <v>14</v>
      </c>
      <c r="C35" t="s">
        <v>14</v>
      </c>
      <c r="D35" t="s">
        <v>90</v>
      </c>
      <c r="E35" t="s">
        <v>1023</v>
      </c>
      <c r="F35" t="s">
        <v>1024</v>
      </c>
      <c r="G35">
        <v>1</v>
      </c>
    </row>
    <row r="36" spans="1:8" ht="21">
      <c r="A36" s="188" t="s">
        <v>1015</v>
      </c>
      <c r="B36" s="188"/>
      <c r="C36" s="188"/>
      <c r="D36" s="188"/>
      <c r="E36" s="188"/>
      <c r="F36" s="188"/>
      <c r="G36" s="188"/>
      <c r="H36" s="188"/>
    </row>
    <row r="37" spans="1:8">
      <c r="A37" t="s">
        <v>14</v>
      </c>
      <c r="C37" t="s">
        <v>14</v>
      </c>
      <c r="E37" t="s">
        <v>1025</v>
      </c>
      <c r="F37" t="s">
        <v>1017</v>
      </c>
      <c r="G37" s="130" t="s">
        <v>1026</v>
      </c>
    </row>
    <row r="38" spans="1:8">
      <c r="A38" t="s">
        <v>14</v>
      </c>
      <c r="C38" t="s">
        <v>14</v>
      </c>
      <c r="D38" t="s">
        <v>90</v>
      </c>
      <c r="E38" t="s">
        <v>1019</v>
      </c>
      <c r="F38" t="s">
        <v>1020</v>
      </c>
      <c r="G38">
        <v>1</v>
      </c>
    </row>
    <row r="39" spans="1:8">
      <c r="A39" t="s">
        <v>14</v>
      </c>
      <c r="C39" t="s">
        <v>14</v>
      </c>
      <c r="D39" t="s">
        <v>90</v>
      </c>
      <c r="E39" t="s">
        <v>1021</v>
      </c>
      <c r="F39" s="1" t="s">
        <v>1022</v>
      </c>
      <c r="G39">
        <v>1</v>
      </c>
    </row>
    <row r="40" spans="1:8">
      <c r="A40" t="s">
        <v>14</v>
      </c>
      <c r="C40" t="s">
        <v>14</v>
      </c>
      <c r="D40" t="s">
        <v>90</v>
      </c>
      <c r="E40" t="s">
        <v>1023</v>
      </c>
      <c r="F40" t="s">
        <v>1024</v>
      </c>
      <c r="G40">
        <v>1</v>
      </c>
    </row>
    <row r="41" spans="1:8" ht="21">
      <c r="A41" s="177" t="s">
        <v>1027</v>
      </c>
      <c r="B41" s="177"/>
      <c r="C41" s="177"/>
      <c r="D41" s="177"/>
      <c r="E41" s="177"/>
      <c r="F41" s="177"/>
      <c r="G41" s="177"/>
      <c r="H41" s="177"/>
    </row>
    <row r="42" spans="1:8" ht="43.15">
      <c r="A42" t="s">
        <v>14</v>
      </c>
      <c r="C42" t="s">
        <v>14</v>
      </c>
      <c r="D42" t="s">
        <v>667</v>
      </c>
      <c r="E42" t="s">
        <v>361</v>
      </c>
      <c r="F42" s="1" t="s">
        <v>1028</v>
      </c>
      <c r="G42" s="130" t="s">
        <v>1029</v>
      </c>
    </row>
    <row r="43" spans="1:8">
      <c r="A43" s="125" t="s">
        <v>16</v>
      </c>
      <c r="B43" s="22"/>
      <c r="C43" s="22" t="s">
        <v>16</v>
      </c>
      <c r="D43" s="127" t="s">
        <v>980</v>
      </c>
      <c r="E43" s="22" t="s">
        <v>1030</v>
      </c>
      <c r="F43" s="22" t="s">
        <v>1031</v>
      </c>
      <c r="G43" s="131">
        <f>(IF(AND(G5="Option 1"),G7,IF(AND(G5="Option 2"),G9)))*G44*G45</f>
        <v>6.2E-2</v>
      </c>
      <c r="H43" s="22"/>
    </row>
    <row r="44" spans="1:8" ht="28.9">
      <c r="A44" s="125" t="s">
        <v>16</v>
      </c>
      <c r="B44" s="22"/>
      <c r="C44" s="22" t="s">
        <v>16</v>
      </c>
      <c r="D44" s="127" t="s">
        <v>980</v>
      </c>
      <c r="E44" s="22" t="s">
        <v>1032</v>
      </c>
      <c r="F44" s="5" t="s">
        <v>1033</v>
      </c>
      <c r="G44" s="131">
        <f>IF(AND(G42="Option 1"),(SUM((G34/G35),(G39/G40))/G30),IF(AND(G42="Option 2"),0.0002))</f>
        <v>2.0000000000000001E-4</v>
      </c>
      <c r="H44" s="22"/>
    </row>
    <row r="45" spans="1:8">
      <c r="A45" s="125" t="s">
        <v>16</v>
      </c>
      <c r="B45" s="22"/>
      <c r="C45" s="22" t="s">
        <v>16</v>
      </c>
      <c r="D45" s="127" t="s">
        <v>980</v>
      </c>
      <c r="E45" s="22" t="s">
        <v>1034</v>
      </c>
      <c r="F45" s="22" t="s">
        <v>1035</v>
      </c>
      <c r="G45" s="131">
        <v>310</v>
      </c>
      <c r="H45" s="22"/>
    </row>
    <row r="46" spans="1:8" ht="21" customHeight="1">
      <c r="A46" s="177" t="s">
        <v>1036</v>
      </c>
      <c r="B46" s="177"/>
      <c r="C46" s="177"/>
      <c r="D46" s="177"/>
      <c r="E46" s="177"/>
      <c r="F46" s="177"/>
      <c r="G46" s="177"/>
      <c r="H46" s="177"/>
    </row>
    <row r="47" spans="1:8">
      <c r="A47" t="s">
        <v>14</v>
      </c>
      <c r="C47" t="s">
        <v>14</v>
      </c>
      <c r="D47" t="s">
        <v>667</v>
      </c>
      <c r="E47" t="s">
        <v>361</v>
      </c>
      <c r="F47" t="s">
        <v>1037</v>
      </c>
      <c r="G47" s="130" t="s">
        <v>14</v>
      </c>
    </row>
    <row r="48" spans="1:8" ht="144">
      <c r="A48" t="s">
        <v>14</v>
      </c>
      <c r="C48" t="s">
        <v>14</v>
      </c>
      <c r="D48" t="s">
        <v>667</v>
      </c>
      <c r="E48" t="s">
        <v>361</v>
      </c>
      <c r="F48" s="1" t="s">
        <v>1038</v>
      </c>
      <c r="G48" s="130" t="s">
        <v>985</v>
      </c>
    </row>
    <row r="49" spans="1:8" ht="28.9">
      <c r="A49" s="125" t="s">
        <v>16</v>
      </c>
      <c r="B49" s="22"/>
      <c r="C49" s="22" t="s">
        <v>16</v>
      </c>
      <c r="D49" s="127" t="s">
        <v>980</v>
      </c>
      <c r="E49" s="22" t="s">
        <v>1039</v>
      </c>
      <c r="F49" s="5" t="s">
        <v>1040</v>
      </c>
      <c r="G49" s="131">
        <f>IF(AND(G47="Yes"),0,IF(AND(G47="No"),G50*G51*G53*G54*G55))</f>
        <v>0</v>
      </c>
      <c r="H49" s="22"/>
    </row>
    <row r="50" spans="1:8" ht="28.9">
      <c r="A50" s="125" t="s">
        <v>16</v>
      </c>
      <c r="B50" s="22"/>
      <c r="C50" s="22" t="s">
        <v>16</v>
      </c>
      <c r="D50" s="127" t="s">
        <v>980</v>
      </c>
      <c r="E50" s="22" t="s">
        <v>1041</v>
      </c>
      <c r="F50" s="5" t="s">
        <v>1042</v>
      </c>
      <c r="G50" s="22">
        <f>IF(AND(G48="Option 1"),G57*G58,IF(AND(G48="Option 2"),G60*G61*G62))</f>
        <v>1</v>
      </c>
      <c r="H50" s="22"/>
    </row>
    <row r="51" spans="1:8">
      <c r="A51" s="125" t="s">
        <v>16</v>
      </c>
      <c r="B51" s="22"/>
      <c r="C51" s="22" t="s">
        <v>16</v>
      </c>
      <c r="D51" s="127" t="s">
        <v>980</v>
      </c>
      <c r="E51" s="22" t="s">
        <v>1043</v>
      </c>
      <c r="F51" s="22" t="s">
        <v>1044</v>
      </c>
      <c r="G51" s="22">
        <f>0.25</f>
        <v>0.25</v>
      </c>
      <c r="H51" s="22"/>
    </row>
    <row r="52" spans="1:8">
      <c r="A52" t="s">
        <v>14</v>
      </c>
      <c r="C52" t="s">
        <v>14</v>
      </c>
      <c r="D52" t="s">
        <v>667</v>
      </c>
      <c r="E52" t="s">
        <v>28</v>
      </c>
      <c r="F52" s="1" t="s">
        <v>1045</v>
      </c>
      <c r="G52" s="1" t="s">
        <v>1046</v>
      </c>
    </row>
    <row r="53" spans="1:8" ht="28.9">
      <c r="A53" s="125" t="s">
        <v>16</v>
      </c>
      <c r="B53" s="22"/>
      <c r="C53" s="22" t="s">
        <v>16</v>
      </c>
      <c r="D53" s="127" t="s">
        <v>980</v>
      </c>
      <c r="E53" s="22" t="s">
        <v>1047</v>
      </c>
      <c r="F53" s="5" t="s">
        <v>1048</v>
      </c>
      <c r="G53" s="22">
        <f>IF(G52="","",VLOOKUP(G52,'Tool 13.1 MCF Defaults'!B3:C10,2,FALSE))</f>
        <v>0.2</v>
      </c>
      <c r="H53" s="22"/>
    </row>
    <row r="54" spans="1:8" ht="28.9">
      <c r="A54" s="125" t="s">
        <v>16</v>
      </c>
      <c r="B54" s="22"/>
      <c r="C54" s="22" t="s">
        <v>16</v>
      </c>
      <c r="D54" s="127" t="s">
        <v>980</v>
      </c>
      <c r="E54" s="22"/>
      <c r="F54" s="5" t="s">
        <v>1049</v>
      </c>
      <c r="G54" s="22">
        <f>1.12</f>
        <v>1.1200000000000001</v>
      </c>
      <c r="H54" s="22"/>
    </row>
    <row r="55" spans="1:8">
      <c r="A55" s="125" t="s">
        <v>16</v>
      </c>
      <c r="B55" s="22"/>
      <c r="C55" s="22" t="s">
        <v>16</v>
      </c>
      <c r="D55" s="127" t="s">
        <v>980</v>
      </c>
      <c r="E55" s="22" t="s">
        <v>790</v>
      </c>
      <c r="F55" s="22" t="s">
        <v>1050</v>
      </c>
      <c r="G55" s="22">
        <f>21</f>
        <v>21</v>
      </c>
      <c r="H55" s="22"/>
    </row>
    <row r="56" spans="1:8" ht="21">
      <c r="A56" s="177" t="s">
        <v>1051</v>
      </c>
      <c r="B56" s="177"/>
      <c r="C56" s="177"/>
      <c r="D56" s="177"/>
      <c r="E56" s="177"/>
      <c r="F56" s="177"/>
      <c r="G56" s="177"/>
      <c r="H56" s="177"/>
    </row>
    <row r="57" spans="1:8" ht="28.9">
      <c r="A57" t="s">
        <v>14</v>
      </c>
      <c r="C57" t="s">
        <v>14</v>
      </c>
      <c r="D57" s="132" t="s">
        <v>90</v>
      </c>
      <c r="E57" t="s">
        <v>1052</v>
      </c>
      <c r="F57" s="1" t="s">
        <v>1053</v>
      </c>
      <c r="G57">
        <v>1</v>
      </c>
    </row>
    <row r="58" spans="1:8" ht="28.9">
      <c r="A58" t="s">
        <v>14</v>
      </c>
      <c r="C58" t="s">
        <v>14</v>
      </c>
      <c r="D58" s="132" t="s">
        <v>90</v>
      </c>
      <c r="E58" t="s">
        <v>1054</v>
      </c>
      <c r="F58" s="1" t="s">
        <v>1055</v>
      </c>
      <c r="G58">
        <v>1</v>
      </c>
    </row>
    <row r="59" spans="1:8" ht="21">
      <c r="A59" s="177" t="s">
        <v>1056</v>
      </c>
      <c r="B59" s="177"/>
      <c r="C59" s="177"/>
      <c r="D59" s="177"/>
      <c r="E59" s="177"/>
      <c r="F59" s="177"/>
      <c r="G59" s="177"/>
      <c r="H59" s="177"/>
    </row>
    <row r="60" spans="1:8">
      <c r="A60" t="s">
        <v>14</v>
      </c>
      <c r="C60" t="s">
        <v>14</v>
      </c>
      <c r="D60" s="132" t="s">
        <v>90</v>
      </c>
      <c r="E60" t="s">
        <v>1057</v>
      </c>
      <c r="F60" t="s">
        <v>1058</v>
      </c>
      <c r="G60">
        <v>1</v>
      </c>
    </row>
    <row r="61" spans="1:8">
      <c r="A61" t="s">
        <v>14</v>
      </c>
      <c r="C61" t="s">
        <v>14</v>
      </c>
      <c r="D61" s="132" t="s">
        <v>90</v>
      </c>
      <c r="E61" t="s">
        <v>1059</v>
      </c>
      <c r="F61" t="s">
        <v>1060</v>
      </c>
      <c r="G61">
        <v>1</v>
      </c>
    </row>
    <row r="62" spans="1:8" ht="28.9">
      <c r="A62" s="125" t="s">
        <v>16</v>
      </c>
      <c r="B62" s="22"/>
      <c r="C62" s="22" t="s">
        <v>16</v>
      </c>
      <c r="D62" s="127" t="s">
        <v>980</v>
      </c>
      <c r="E62" s="22" t="s">
        <v>1061</v>
      </c>
      <c r="F62" s="5" t="s">
        <v>1062</v>
      </c>
      <c r="G62" s="22">
        <f>0.02</f>
        <v>0.02</v>
      </c>
      <c r="H62" s="22"/>
    </row>
    <row r="63" spans="1:8" ht="21">
      <c r="A63" s="177" t="s">
        <v>1063</v>
      </c>
      <c r="B63" s="177"/>
      <c r="C63" s="177"/>
      <c r="D63" s="177"/>
      <c r="E63" s="177"/>
      <c r="F63" s="177"/>
      <c r="G63" s="177"/>
      <c r="H63" s="177"/>
    </row>
    <row r="64" spans="1:8" ht="43.15">
      <c r="A64" t="s">
        <v>14</v>
      </c>
      <c r="C64" t="s">
        <v>14</v>
      </c>
      <c r="D64" t="s">
        <v>667</v>
      </c>
      <c r="E64" t="s">
        <v>361</v>
      </c>
      <c r="F64" s="1" t="s">
        <v>1064</v>
      </c>
      <c r="G64" s="130" t="s">
        <v>14</v>
      </c>
    </row>
    <row r="65" spans="1:8">
      <c r="A65" s="125" t="s">
        <v>16</v>
      </c>
      <c r="B65" s="22"/>
      <c r="C65" s="22" t="s">
        <v>16</v>
      </c>
      <c r="D65" s="127" t="s">
        <v>980</v>
      </c>
      <c r="E65" s="22" t="s">
        <v>1065</v>
      </c>
      <c r="F65" s="22" t="s">
        <v>1066</v>
      </c>
      <c r="G65" s="22">
        <f>IF(AND(G64="No"),0,IF(AND(G64="Yes"),'Tool 04-SWDS-Yearly'!C86))</f>
        <v>34.183359991239271</v>
      </c>
      <c r="H65" s="22"/>
    </row>
  </sheetData>
  <mergeCells count="19">
    <mergeCell ref="A63:H63"/>
    <mergeCell ref="A31:H31"/>
    <mergeCell ref="A36:H36"/>
    <mergeCell ref="A41:H41"/>
    <mergeCell ref="A46:H46"/>
    <mergeCell ref="A56:H56"/>
    <mergeCell ref="A59:H59"/>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8 G48 G26 G42" xr:uid="{7AA3218E-71C1-438C-9CFB-7428F2EB6D4C}">
      <formula1>"Option 1,Option 2"</formula1>
    </dataValidation>
    <dataValidation type="list" allowBlank="1" showInputMessage="1" showErrorMessage="1" sqref="G5" xr:uid="{60FF632A-4085-407A-A902-00FEE41E8E44}">
      <formula1>"Option 1, Option 2"</formula1>
    </dataValidation>
    <dataValidation type="list" allowBlank="1" showInputMessage="1" showErrorMessage="1" sqref="G15 G47 G64" xr:uid="{25C92D51-7C69-48C2-B917-AB7ED979BA99}">
      <formula1>"Yes,No"</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3BD8-C28A-4BAF-8156-F1F7517E16F1}">
  <dimension ref="A1:G53"/>
  <sheetViews>
    <sheetView workbookViewId="0">
      <selection activeCell="G34" sqref="G34"/>
    </sheetView>
  </sheetViews>
  <sheetFormatPr defaultRowHeight="14.45"/>
  <cols>
    <col min="1" max="1" width="9.28515625" customWidth="1"/>
    <col min="2" max="2" width="50.140625" customWidth="1"/>
    <col min="3" max="3" width="15.5703125" customWidth="1"/>
  </cols>
  <sheetData>
    <row r="1" spans="1:7" ht="21.75" customHeight="1" thickBot="1">
      <c r="A1" s="141"/>
      <c r="B1" s="189" t="s">
        <v>1067</v>
      </c>
      <c r="C1" s="189"/>
      <c r="D1" s="141"/>
      <c r="E1" s="141"/>
      <c r="F1" s="141"/>
      <c r="G1" s="141"/>
    </row>
    <row r="2" spans="1:7" ht="36.6" thickBot="1">
      <c r="B2" s="142" t="s">
        <v>1068</v>
      </c>
      <c r="C2" s="133" t="s">
        <v>1069</v>
      </c>
    </row>
    <row r="3" spans="1:7">
      <c r="B3" s="143" t="s">
        <v>1070</v>
      </c>
      <c r="C3" s="144">
        <v>0.1</v>
      </c>
    </row>
    <row r="4" spans="1:7">
      <c r="B4" s="67" t="s">
        <v>1071</v>
      </c>
      <c r="C4" s="145">
        <v>0</v>
      </c>
    </row>
    <row r="5" spans="1:7">
      <c r="B5" s="68" t="s">
        <v>1072</v>
      </c>
      <c r="C5" s="145">
        <v>0.3</v>
      </c>
    </row>
    <row r="6" spans="1:7">
      <c r="B6" s="68" t="s">
        <v>1073</v>
      </c>
      <c r="C6" s="145">
        <v>0.8</v>
      </c>
    </row>
    <row r="7" spans="1:7">
      <c r="B7" s="68" t="s">
        <v>1074</v>
      </c>
      <c r="C7" s="145">
        <v>0.8</v>
      </c>
    </row>
    <row r="8" spans="1:7">
      <c r="B8" s="68" t="s">
        <v>1046</v>
      </c>
      <c r="C8" s="145">
        <v>0.2</v>
      </c>
    </row>
    <row r="9" spans="1:7">
      <c r="B9" s="68" t="s">
        <v>1075</v>
      </c>
      <c r="C9" s="145">
        <v>0.8</v>
      </c>
    </row>
    <row r="10" spans="1:7" ht="15" thickBot="1">
      <c r="B10" s="64" t="s">
        <v>1076</v>
      </c>
      <c r="C10" s="146">
        <v>0.5</v>
      </c>
    </row>
    <row r="53" spans="7:7">
      <c r="G53" t="str">
        <f>IF(G52="","",VLOOKUP(G52,'Tool 13.1 MCF Defaults'!B3:C10,2,FALSE))</f>
        <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485EC-1FF8-45DE-9197-84B7B5988867}">
  <dimension ref="A1:G32"/>
  <sheetViews>
    <sheetView workbookViewId="0">
      <selection activeCell="A6" sqref="A6"/>
    </sheetView>
  </sheetViews>
  <sheetFormatPr defaultRowHeight="14.45"/>
  <cols>
    <col min="1" max="1" width="146.140625" customWidth="1"/>
  </cols>
  <sheetData>
    <row r="1" spans="1:7" s="41" customFormat="1">
      <c r="A1" s="41" t="s">
        <v>310</v>
      </c>
      <c r="B1" s="92"/>
      <c r="C1" s="92"/>
      <c r="D1" s="92"/>
      <c r="E1" s="92"/>
      <c r="F1" s="92"/>
      <c r="G1" s="92"/>
    </row>
    <row r="2" spans="1:7">
      <c r="A2" t="s">
        <v>311</v>
      </c>
    </row>
    <row r="3" spans="1:7">
      <c r="A3" t="s">
        <v>312</v>
      </c>
    </row>
    <row r="4" spans="1:7">
      <c r="A4" t="s">
        <v>313</v>
      </c>
    </row>
    <row r="5" spans="1:7">
      <c r="A5" t="s">
        <v>314</v>
      </c>
    </row>
    <row r="6" spans="1:7">
      <c r="A6" t="s">
        <v>315</v>
      </c>
    </row>
    <row r="7" spans="1:7">
      <c r="A7" t="s">
        <v>316</v>
      </c>
    </row>
    <row r="8" spans="1:7">
      <c r="A8" t="s">
        <v>317</v>
      </c>
    </row>
    <row r="9" spans="1:7">
      <c r="A9" t="s">
        <v>318</v>
      </c>
    </row>
    <row r="10" spans="1:7">
      <c r="A10" t="s">
        <v>319</v>
      </c>
    </row>
    <row r="11" spans="1:7">
      <c r="A11" t="s">
        <v>320</v>
      </c>
    </row>
    <row r="12" spans="1:7">
      <c r="A12" t="s">
        <v>321</v>
      </c>
    </row>
    <row r="13" spans="1:7">
      <c r="A13" t="s">
        <v>322</v>
      </c>
    </row>
    <row r="14" spans="1:7">
      <c r="A14" t="s">
        <v>323</v>
      </c>
    </row>
    <row r="15" spans="1:7">
      <c r="A15" t="s">
        <v>324</v>
      </c>
    </row>
    <row r="16" spans="1:7">
      <c r="A16" t="s">
        <v>325</v>
      </c>
    </row>
    <row r="17" spans="1:1">
      <c r="A17" t="s">
        <v>326</v>
      </c>
    </row>
    <row r="18" spans="1:1">
      <c r="A18" t="s">
        <v>327</v>
      </c>
    </row>
    <row r="19" spans="1:1">
      <c r="A19" t="s">
        <v>328</v>
      </c>
    </row>
    <row r="20" spans="1:1">
      <c r="A20" t="s">
        <v>329</v>
      </c>
    </row>
    <row r="21" spans="1:1">
      <c r="A21" t="s">
        <v>330</v>
      </c>
    </row>
    <row r="22" spans="1:1">
      <c r="A22" t="s">
        <v>331</v>
      </c>
    </row>
    <row r="23" spans="1:1">
      <c r="A23" t="s">
        <v>332</v>
      </c>
    </row>
    <row r="24" spans="1:1">
      <c r="A24" t="s">
        <v>333</v>
      </c>
    </row>
    <row r="25" spans="1:1">
      <c r="A25" t="s">
        <v>334</v>
      </c>
    </row>
    <row r="26" spans="1:1">
      <c r="A26" t="s">
        <v>335</v>
      </c>
    </row>
    <row r="27" spans="1:1">
      <c r="A27" t="s">
        <v>336</v>
      </c>
    </row>
    <row r="28" spans="1:1">
      <c r="A28" t="s">
        <v>337</v>
      </c>
    </row>
    <row r="29" spans="1:1">
      <c r="A29" t="s">
        <v>338</v>
      </c>
    </row>
    <row r="30" spans="1:1">
      <c r="A30" t="s">
        <v>339</v>
      </c>
    </row>
    <row r="31" spans="1:1">
      <c r="A31" t="s">
        <v>340</v>
      </c>
    </row>
    <row r="32" spans="1:1">
      <c r="A32" t="s">
        <v>341</v>
      </c>
    </row>
  </sheetData>
  <phoneticPr fontId="6"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1693-5BC5-4D8C-954D-097DD902D882}">
  <dimension ref="A1:G89"/>
  <sheetViews>
    <sheetView topLeftCell="A59" workbookViewId="0">
      <selection activeCell="F63" sqref="F63"/>
    </sheetView>
  </sheetViews>
  <sheetFormatPr defaultRowHeight="14.45"/>
  <cols>
    <col min="1" max="1" width="12.42578125" customWidth="1"/>
    <col min="2" max="2" width="11.140625" bestFit="1" customWidth="1"/>
    <col min="3" max="3" width="16.140625" bestFit="1" customWidth="1"/>
    <col min="4" max="4" width="16.140625" customWidth="1"/>
    <col min="5" max="5" width="54.28515625" customWidth="1"/>
    <col min="6" max="6" width="83" customWidth="1"/>
    <col min="7" max="7" width="59.140625" customWidth="1"/>
  </cols>
  <sheetData>
    <row r="1" spans="1:7" ht="54">
      <c r="A1" s="29" t="s">
        <v>359</v>
      </c>
      <c r="B1" s="30" t="s">
        <v>8</v>
      </c>
      <c r="C1" s="134" t="s">
        <v>7</v>
      </c>
      <c r="D1" s="134" t="s">
        <v>1</v>
      </c>
      <c r="E1" s="31" t="s">
        <v>361</v>
      </c>
      <c r="F1" s="134" t="s">
        <v>362</v>
      </c>
      <c r="G1" s="134" t="s">
        <v>363</v>
      </c>
    </row>
    <row r="2" spans="1:7" s="86" customFormat="1" ht="18">
      <c r="A2" s="135"/>
      <c r="B2" s="136"/>
      <c r="C2" s="136"/>
      <c r="D2" s="136"/>
      <c r="E2" s="135" t="s">
        <v>1077</v>
      </c>
      <c r="F2" s="136"/>
    </row>
    <row r="3" spans="1:7" s="25" customFormat="1" ht="43.9">
      <c r="A3" s="137" t="s">
        <v>14</v>
      </c>
      <c r="B3" s="140" t="s">
        <v>16</v>
      </c>
      <c r="C3" s="137" t="s">
        <v>667</v>
      </c>
      <c r="D3" s="138"/>
      <c r="E3" s="139" t="s">
        <v>1078</v>
      </c>
      <c r="F3" s="38" t="s">
        <v>1079</v>
      </c>
      <c r="G3" s="38" t="s">
        <v>1080</v>
      </c>
    </row>
    <row r="4" spans="1:7" s="25" customFormat="1" ht="29.45">
      <c r="A4" s="137" t="s">
        <v>14</v>
      </c>
      <c r="B4" s="140" t="s">
        <v>16</v>
      </c>
      <c r="C4" s="137" t="s">
        <v>428</v>
      </c>
      <c r="D4" s="138"/>
      <c r="E4" s="139" t="s">
        <v>1081</v>
      </c>
      <c r="F4" s="38" t="s">
        <v>1082</v>
      </c>
      <c r="G4" s="38" t="s">
        <v>1083</v>
      </c>
    </row>
    <row r="5" spans="1:7" s="86" customFormat="1" ht="18">
      <c r="A5" s="135"/>
      <c r="B5" s="136"/>
      <c r="C5" s="136"/>
      <c r="D5" s="136"/>
      <c r="E5" s="135" t="s">
        <v>993</v>
      </c>
      <c r="F5" s="136"/>
    </row>
    <row r="6" spans="1:7" s="25" customFormat="1" ht="43.9">
      <c r="A6" s="137" t="s">
        <v>14</v>
      </c>
      <c r="B6" s="140" t="s">
        <v>16</v>
      </c>
      <c r="C6" s="137" t="s">
        <v>667</v>
      </c>
      <c r="D6" s="138"/>
      <c r="E6" s="139" t="s">
        <v>1084</v>
      </c>
      <c r="F6" s="38" t="s">
        <v>14</v>
      </c>
      <c r="G6" s="38" t="s">
        <v>1085</v>
      </c>
    </row>
    <row r="7" spans="1:7" s="25" customFormat="1" ht="43.9">
      <c r="A7" s="137" t="s">
        <v>14</v>
      </c>
      <c r="B7" s="140" t="s">
        <v>16</v>
      </c>
      <c r="C7" s="137" t="s">
        <v>667</v>
      </c>
      <c r="D7" s="138"/>
      <c r="E7" s="139" t="s">
        <v>1086</v>
      </c>
      <c r="F7" s="38" t="s">
        <v>14</v>
      </c>
      <c r="G7" s="38" t="s">
        <v>1087</v>
      </c>
    </row>
    <row r="8" spans="1:7" s="25" customFormat="1" ht="43.9">
      <c r="A8" s="137" t="s">
        <v>14</v>
      </c>
      <c r="B8" s="140" t="s">
        <v>16</v>
      </c>
      <c r="C8" s="137" t="s">
        <v>428</v>
      </c>
      <c r="D8" s="138"/>
      <c r="E8" s="139" t="s">
        <v>1088</v>
      </c>
      <c r="F8" s="38" t="s">
        <v>1082</v>
      </c>
      <c r="G8" s="38" t="s">
        <v>1089</v>
      </c>
    </row>
    <row r="9" spans="1:7" s="86" customFormat="1" ht="18">
      <c r="A9" s="135"/>
      <c r="B9" s="136"/>
      <c r="C9" s="136"/>
      <c r="D9" s="136"/>
      <c r="E9" s="135" t="s">
        <v>1090</v>
      </c>
      <c r="F9" s="136"/>
    </row>
    <row r="10" spans="1:7" s="25" customFormat="1" ht="101.45">
      <c r="A10" s="137" t="s">
        <v>14</v>
      </c>
      <c r="B10" s="140" t="s">
        <v>16</v>
      </c>
      <c r="C10" s="137" t="s">
        <v>428</v>
      </c>
      <c r="D10" s="138"/>
      <c r="E10" s="139" t="s">
        <v>1091</v>
      </c>
      <c r="F10" s="38" t="s">
        <v>1092</v>
      </c>
      <c r="G10" s="38" t="s">
        <v>1093</v>
      </c>
    </row>
    <row r="11" spans="1:7" s="25" customFormat="1" ht="43.9">
      <c r="A11" s="137" t="s">
        <v>14</v>
      </c>
      <c r="B11" s="140" t="s">
        <v>16</v>
      </c>
      <c r="C11" s="137" t="s">
        <v>428</v>
      </c>
      <c r="D11" s="138"/>
      <c r="E11" s="139" t="s">
        <v>1094</v>
      </c>
      <c r="F11" s="147" t="s">
        <v>1082</v>
      </c>
      <c r="G11" s="147" t="s">
        <v>1095</v>
      </c>
    </row>
    <row r="12" spans="1:7" s="86" customFormat="1" ht="18">
      <c r="A12" s="135"/>
      <c r="B12" s="136"/>
      <c r="C12" s="136"/>
      <c r="D12" s="136"/>
      <c r="E12" s="135" t="s">
        <v>1096</v>
      </c>
      <c r="F12" s="136"/>
    </row>
    <row r="13" spans="1:7" s="22" customFormat="1" ht="28.9">
      <c r="A13" s="22" t="s">
        <v>16</v>
      </c>
      <c r="B13" s="5" t="s">
        <v>16</v>
      </c>
      <c r="C13" s="22" t="s">
        <v>980</v>
      </c>
      <c r="D13" s="22" t="s">
        <v>1097</v>
      </c>
      <c r="E13" s="5" t="s">
        <v>1098</v>
      </c>
      <c r="F13" s="34">
        <f>IF(AND(F7="Yes"),0,F14+F15+F16+F17)</f>
        <v>0</v>
      </c>
    </row>
    <row r="14" spans="1:7" s="22" customFormat="1" ht="28.9">
      <c r="A14" s="22" t="s">
        <v>16</v>
      </c>
      <c r="B14" s="5" t="s">
        <v>16</v>
      </c>
      <c r="C14" s="22" t="s">
        <v>667</v>
      </c>
      <c r="D14" s="22" t="s">
        <v>1099</v>
      </c>
      <c r="E14" s="5" t="s">
        <v>1100</v>
      </c>
      <c r="F14" s="34">
        <f>IF(AND(F8="Default Values"),F49,IF(AND(F8="Monitored Values"),F47))</f>
        <v>0</v>
      </c>
      <c r="G14" s="49" t="s">
        <v>1101</v>
      </c>
    </row>
    <row r="15" spans="1:7" s="22" customFormat="1" ht="28.9">
      <c r="A15" s="22" t="s">
        <v>16</v>
      </c>
      <c r="B15" s="5" t="s">
        <v>16</v>
      </c>
      <c r="C15" s="22" t="s">
        <v>980</v>
      </c>
      <c r="D15" s="22" t="s">
        <v>1000</v>
      </c>
      <c r="E15" s="5" t="s">
        <v>1102</v>
      </c>
      <c r="F15" s="34">
        <f>F55</f>
        <v>73.333333333333329</v>
      </c>
      <c r="G15" s="34"/>
    </row>
    <row r="16" spans="1:7" s="22" customFormat="1" ht="28.9">
      <c r="A16" s="22" t="s">
        <v>16</v>
      </c>
      <c r="B16" s="5" t="s">
        <v>16</v>
      </c>
      <c r="C16" s="22" t="s">
        <v>980</v>
      </c>
      <c r="D16" s="22" t="s">
        <v>1008</v>
      </c>
      <c r="E16" s="5" t="s">
        <v>1103</v>
      </c>
      <c r="F16" s="34">
        <f>F57</f>
        <v>0</v>
      </c>
    </row>
    <row r="17" spans="1:7" s="22" customFormat="1">
      <c r="A17" s="22" t="s">
        <v>16</v>
      </c>
      <c r="B17" s="5" t="s">
        <v>16</v>
      </c>
      <c r="C17" s="22" t="s">
        <v>980</v>
      </c>
      <c r="D17" s="22" t="s">
        <v>1104</v>
      </c>
      <c r="E17" s="5" t="s">
        <v>1105</v>
      </c>
      <c r="F17" s="34">
        <f>F63</f>
        <v>20523.291091650441</v>
      </c>
      <c r="G17" s="34"/>
    </row>
    <row r="18" spans="1:7" s="86" customFormat="1" ht="18">
      <c r="A18" s="135"/>
      <c r="B18" s="136"/>
      <c r="C18" s="136"/>
      <c r="D18" s="136"/>
      <c r="E18" s="135" t="s">
        <v>1106</v>
      </c>
      <c r="F18" s="136"/>
    </row>
    <row r="19" spans="1:7" s="22" customFormat="1" ht="28.9">
      <c r="A19" s="22" t="s">
        <v>16</v>
      </c>
      <c r="B19" s="22" t="s">
        <v>16</v>
      </c>
      <c r="C19" s="22" t="s">
        <v>980</v>
      </c>
      <c r="D19" s="22" t="s">
        <v>1107</v>
      </c>
      <c r="E19" s="5" t="s">
        <v>1108</v>
      </c>
      <c r="F19" s="34">
        <f>(F20*F23)/((F22-F20)*F24)</f>
        <v>1.123142144638404</v>
      </c>
    </row>
    <row r="20" spans="1:7" ht="28.9">
      <c r="A20" t="s">
        <v>14</v>
      </c>
      <c r="B20" s="1" t="s">
        <v>14</v>
      </c>
      <c r="C20" t="s">
        <v>90</v>
      </c>
      <c r="D20" t="s">
        <v>1109</v>
      </c>
      <c r="E20" s="1" t="s">
        <v>1110</v>
      </c>
      <c r="F20" s="41">
        <v>1</v>
      </c>
    </row>
    <row r="21" spans="1:7">
      <c r="A21" t="s">
        <v>14</v>
      </c>
      <c r="B21" s="1" t="s">
        <v>14</v>
      </c>
      <c r="C21" t="s">
        <v>90</v>
      </c>
      <c r="D21" t="s">
        <v>1111</v>
      </c>
      <c r="E21" s="1" t="s">
        <v>1112</v>
      </c>
      <c r="F21" s="41">
        <v>1</v>
      </c>
    </row>
    <row r="22" spans="1:7">
      <c r="A22" t="s">
        <v>14</v>
      </c>
      <c r="B22" s="1" t="s">
        <v>14</v>
      </c>
      <c r="C22" t="s">
        <v>90</v>
      </c>
      <c r="D22" t="s">
        <v>1113</v>
      </c>
      <c r="E22" s="1" t="s">
        <v>1114</v>
      </c>
      <c r="F22" s="41">
        <v>2</v>
      </c>
    </row>
    <row r="23" spans="1:7" s="22" customFormat="1">
      <c r="A23" s="22" t="s">
        <v>16</v>
      </c>
      <c r="B23" s="22" t="s">
        <v>16</v>
      </c>
      <c r="C23" s="22" t="s">
        <v>980</v>
      </c>
      <c r="D23" s="22" t="s">
        <v>1115</v>
      </c>
      <c r="E23" s="5" t="s">
        <v>1116</v>
      </c>
      <c r="F23" s="34">
        <f>18.0152</f>
        <v>18.0152</v>
      </c>
    </row>
    <row r="24" spans="1:7" s="22" customFormat="1" ht="28.9">
      <c r="A24" s="22" t="s">
        <v>16</v>
      </c>
      <c r="B24" s="22" t="s">
        <v>16</v>
      </c>
      <c r="C24" s="22" t="s">
        <v>980</v>
      </c>
      <c r="D24" s="22" t="s">
        <v>1117</v>
      </c>
      <c r="E24" s="5" t="s">
        <v>1118</v>
      </c>
      <c r="F24" s="34">
        <f>SUM(F25*F26)</f>
        <v>16.04</v>
      </c>
    </row>
    <row r="25" spans="1:7" ht="28.9">
      <c r="A25" t="s">
        <v>14</v>
      </c>
      <c r="B25" s="1" t="s">
        <v>14</v>
      </c>
      <c r="C25" t="s">
        <v>90</v>
      </c>
      <c r="D25" t="s">
        <v>1119</v>
      </c>
      <c r="E25" s="1" t="s">
        <v>1120</v>
      </c>
      <c r="F25" s="41">
        <v>1</v>
      </c>
    </row>
    <row r="26" spans="1:7" s="22" customFormat="1">
      <c r="A26" s="22" t="s">
        <v>16</v>
      </c>
      <c r="B26" s="22" t="s">
        <v>16</v>
      </c>
      <c r="C26" s="22" t="s">
        <v>980</v>
      </c>
      <c r="D26" s="22" t="s">
        <v>1121</v>
      </c>
      <c r="E26" s="22" t="s">
        <v>1122</v>
      </c>
      <c r="F26" s="34">
        <f>16.04</f>
        <v>16.04</v>
      </c>
    </row>
    <row r="27" spans="1:7" s="22" customFormat="1">
      <c r="A27" s="22" t="s">
        <v>16</v>
      </c>
      <c r="B27" s="22" t="s">
        <v>16</v>
      </c>
      <c r="C27" s="22" t="s">
        <v>980</v>
      </c>
      <c r="D27" s="22" t="s">
        <v>1123</v>
      </c>
      <c r="E27" s="5" t="s">
        <v>1124</v>
      </c>
      <c r="F27" s="22" t="s">
        <v>1125</v>
      </c>
    </row>
    <row r="28" spans="1:7" s="22" customFormat="1" ht="28.9">
      <c r="A28" s="22" t="s">
        <v>16</v>
      </c>
      <c r="B28" s="22" t="s">
        <v>16</v>
      </c>
      <c r="C28" s="22" t="s">
        <v>980</v>
      </c>
      <c r="D28" s="22" t="s">
        <v>850</v>
      </c>
      <c r="E28" s="5" t="s">
        <v>1126</v>
      </c>
      <c r="F28" s="34">
        <f>F29*F30*F31</f>
        <v>16.040000000000003</v>
      </c>
    </row>
    <row r="29" spans="1:7" s="22" customFormat="1" ht="28.9">
      <c r="A29" s="22" t="s">
        <v>16</v>
      </c>
      <c r="B29" s="22" t="s">
        <v>16</v>
      </c>
      <c r="C29" s="22" t="s">
        <v>980</v>
      </c>
      <c r="D29" s="22" t="s">
        <v>1127</v>
      </c>
      <c r="E29" s="5" t="s">
        <v>1128</v>
      </c>
      <c r="F29" s="34">
        <f>F36/F37</f>
        <v>22.412722427831234</v>
      </c>
    </row>
    <row r="30" spans="1:7" ht="28.9">
      <c r="A30" t="s">
        <v>14</v>
      </c>
      <c r="B30" t="s">
        <v>14</v>
      </c>
      <c r="C30" t="s">
        <v>90</v>
      </c>
      <c r="D30" t="s">
        <v>1129</v>
      </c>
      <c r="E30" s="1" t="s">
        <v>1130</v>
      </c>
      <c r="F30" s="41">
        <v>1</v>
      </c>
    </row>
    <row r="31" spans="1:7" s="22" customFormat="1" ht="43.15">
      <c r="A31" s="22" t="s">
        <v>16</v>
      </c>
      <c r="B31" s="22" t="s">
        <v>16</v>
      </c>
      <c r="C31" s="22" t="s">
        <v>980</v>
      </c>
      <c r="D31" s="22" t="s">
        <v>1131</v>
      </c>
      <c r="E31" s="5" t="s">
        <v>1132</v>
      </c>
      <c r="F31" s="34">
        <f>(F32*F34)/(F35*F33)</f>
        <v>0.71566495554695142</v>
      </c>
    </row>
    <row r="32" spans="1:7" s="22" customFormat="1">
      <c r="A32" s="22" t="s">
        <v>16</v>
      </c>
      <c r="B32" s="22" t="s">
        <v>16</v>
      </c>
      <c r="C32" s="22" t="s">
        <v>980</v>
      </c>
      <c r="E32" s="5" t="s">
        <v>1133</v>
      </c>
      <c r="F32" s="34">
        <f>101325</f>
        <v>101325</v>
      </c>
    </row>
    <row r="33" spans="1:7" s="22" customFormat="1">
      <c r="A33" s="22" t="s">
        <v>16</v>
      </c>
      <c r="B33" s="22" t="s">
        <v>16</v>
      </c>
      <c r="C33" s="22" t="s">
        <v>980</v>
      </c>
      <c r="D33" s="22" t="s">
        <v>1134</v>
      </c>
      <c r="E33" s="5" t="s">
        <v>1135</v>
      </c>
      <c r="F33" s="34">
        <f>273.15</f>
        <v>273.14999999999998</v>
      </c>
    </row>
    <row r="34" spans="1:7" s="22" customFormat="1">
      <c r="A34" s="22" t="s">
        <v>16</v>
      </c>
      <c r="B34" s="22" t="s">
        <v>16</v>
      </c>
      <c r="C34" s="22" t="s">
        <v>980</v>
      </c>
      <c r="D34" s="22" t="s">
        <v>1136</v>
      </c>
      <c r="E34" s="5" t="s">
        <v>1137</v>
      </c>
      <c r="F34" s="34">
        <f>16.04</f>
        <v>16.04</v>
      </c>
    </row>
    <row r="35" spans="1:7" s="22" customFormat="1">
      <c r="A35" s="22" t="s">
        <v>16</v>
      </c>
      <c r="B35" s="22" t="s">
        <v>16</v>
      </c>
      <c r="C35" s="22" t="s">
        <v>980</v>
      </c>
      <c r="D35" s="22" t="s">
        <v>1138</v>
      </c>
      <c r="E35" s="5" t="s">
        <v>1139</v>
      </c>
      <c r="F35" s="34">
        <f>8314</f>
        <v>8314</v>
      </c>
    </row>
    <row r="36" spans="1:7" ht="28.9">
      <c r="A36" t="s">
        <v>14</v>
      </c>
      <c r="B36" t="s">
        <v>14</v>
      </c>
      <c r="C36" t="s">
        <v>90</v>
      </c>
      <c r="D36" t="s">
        <v>1140</v>
      </c>
      <c r="E36" s="1" t="s">
        <v>1141</v>
      </c>
      <c r="F36" s="41">
        <v>1</v>
      </c>
    </row>
    <row r="37" spans="1:7" s="22" customFormat="1" ht="28.9">
      <c r="A37" s="22" t="s">
        <v>16</v>
      </c>
      <c r="B37" s="22" t="s">
        <v>16</v>
      </c>
      <c r="C37" s="22" t="s">
        <v>980</v>
      </c>
      <c r="D37" s="22" t="s">
        <v>1142</v>
      </c>
      <c r="E37" s="5" t="s">
        <v>1143</v>
      </c>
      <c r="F37" s="34">
        <f>(F32*F38)/(F35*F33)</f>
        <v>4.4617515931854826E-2</v>
      </c>
    </row>
    <row r="38" spans="1:7" ht="43.15">
      <c r="A38" t="s">
        <v>14</v>
      </c>
      <c r="B38" t="s">
        <v>14</v>
      </c>
      <c r="C38" t="s">
        <v>90</v>
      </c>
      <c r="D38" t="s">
        <v>1144</v>
      </c>
      <c r="E38" s="1" t="s">
        <v>1145</v>
      </c>
      <c r="F38" s="41">
        <v>1</v>
      </c>
    </row>
    <row r="39" spans="1:7" ht="28.9">
      <c r="A39" t="s">
        <v>14</v>
      </c>
      <c r="B39" t="s">
        <v>14</v>
      </c>
      <c r="C39" t="s">
        <v>90</v>
      </c>
      <c r="D39" t="s">
        <v>1146</v>
      </c>
      <c r="E39" s="1" t="s">
        <v>1147</v>
      </c>
      <c r="F39" s="41">
        <v>1</v>
      </c>
    </row>
    <row r="40" spans="1:7">
      <c r="A40" t="s">
        <v>14</v>
      </c>
      <c r="B40" t="s">
        <v>14</v>
      </c>
      <c r="C40" t="s">
        <v>15</v>
      </c>
      <c r="D40" t="s">
        <v>1148</v>
      </c>
      <c r="E40" s="1" t="s">
        <v>1149</v>
      </c>
      <c r="F40" t="s">
        <v>1150</v>
      </c>
    </row>
    <row r="41" spans="1:7" s="86" customFormat="1" ht="18">
      <c r="A41" s="135"/>
      <c r="B41" s="136"/>
      <c r="C41" s="136"/>
      <c r="D41" s="136"/>
      <c r="E41" s="135" t="s">
        <v>1151</v>
      </c>
      <c r="F41" s="136"/>
    </row>
    <row r="42" spans="1:7" s="22" customFormat="1">
      <c r="A42" s="22" t="s">
        <v>16</v>
      </c>
      <c r="B42" s="22" t="s">
        <v>16</v>
      </c>
      <c r="C42" s="22" t="s">
        <v>980</v>
      </c>
      <c r="D42" s="22" t="s">
        <v>1152</v>
      </c>
      <c r="E42" s="5" t="s">
        <v>1153</v>
      </c>
      <c r="F42" s="34">
        <f>F43*F44*F45</f>
        <v>0</v>
      </c>
    </row>
    <row r="43" spans="1:7" ht="28.9">
      <c r="A43" t="s">
        <v>14</v>
      </c>
      <c r="B43" t="s">
        <v>14</v>
      </c>
      <c r="C43" t="s">
        <v>90</v>
      </c>
      <c r="D43" t="s">
        <v>1154</v>
      </c>
      <c r="E43" s="1" t="s">
        <v>1155</v>
      </c>
    </row>
    <row r="44" spans="1:7" s="22" customFormat="1" ht="28.9">
      <c r="A44" s="22" t="s">
        <v>16</v>
      </c>
      <c r="B44" s="22" t="s">
        <v>16</v>
      </c>
      <c r="C44" s="22" t="s">
        <v>980</v>
      </c>
      <c r="D44" s="22" t="s">
        <v>1156</v>
      </c>
      <c r="E44" s="5" t="s">
        <v>1157</v>
      </c>
      <c r="F44" s="34">
        <v>0.6</v>
      </c>
    </row>
    <row r="45" spans="1:7" s="22" customFormat="1">
      <c r="A45" s="22" t="s">
        <v>16</v>
      </c>
      <c r="B45" s="22" t="s">
        <v>16</v>
      </c>
      <c r="C45" s="22" t="s">
        <v>980</v>
      </c>
      <c r="D45" s="22" t="s">
        <v>1158</v>
      </c>
      <c r="E45" s="5" t="s">
        <v>1159</v>
      </c>
      <c r="F45" s="34">
        <v>6.7000000000000002E-4</v>
      </c>
    </row>
    <row r="46" spans="1:7" s="86" customFormat="1" ht="18">
      <c r="A46" s="135"/>
      <c r="B46" s="136"/>
      <c r="C46" s="136"/>
      <c r="D46" s="136"/>
      <c r="E46" s="135" t="s">
        <v>1160</v>
      </c>
      <c r="F46" s="136"/>
    </row>
    <row r="47" spans="1:7" s="22" customFormat="1" ht="28.9">
      <c r="A47" s="22" t="s">
        <v>16</v>
      </c>
      <c r="B47" s="22" t="s">
        <v>16</v>
      </c>
      <c r="C47" s="22" t="s">
        <v>980</v>
      </c>
      <c r="D47" s="22" t="s">
        <v>1099</v>
      </c>
      <c r="E47" s="5" t="s">
        <v>587</v>
      </c>
      <c r="F47" s="34">
        <f>'Tool 05.1'!G6</f>
        <v>0.73499999999999999</v>
      </c>
      <c r="G47" s="34" t="s">
        <v>1161</v>
      </c>
    </row>
    <row r="48" spans="1:7" s="86" customFormat="1" ht="18">
      <c r="A48" s="135"/>
      <c r="B48" s="136"/>
      <c r="C48" s="136"/>
      <c r="D48" s="136"/>
      <c r="E48" s="135" t="s">
        <v>1162</v>
      </c>
      <c r="F48" s="136"/>
    </row>
    <row r="49" spans="1:7" s="22" customFormat="1" ht="28.9">
      <c r="A49" s="22" t="s">
        <v>16</v>
      </c>
      <c r="B49" s="22" t="s">
        <v>16</v>
      </c>
      <c r="C49" s="22" t="s">
        <v>980</v>
      </c>
      <c r="D49" s="22" t="s">
        <v>1099</v>
      </c>
      <c r="E49" s="5" t="s">
        <v>1163</v>
      </c>
      <c r="F49" s="34">
        <f>F50*F52*F53</f>
        <v>0</v>
      </c>
    </row>
    <row r="50" spans="1:7" ht="28.9">
      <c r="A50" s="59" t="s">
        <v>14</v>
      </c>
      <c r="B50" s="59" t="s">
        <v>14</v>
      </c>
      <c r="C50" t="s">
        <v>90</v>
      </c>
      <c r="D50" t="s">
        <v>1152</v>
      </c>
      <c r="E50" s="1" t="s">
        <v>1164</v>
      </c>
    </row>
    <row r="51" spans="1:7" s="149" customFormat="1" ht="158.44999999999999">
      <c r="A51" s="148"/>
      <c r="B51" s="148"/>
      <c r="C51" s="149" t="s">
        <v>667</v>
      </c>
      <c r="D51" s="149" t="s">
        <v>361</v>
      </c>
      <c r="E51" s="150" t="s">
        <v>1165</v>
      </c>
      <c r="F51" s="149" t="s">
        <v>273</v>
      </c>
    </row>
    <row r="52" spans="1:7" s="22" customFormat="1" ht="43.15">
      <c r="A52" s="22" t="s">
        <v>16</v>
      </c>
      <c r="B52" s="22" t="s">
        <v>16</v>
      </c>
      <c r="C52" s="22" t="s">
        <v>980</v>
      </c>
      <c r="D52" s="22" t="s">
        <v>1166</v>
      </c>
      <c r="E52" s="43" t="s">
        <v>1167</v>
      </c>
      <c r="F52" s="49">
        <f>IF(AND(F51="Option A"),0,IF(AND(F51="Option B"),0.01,IF(AND(F51="Option C"),1.02,IF(AND(F51="Option D"),1.54,IF(AND(F51="Option E"),0)))))</f>
        <v>0.01</v>
      </c>
      <c r="G52" s="5" t="s">
        <v>1168</v>
      </c>
    </row>
    <row r="53" spans="1:7" s="22" customFormat="1" ht="28.9">
      <c r="A53" s="22" t="s">
        <v>16</v>
      </c>
      <c r="B53" s="22" t="s">
        <v>16</v>
      </c>
      <c r="C53" s="22" t="s">
        <v>980</v>
      </c>
      <c r="D53" s="22" t="s">
        <v>1169</v>
      </c>
      <c r="E53" s="5" t="s">
        <v>1170</v>
      </c>
      <c r="F53" s="34">
        <v>1.3</v>
      </c>
    </row>
    <row r="54" spans="1:7" s="86" customFormat="1" ht="18">
      <c r="A54" s="135"/>
      <c r="B54" s="136"/>
      <c r="C54" s="136"/>
      <c r="D54" s="136"/>
      <c r="E54" s="135" t="s">
        <v>1171</v>
      </c>
      <c r="F54" s="136"/>
    </row>
    <row r="55" spans="1:7" s="22" customFormat="1" ht="28.9">
      <c r="A55" s="22" t="s">
        <v>16</v>
      </c>
      <c r="B55" s="22" t="s">
        <v>16</v>
      </c>
      <c r="C55" s="22" t="s">
        <v>980</v>
      </c>
      <c r="D55" s="22" t="s">
        <v>1000</v>
      </c>
      <c r="E55" s="5" t="s">
        <v>587</v>
      </c>
      <c r="F55" s="34">
        <f>'(Revised) Tool 03'!G3</f>
        <v>73.333333333333329</v>
      </c>
      <c r="G55" s="34" t="s">
        <v>1172</v>
      </c>
    </row>
    <row r="56" spans="1:7" s="86" customFormat="1" ht="18">
      <c r="A56" s="135"/>
      <c r="B56" s="136"/>
      <c r="C56" s="136"/>
      <c r="D56" s="136"/>
      <c r="E56" s="135" t="s">
        <v>1173</v>
      </c>
      <c r="F56" s="136"/>
    </row>
    <row r="57" spans="1:7" s="22" customFormat="1" ht="28.9">
      <c r="A57" s="22" t="s">
        <v>16</v>
      </c>
      <c r="B57" s="22" t="s">
        <v>16</v>
      </c>
      <c r="C57" s="22" t="s">
        <v>980</v>
      </c>
      <c r="D57" s="22" t="s">
        <v>1174</v>
      </c>
      <c r="E57" s="5" t="s">
        <v>1103</v>
      </c>
      <c r="F57" s="34">
        <f>F58*F60*F61</f>
        <v>0</v>
      </c>
    </row>
    <row r="58" spans="1:7" ht="28.9">
      <c r="A58" s="59" t="s">
        <v>14</v>
      </c>
      <c r="B58" s="59" t="s">
        <v>14</v>
      </c>
      <c r="C58" t="s">
        <v>90</v>
      </c>
      <c r="D58" t="s">
        <v>1152</v>
      </c>
      <c r="E58" s="1" t="s">
        <v>1164</v>
      </c>
    </row>
    <row r="59" spans="1:7" s="149" customFormat="1" ht="144">
      <c r="A59" s="148"/>
      <c r="B59" s="148"/>
      <c r="E59" s="150" t="s">
        <v>1175</v>
      </c>
      <c r="F59" s="149" t="s">
        <v>346</v>
      </c>
    </row>
    <row r="60" spans="1:7" s="22" customFormat="1" ht="28.9">
      <c r="A60" s="22" t="s">
        <v>16</v>
      </c>
      <c r="B60" s="22" t="s">
        <v>16</v>
      </c>
      <c r="C60" s="22" t="s">
        <v>980</v>
      </c>
      <c r="D60" s="22" t="s">
        <v>1176</v>
      </c>
      <c r="E60" s="5" t="s">
        <v>1177</v>
      </c>
      <c r="F60" s="49">
        <f>IF(AND(F59="Option A"),0.028,IF(AND(F59="Option B"),0.05,IF(AND(F59="Option C"),0.1,IF(AND(F59="Option D"),0.01))))</f>
        <v>2.8000000000000001E-2</v>
      </c>
      <c r="G60" s="5" t="s">
        <v>1178</v>
      </c>
    </row>
    <row r="61" spans="1:7" s="22" customFormat="1">
      <c r="A61" s="22" t="s">
        <v>16</v>
      </c>
      <c r="B61" s="22" t="s">
        <v>16</v>
      </c>
      <c r="C61" s="22" t="s">
        <v>980</v>
      </c>
      <c r="D61" s="22" t="s">
        <v>1179</v>
      </c>
      <c r="E61" s="5" t="s">
        <v>1180</v>
      </c>
      <c r="F61" s="34">
        <v>21</v>
      </c>
    </row>
    <row r="62" spans="1:7" s="86" customFormat="1" ht="18">
      <c r="A62" s="135"/>
      <c r="B62" s="136"/>
      <c r="C62" s="136"/>
      <c r="D62" s="136"/>
      <c r="E62" s="135" t="s">
        <v>1181</v>
      </c>
      <c r="F62" s="136"/>
    </row>
    <row r="63" spans="1:7" s="22" customFormat="1" ht="28.9">
      <c r="A63" s="22" t="s">
        <v>16</v>
      </c>
      <c r="B63" s="22" t="s">
        <v>16</v>
      </c>
      <c r="C63" s="22" t="s">
        <v>980</v>
      </c>
      <c r="D63" s="22" t="s">
        <v>883</v>
      </c>
      <c r="E63" s="5" t="s">
        <v>884</v>
      </c>
      <c r="F63" s="34">
        <f>'Tool 06'!F69</f>
        <v>20523.291091650441</v>
      </c>
      <c r="G63" s="34" t="s">
        <v>1182</v>
      </c>
    </row>
    <row r="64" spans="1:7" s="86" customFormat="1" ht="18">
      <c r="A64" s="135"/>
      <c r="B64" s="136"/>
      <c r="C64" s="136"/>
      <c r="D64" s="136"/>
      <c r="E64" s="135" t="s">
        <v>1183</v>
      </c>
      <c r="F64" s="136"/>
    </row>
    <row r="65" spans="1:7" s="22" customFormat="1" ht="28.9">
      <c r="A65" s="22" t="s">
        <v>16</v>
      </c>
      <c r="B65" s="22" t="s">
        <v>16</v>
      </c>
      <c r="C65" s="22" t="s">
        <v>980</v>
      </c>
      <c r="D65" s="22" t="s">
        <v>1184</v>
      </c>
      <c r="E65" s="5" t="s">
        <v>1185</v>
      </c>
      <c r="F65" s="34">
        <f>F66+F67</f>
        <v>95.130333333333326</v>
      </c>
    </row>
    <row r="66" spans="1:7" s="22" customFormat="1" ht="28.9">
      <c r="A66" s="22" t="s">
        <v>16</v>
      </c>
      <c r="B66" s="22" t="s">
        <v>16</v>
      </c>
      <c r="C66" s="22" t="s">
        <v>980</v>
      </c>
      <c r="D66" s="22" t="s">
        <v>1186</v>
      </c>
      <c r="E66" s="5" t="s">
        <v>1187</v>
      </c>
      <c r="F66" s="151">
        <f>IF(AND(F10="Option 3"),0,IF(AND(F10="Option 1",F11="Monitored Data"),F69,IF(AND(F11="Default Values",F10="Option 1"),F77,IF(AND(F11="Default Values",F10="Option 2"),F83,IF(AND(F10="Option 2",F11="Monitored Data"),F89)))))</f>
        <v>0</v>
      </c>
      <c r="G66" s="152"/>
    </row>
    <row r="67" spans="1:7" s="22" customFormat="1" ht="28.9">
      <c r="A67" s="22" t="s">
        <v>16</v>
      </c>
      <c r="B67" s="22" t="s">
        <v>16</v>
      </c>
      <c r="C67" s="22" t="s">
        <v>980</v>
      </c>
      <c r="D67" s="22" t="s">
        <v>1188</v>
      </c>
      <c r="E67" s="5" t="s">
        <v>1189</v>
      </c>
      <c r="F67" s="49">
        <f>'Tool 13'!G3</f>
        <v>95.130333333333326</v>
      </c>
      <c r="G67" s="22" t="s">
        <v>1190</v>
      </c>
    </row>
    <row r="68" spans="1:7" s="86" customFormat="1" ht="18">
      <c r="A68" s="135"/>
      <c r="B68" s="136"/>
      <c r="C68" s="136"/>
      <c r="D68" s="136"/>
      <c r="E68" s="135" t="s">
        <v>1191</v>
      </c>
      <c r="F68" s="136"/>
    </row>
    <row r="69" spans="1:7" s="22" customFormat="1" ht="28.9">
      <c r="A69" s="22" t="s">
        <v>16</v>
      </c>
      <c r="B69" s="22" t="s">
        <v>16</v>
      </c>
      <c r="C69" s="22" t="s">
        <v>980</v>
      </c>
      <c r="D69" s="22" t="s">
        <v>1186</v>
      </c>
      <c r="E69" s="5" t="s">
        <v>1187</v>
      </c>
      <c r="F69" s="34">
        <f>F70*F71*F72*F74*F75</f>
        <v>4.2</v>
      </c>
    </row>
    <row r="70" spans="1:7">
      <c r="A70" t="s">
        <v>14</v>
      </c>
      <c r="B70" t="s">
        <v>14</v>
      </c>
      <c r="C70" t="s">
        <v>90</v>
      </c>
      <c r="D70" t="s">
        <v>1192</v>
      </c>
      <c r="E70" s="1" t="s">
        <v>1193</v>
      </c>
      <c r="F70" s="41">
        <v>1</v>
      </c>
    </row>
    <row r="71" spans="1:7" ht="28.9">
      <c r="A71" t="s">
        <v>14</v>
      </c>
      <c r="B71" t="s">
        <v>14</v>
      </c>
      <c r="C71" t="s">
        <v>90</v>
      </c>
      <c r="D71" t="s">
        <v>1194</v>
      </c>
      <c r="E71" s="1" t="s">
        <v>1195</v>
      </c>
      <c r="F71" s="41">
        <v>1</v>
      </c>
    </row>
    <row r="72" spans="1:7" s="22" customFormat="1" ht="28.9">
      <c r="A72" s="22" t="s">
        <v>905</v>
      </c>
      <c r="B72" s="22" t="s">
        <v>16</v>
      </c>
      <c r="C72" s="22" t="s">
        <v>980</v>
      </c>
      <c r="D72" s="22" t="s">
        <v>1196</v>
      </c>
      <c r="E72" s="5" t="s">
        <v>1197</v>
      </c>
      <c r="F72" s="34">
        <f>0.25</f>
        <v>0.25</v>
      </c>
    </row>
    <row r="73" spans="1:7" s="25" customFormat="1" ht="28.9">
      <c r="A73" s="25" t="s">
        <v>14</v>
      </c>
      <c r="B73" s="25" t="s">
        <v>16</v>
      </c>
      <c r="C73" s="25" t="s">
        <v>428</v>
      </c>
      <c r="D73" s="25" t="s">
        <v>1198</v>
      </c>
      <c r="E73" s="26" t="s">
        <v>1199</v>
      </c>
      <c r="F73" s="26" t="s">
        <v>1200</v>
      </c>
      <c r="G73" s="26"/>
    </row>
    <row r="74" spans="1:7" s="22" customFormat="1">
      <c r="A74" s="22" t="s">
        <v>16</v>
      </c>
      <c r="B74" s="22" t="s">
        <v>16</v>
      </c>
      <c r="C74" s="22" t="s">
        <v>980</v>
      </c>
      <c r="D74" s="22" t="s">
        <v>1198</v>
      </c>
      <c r="E74" s="5" t="s">
        <v>1201</v>
      </c>
      <c r="F74" s="49">
        <f>IF(AND(F73="≥ 2 m"),0.8,IF(AND(F73="&lt; 2 m and ≥ 1 m"),0.2,IF(AND(F73="&lt; 1 m"),0)))</f>
        <v>0.8</v>
      </c>
      <c r="G74" s="5" t="s">
        <v>1202</v>
      </c>
    </row>
    <row r="75" spans="1:7" s="22" customFormat="1">
      <c r="A75" s="22" t="s">
        <v>16</v>
      </c>
      <c r="B75" s="22" t="s">
        <v>16</v>
      </c>
      <c r="C75" s="22" t="s">
        <v>980</v>
      </c>
      <c r="D75" s="22" t="s">
        <v>1179</v>
      </c>
      <c r="E75" s="5" t="s">
        <v>1180</v>
      </c>
      <c r="F75" s="34">
        <f>21</f>
        <v>21</v>
      </c>
    </row>
    <row r="76" spans="1:7" s="86" customFormat="1" ht="18">
      <c r="A76" s="135"/>
      <c r="B76" s="136"/>
      <c r="C76" s="136"/>
      <c r="D76" s="136"/>
      <c r="E76" s="135" t="s">
        <v>1203</v>
      </c>
      <c r="F76" s="136"/>
    </row>
    <row r="77" spans="1:7" s="22" customFormat="1" ht="28.9">
      <c r="A77" s="22" t="s">
        <v>16</v>
      </c>
      <c r="B77" s="22" t="s">
        <v>16</v>
      </c>
      <c r="C77" s="22" t="s">
        <v>980</v>
      </c>
      <c r="D77" s="22" t="s">
        <v>1186</v>
      </c>
      <c r="E77" s="5" t="s">
        <v>1187</v>
      </c>
      <c r="F77" s="34">
        <f>F79*F80*F81</f>
        <v>0</v>
      </c>
    </row>
    <row r="78" spans="1:7" s="25" customFormat="1" ht="115.15">
      <c r="E78" s="26" t="s">
        <v>1204</v>
      </c>
      <c r="F78" s="153" t="s">
        <v>1029</v>
      </c>
    </row>
    <row r="79" spans="1:7" s="22" customFormat="1" ht="28.9">
      <c r="A79" s="22" t="s">
        <v>14</v>
      </c>
      <c r="B79" s="22" t="s">
        <v>16</v>
      </c>
      <c r="C79" s="22" t="s">
        <v>428</v>
      </c>
      <c r="D79" s="22" t="s">
        <v>1205</v>
      </c>
      <c r="E79" s="5" t="s">
        <v>1206</v>
      </c>
      <c r="F79" s="49">
        <f>IF(AND(F78="Option 1"),0.1,IF(AND(F78="Option 2"),0.15,IF(AND(F78="Option 3"),0.2,IF(AND(F78="Option 4"),0.05))))</f>
        <v>0.15</v>
      </c>
      <c r="G79" s="5" t="s">
        <v>1207</v>
      </c>
    </row>
    <row r="80" spans="1:7">
      <c r="A80" t="s">
        <v>14</v>
      </c>
      <c r="B80" t="s">
        <v>14</v>
      </c>
      <c r="C80" t="s">
        <v>90</v>
      </c>
      <c r="D80" t="s">
        <v>1152</v>
      </c>
      <c r="E80" s="1" t="s">
        <v>1153</v>
      </c>
    </row>
    <row r="81" spans="1:7" s="22" customFormat="1">
      <c r="A81" s="22" t="s">
        <v>16</v>
      </c>
      <c r="B81" s="22" t="s">
        <v>16</v>
      </c>
      <c r="C81" s="22" t="s">
        <v>980</v>
      </c>
      <c r="D81" s="22" t="s">
        <v>1179</v>
      </c>
      <c r="E81" s="5" t="s">
        <v>1180</v>
      </c>
      <c r="F81" s="34">
        <v>21</v>
      </c>
    </row>
    <row r="82" spans="1:7" s="86" customFormat="1" ht="18">
      <c r="A82" s="135"/>
      <c r="B82" s="136"/>
      <c r="C82" s="136"/>
      <c r="D82" s="136"/>
      <c r="E82" s="135" t="s">
        <v>1208</v>
      </c>
    </row>
    <row r="83" spans="1:7" s="22" customFormat="1" ht="28.9">
      <c r="A83" s="22" t="s">
        <v>16</v>
      </c>
      <c r="B83" s="22" t="s">
        <v>16</v>
      </c>
      <c r="C83" s="22" t="s">
        <v>980</v>
      </c>
      <c r="D83" s="22" t="s">
        <v>1186</v>
      </c>
      <c r="E83" s="5" t="s">
        <v>1187</v>
      </c>
      <c r="F83" s="34">
        <f>F85*F86*F87</f>
        <v>0</v>
      </c>
    </row>
    <row r="84" spans="1:7" s="25" customFormat="1" ht="72">
      <c r="E84" s="26" t="s">
        <v>1209</v>
      </c>
      <c r="F84" s="153" t="s">
        <v>985</v>
      </c>
    </row>
    <row r="85" spans="1:7" s="22" customFormat="1" ht="28.9">
      <c r="A85" s="22" t="s">
        <v>14</v>
      </c>
      <c r="B85" s="22" t="s">
        <v>16</v>
      </c>
      <c r="C85" s="22" t="s">
        <v>428</v>
      </c>
      <c r="D85" s="22" t="s">
        <v>1210</v>
      </c>
      <c r="E85" s="5" t="s">
        <v>1211</v>
      </c>
      <c r="F85" s="49">
        <f>IF(AND(F84="Option 1"),0.15,IF(AND(F84="Option 2"),0.35))</f>
        <v>0.15</v>
      </c>
      <c r="G85" s="5" t="s">
        <v>1212</v>
      </c>
    </row>
    <row r="86" spans="1:7" ht="28.9">
      <c r="A86" t="s">
        <v>14</v>
      </c>
      <c r="B86" t="s">
        <v>14</v>
      </c>
      <c r="C86" t="s">
        <v>90</v>
      </c>
      <c r="D86" t="s">
        <v>1152</v>
      </c>
      <c r="E86" s="1" t="s">
        <v>1164</v>
      </c>
    </row>
    <row r="87" spans="1:7" s="22" customFormat="1">
      <c r="A87" s="22" t="s">
        <v>16</v>
      </c>
      <c r="B87" s="22" t="s">
        <v>16</v>
      </c>
      <c r="C87" s="22" t="s">
        <v>980</v>
      </c>
      <c r="D87" s="22" t="s">
        <v>1179</v>
      </c>
      <c r="E87" s="5" t="s">
        <v>1213</v>
      </c>
      <c r="F87" s="34">
        <f>21</f>
        <v>21</v>
      </c>
    </row>
    <row r="88" spans="1:7" s="86" customFormat="1" ht="18">
      <c r="A88" s="135"/>
      <c r="B88" s="136"/>
      <c r="C88" s="136"/>
      <c r="D88" s="136"/>
      <c r="E88" s="135" t="s">
        <v>1214</v>
      </c>
    </row>
    <row r="89" spans="1:7" s="22" customFormat="1" ht="28.9">
      <c r="A89" s="22" t="s">
        <v>16</v>
      </c>
      <c r="B89" s="22" t="s">
        <v>16</v>
      </c>
      <c r="C89" s="22" t="s">
        <v>980</v>
      </c>
      <c r="D89" s="22" t="s">
        <v>1186</v>
      </c>
      <c r="E89" s="5" t="s">
        <v>1187</v>
      </c>
      <c r="F89" s="34">
        <f>'Tool 04-SWDS-Yearly'!C86</f>
        <v>34.183359991239271</v>
      </c>
      <c r="G89" s="22" t="s">
        <v>1215</v>
      </c>
    </row>
  </sheetData>
  <dataValidations count="9">
    <dataValidation type="list" allowBlank="1" showInputMessage="1" showErrorMessage="1" sqref="F84" xr:uid="{E44F34E5-152F-4E5D-B719-08AB3D921357}">
      <formula1>"Option 1,Option 2"</formula1>
    </dataValidation>
    <dataValidation type="list" allowBlank="1" showInputMessage="1" showErrorMessage="1" sqref="F78" xr:uid="{A47EC2D5-26D7-4A44-A09A-49B00AE4D847}">
      <formula1>"Option 1,Option 2,Option 3,Option 4"</formula1>
    </dataValidation>
    <dataValidation type="list" allowBlank="1" showInputMessage="1" showErrorMessage="1" sqref="F73" xr:uid="{9D93488B-9A7E-4155-A489-A059EEDBAC4C}">
      <formula1>"≥ 2 m, &lt; 2 m and ≥ 1 m, &lt; 1 m"</formula1>
    </dataValidation>
    <dataValidation type="list" allowBlank="1" showInputMessage="1" showErrorMessage="1" sqref="F59" xr:uid="{7B5AAA05-60BA-4892-A10D-519A3B45FEE9}">
      <formula1>"Option A,Option B,Option C,Option D"</formula1>
    </dataValidation>
    <dataValidation type="list" allowBlank="1" showInputMessage="1" showErrorMessage="1" sqref="F51" xr:uid="{8FCDBDD5-6D8C-4443-85A4-6505080D525C}">
      <formula1>"Option A,Option B,Option C,Option D,Option E"</formula1>
    </dataValidation>
    <dataValidation type="list" allowBlank="1" showInputMessage="1" showErrorMessage="1" sqref="F10" xr:uid="{A4E56BD8-49F6-495A-BAA5-7FB8A395A0DA}">
      <formula1>"Option 1,Option 2,Option 3"</formula1>
    </dataValidation>
    <dataValidation type="list" allowBlank="1" showInputMessage="1" showErrorMessage="1" sqref="F6:F7" xr:uid="{63E730EA-2D4F-46D6-956F-EFD9AC9B0CC5}">
      <formula1>"Yes,No"</formula1>
    </dataValidation>
    <dataValidation type="list" allowBlank="1" showInputMessage="1" showErrorMessage="1" sqref="F4 F8 F11" xr:uid="{CD79C00F-E27B-4DAD-87EB-08724F2EF78D}">
      <formula1>"Default Values,Monitored Data"</formula1>
    </dataValidation>
    <dataValidation type="list" allowBlank="1" showInputMessage="1" showErrorMessage="1" sqref="F3" xr:uid="{911CFE4A-D8B8-484E-8586-1F3D608E03E2}">
      <formula1>"Small-scale,Large-scale"</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619A-2B8B-4DA2-A093-7C4B57F19078}">
  <dimension ref="A1:H137"/>
  <sheetViews>
    <sheetView topLeftCell="A97" workbookViewId="0">
      <selection activeCell="C90" sqref="C90"/>
    </sheetView>
  </sheetViews>
  <sheetFormatPr defaultRowHeight="14.45"/>
  <cols>
    <col min="1" max="1" width="28.140625" customWidth="1"/>
    <col min="2" max="2" width="97.28515625" style="1" customWidth="1"/>
    <col min="3" max="3" width="28.140625" customWidth="1"/>
    <col min="5" max="5" width="11.7109375" customWidth="1"/>
    <col min="6" max="6" width="8.85546875" customWidth="1"/>
    <col min="7" max="7" width="14.7109375" customWidth="1"/>
    <col min="9" max="9" width="11" bestFit="1" customWidth="1"/>
  </cols>
  <sheetData>
    <row r="1" spans="2:8">
      <c r="C1" t="s">
        <v>362</v>
      </c>
      <c r="D1" t="s">
        <v>4</v>
      </c>
      <c r="E1" t="s">
        <v>7</v>
      </c>
      <c r="F1" t="s">
        <v>363</v>
      </c>
      <c r="G1" t="s">
        <v>360</v>
      </c>
      <c r="H1" t="s">
        <v>9</v>
      </c>
    </row>
    <row r="2" spans="2:8" s="86" customFormat="1" ht="18">
      <c r="B2" s="9" t="s">
        <v>431</v>
      </c>
    </row>
    <row r="3" spans="2:8">
      <c r="B3" s="1" t="s">
        <v>1216</v>
      </c>
      <c r="C3" t="s">
        <v>1217</v>
      </c>
      <c r="D3" t="s">
        <v>14</v>
      </c>
      <c r="E3" t="s">
        <v>186</v>
      </c>
      <c r="G3" t="s">
        <v>905</v>
      </c>
    </row>
    <row r="4" spans="2:8" ht="28.9">
      <c r="B4" s="1" t="s">
        <v>1218</v>
      </c>
      <c r="C4" t="s">
        <v>14</v>
      </c>
      <c r="D4" t="s">
        <v>14</v>
      </c>
      <c r="E4" t="s">
        <v>186</v>
      </c>
      <c r="G4" t="s">
        <v>905</v>
      </c>
    </row>
    <row r="5" spans="2:8">
      <c r="B5" s="1" t="s">
        <v>1219</v>
      </c>
      <c r="C5" t="s">
        <v>14</v>
      </c>
      <c r="D5" t="s">
        <v>14</v>
      </c>
      <c r="E5" t="s">
        <v>186</v>
      </c>
      <c r="G5" t="s">
        <v>905</v>
      </c>
    </row>
    <row r="6" spans="2:8">
      <c r="B6" s="1" t="s">
        <v>1220</v>
      </c>
      <c r="C6" t="s">
        <v>16</v>
      </c>
      <c r="D6" t="str">
        <f>IF(C5="Yes","Yes","NA")</f>
        <v>Yes</v>
      </c>
      <c r="E6" t="s">
        <v>186</v>
      </c>
      <c r="G6" t="s">
        <v>905</v>
      </c>
    </row>
    <row r="7" spans="2:8">
      <c r="B7" s="1" t="s">
        <v>1221</v>
      </c>
      <c r="C7" t="s">
        <v>16</v>
      </c>
      <c r="D7" t="str">
        <f>IF(C5="Yes","Yes","NA")</f>
        <v>Yes</v>
      </c>
      <c r="E7" t="s">
        <v>186</v>
      </c>
      <c r="G7" t="s">
        <v>905</v>
      </c>
    </row>
    <row r="8" spans="2:8">
      <c r="B8" s="1" t="s">
        <v>1222</v>
      </c>
      <c r="C8" t="s">
        <v>16</v>
      </c>
      <c r="D8" t="str">
        <f>IF(C5="Yes","Yes","NA")</f>
        <v>Yes</v>
      </c>
      <c r="E8" t="s">
        <v>186</v>
      </c>
      <c r="G8" t="s">
        <v>905</v>
      </c>
    </row>
    <row r="9" spans="2:8">
      <c r="B9" s="1" t="s">
        <v>1223</v>
      </c>
      <c r="C9" t="s">
        <v>16</v>
      </c>
      <c r="D9" t="str">
        <f>IF(C5="Yes","Yes","NA")</f>
        <v>Yes</v>
      </c>
      <c r="E9" t="s">
        <v>186</v>
      </c>
      <c r="G9" t="s">
        <v>905</v>
      </c>
    </row>
    <row r="10" spans="2:8">
      <c r="B10" s="1" t="s">
        <v>1224</v>
      </c>
      <c r="C10" t="s">
        <v>16</v>
      </c>
      <c r="D10" t="str">
        <f>IF(C5="Yes","Yes","NA")</f>
        <v>Yes</v>
      </c>
      <c r="E10" t="s">
        <v>186</v>
      </c>
      <c r="G10" t="s">
        <v>905</v>
      </c>
    </row>
    <row r="11" spans="2:8">
      <c r="B11" s="1" t="s">
        <v>1225</v>
      </c>
      <c r="C11" t="s">
        <v>14</v>
      </c>
      <c r="D11" t="str">
        <f>IF(C5="Yes","Yes","NA")</f>
        <v>Yes</v>
      </c>
      <c r="E11" t="s">
        <v>186</v>
      </c>
      <c r="G11" t="s">
        <v>905</v>
      </c>
    </row>
    <row r="12" spans="2:8" ht="28.9">
      <c r="B12" s="1" t="s">
        <v>1226</v>
      </c>
      <c r="C12" t="s">
        <v>14</v>
      </c>
      <c r="D12" t="str">
        <f>IF(AND(C5="Yes",C11="Yes"),"Yes","NA")</f>
        <v>Yes</v>
      </c>
      <c r="E12" t="s">
        <v>186</v>
      </c>
      <c r="G12" t="s">
        <v>905</v>
      </c>
    </row>
    <row r="13" spans="2:8" ht="28.9">
      <c r="B13" s="1" t="s">
        <v>1227</v>
      </c>
      <c r="D13" t="str">
        <f>IF(AND(C5="Yes",C11="Yes"),"Yes","NA")</f>
        <v>Yes</v>
      </c>
      <c r="E13" t="s">
        <v>1228</v>
      </c>
      <c r="G13" t="s">
        <v>905</v>
      </c>
    </row>
    <row r="14" spans="2:8" ht="43.15">
      <c r="B14" s="1" t="s">
        <v>1229</v>
      </c>
      <c r="C14" s="22" t="s">
        <v>14</v>
      </c>
      <c r="D14" t="str">
        <f>IF(AND(C5="Yes",C11="Yes"),"Yes","NA")</f>
        <v>Yes</v>
      </c>
      <c r="E14" t="s">
        <v>242</v>
      </c>
      <c r="G14" t="s">
        <v>905</v>
      </c>
    </row>
    <row r="15" spans="2:8" ht="43.15">
      <c r="B15" s="1" t="s">
        <v>1230</v>
      </c>
      <c r="C15" t="s">
        <v>14</v>
      </c>
      <c r="D15" t="str">
        <f>IF(AND(C5="Yes",C11="Yes"),"Yes","NA")</f>
        <v>Yes</v>
      </c>
      <c r="E15" t="s">
        <v>186</v>
      </c>
      <c r="G15" t="s">
        <v>905</v>
      </c>
    </row>
    <row r="16" spans="2:8" ht="29.45" thickBot="1">
      <c r="B16" s="1" t="s">
        <v>1231</v>
      </c>
      <c r="D16" t="str">
        <f>IF(AND(C5="Yes",C11="Yes"),"Yes","NA")</f>
        <v>Yes</v>
      </c>
      <c r="E16" t="s">
        <v>1232</v>
      </c>
      <c r="G16" t="s">
        <v>14</v>
      </c>
    </row>
    <row r="17" spans="2:7" s="27" customFormat="1" ht="15.6" thickTop="1" thickBot="1">
      <c r="B17" s="3" t="s">
        <v>100</v>
      </c>
      <c r="C17" s="84" t="str">
        <f>IF(AND(C4="No",C5="No"),"NA",IF(OR(C6="Yes",C7="Yes",C8="Yes",C9="Yes",C10="Yes",C12="No",C14="No",C15="No"),"NA","Applicable"))</f>
        <v>Applicable</v>
      </c>
      <c r="E17" s="27" t="s">
        <v>1233</v>
      </c>
    </row>
    <row r="18" spans="2:7" s="81" customFormat="1" ht="15" thickTop="1">
      <c r="B18" s="83" t="s">
        <v>1234</v>
      </c>
      <c r="C18" s="81" t="s">
        <v>433</v>
      </c>
      <c r="D18" s="81" t="s">
        <v>14</v>
      </c>
      <c r="E18" s="81" t="s">
        <v>186</v>
      </c>
      <c r="G18" s="81" t="s">
        <v>16</v>
      </c>
    </row>
    <row r="19" spans="2:7">
      <c r="B19" s="1" t="s">
        <v>1235</v>
      </c>
      <c r="C19" t="s">
        <v>1236</v>
      </c>
      <c r="D19" t="str">
        <f>IF(C18="Project Emissions (PE)","Yes","NA")</f>
        <v>Yes</v>
      </c>
      <c r="E19" t="s">
        <v>186</v>
      </c>
      <c r="G19" t="s">
        <v>16</v>
      </c>
    </row>
    <row r="20" spans="2:7" ht="15" customHeight="1">
      <c r="B20" s="1" t="s">
        <v>1237</v>
      </c>
      <c r="C20" t="s">
        <v>1238</v>
      </c>
      <c r="D20" t="str">
        <f>IF(AND(C18="Project Emissions (PE)",C19="Included"),"Yes","NA")</f>
        <v>Yes</v>
      </c>
      <c r="E20" t="s">
        <v>186</v>
      </c>
      <c r="G20" t="s">
        <v>16</v>
      </c>
    </row>
    <row r="21" spans="2:7" ht="28.9">
      <c r="B21" s="1" t="s">
        <v>1239</v>
      </c>
      <c r="C21" t="s">
        <v>1236</v>
      </c>
      <c r="D21" t="str">
        <f>IF(C18="Project Emissions (PE)","Yes","NA")</f>
        <v>Yes</v>
      </c>
      <c r="E21" t="s">
        <v>186</v>
      </c>
      <c r="F21" t="s">
        <v>1240</v>
      </c>
      <c r="G21" t="s">
        <v>16</v>
      </c>
    </row>
    <row r="22" spans="2:7">
      <c r="B22" s="1" t="s">
        <v>1241</v>
      </c>
      <c r="C22" t="s">
        <v>1236</v>
      </c>
      <c r="D22" t="str">
        <f>IF(C18="Project Emissions (PE)","Yes","NA")</f>
        <v>Yes</v>
      </c>
      <c r="E22" t="s">
        <v>186</v>
      </c>
      <c r="G22" t="s">
        <v>16</v>
      </c>
    </row>
    <row r="23" spans="2:7">
      <c r="B23" s="1" t="s">
        <v>1242</v>
      </c>
      <c r="C23" t="s">
        <v>1236</v>
      </c>
      <c r="D23" t="str">
        <f>IF(C18="Project Emissions (PE)","Yes","NA")</f>
        <v>Yes</v>
      </c>
      <c r="E23" t="s">
        <v>186</v>
      </c>
      <c r="G23" t="s">
        <v>16</v>
      </c>
    </row>
    <row r="24" spans="2:7">
      <c r="B24" s="1" t="s">
        <v>1243</v>
      </c>
      <c r="C24" t="s">
        <v>1236</v>
      </c>
      <c r="D24" t="str">
        <f>IF(C18="Project Emissions (PE)","Yes","NA")</f>
        <v>Yes</v>
      </c>
      <c r="E24" t="s">
        <v>186</v>
      </c>
      <c r="G24" t="s">
        <v>16</v>
      </c>
    </row>
    <row r="25" spans="2:7">
      <c r="B25" s="1" t="s">
        <v>1244</v>
      </c>
      <c r="C25" t="s">
        <v>1236</v>
      </c>
      <c r="D25" t="str">
        <f>IF(C18="Project Emissions (PE)","Yes","NA")</f>
        <v>Yes</v>
      </c>
      <c r="E25" t="s">
        <v>186</v>
      </c>
      <c r="G25" t="s">
        <v>16</v>
      </c>
    </row>
    <row r="26" spans="2:7" ht="45" customHeight="1">
      <c r="B26" s="1" t="s">
        <v>1245</v>
      </c>
      <c r="C26" t="s">
        <v>14</v>
      </c>
      <c r="D26" t="str">
        <f>IF(OR(C24="Included",C25="Included"),"Yes","NA")</f>
        <v>Yes</v>
      </c>
      <c r="E26" t="s">
        <v>186</v>
      </c>
      <c r="G26" t="s">
        <v>16</v>
      </c>
    </row>
    <row r="27" spans="2:7" ht="28.9">
      <c r="B27" s="1" t="s">
        <v>1246</v>
      </c>
      <c r="C27" t="s">
        <v>1236</v>
      </c>
      <c r="D27" t="str">
        <f>IF(C18="Leakage Emissions (LE)","Yes","NA")</f>
        <v>NA</v>
      </c>
      <c r="E27" t="s">
        <v>186</v>
      </c>
      <c r="G27" t="s">
        <v>16</v>
      </c>
    </row>
    <row r="28" spans="2:7" ht="30.6" customHeight="1">
      <c r="B28" s="1" t="s">
        <v>1247</v>
      </c>
      <c r="C28" t="s">
        <v>16</v>
      </c>
      <c r="D28" t="str">
        <f>IF(C27="Included","Yes","NA")</f>
        <v>Yes</v>
      </c>
      <c r="E28" t="s">
        <v>186</v>
      </c>
      <c r="G28" t="s">
        <v>16</v>
      </c>
    </row>
    <row r="29" spans="2:7" ht="43.9" customHeight="1">
      <c r="B29" s="1" t="s">
        <v>1248</v>
      </c>
      <c r="C29" t="s">
        <v>16</v>
      </c>
      <c r="D29" t="str">
        <f>IF(C27="Included","Yes","NA")</f>
        <v>Yes</v>
      </c>
      <c r="E29" t="s">
        <v>186</v>
      </c>
      <c r="F29" t="s">
        <v>1249</v>
      </c>
      <c r="G29" t="s">
        <v>16</v>
      </c>
    </row>
    <row r="30" spans="2:7" ht="28.9">
      <c r="B30" s="1" t="s">
        <v>1250</v>
      </c>
      <c r="C30" t="s">
        <v>1236</v>
      </c>
      <c r="D30" t="str">
        <f>IF(C18="Leakage Emissions (LE)","Yes","NA")</f>
        <v>NA</v>
      </c>
      <c r="E30" t="s">
        <v>186</v>
      </c>
      <c r="G30" t="s">
        <v>16</v>
      </c>
    </row>
    <row r="31" spans="2:7">
      <c r="B31" s="1" t="s">
        <v>1251</v>
      </c>
      <c r="C31" t="s">
        <v>1252</v>
      </c>
      <c r="D31" t="str">
        <f>IF(C30="Included","Yes","NA")</f>
        <v>Yes</v>
      </c>
      <c r="E31" t="s">
        <v>186</v>
      </c>
      <c r="G31" t="s">
        <v>16</v>
      </c>
    </row>
    <row r="32" spans="2:7" ht="28.9">
      <c r="B32" s="1" t="s">
        <v>1253</v>
      </c>
      <c r="C32" t="s">
        <v>1254</v>
      </c>
      <c r="D32" t="str">
        <f>IF(C18="Leakage Emissions (LE)","Yes","NA")</f>
        <v>NA</v>
      </c>
      <c r="E32" t="s">
        <v>186</v>
      </c>
      <c r="G32" t="s">
        <v>16</v>
      </c>
    </row>
    <row r="33" spans="1:7" ht="28.9">
      <c r="B33" s="1" t="s">
        <v>1255</v>
      </c>
      <c r="C33" t="s">
        <v>1254</v>
      </c>
      <c r="D33" t="str">
        <f>IF(C18="Leakage Emissions (LE)","Yes","NA")</f>
        <v>NA</v>
      </c>
      <c r="E33" t="s">
        <v>186</v>
      </c>
      <c r="G33" t="s">
        <v>16</v>
      </c>
    </row>
    <row r="34" spans="1:7" s="10" customFormat="1" ht="36">
      <c r="A34" s="10" t="s">
        <v>1256</v>
      </c>
      <c r="B34" s="9" t="s">
        <v>1257</v>
      </c>
      <c r="D34" s="10" t="str">
        <f>IF(AND(C18="Project Emissions (PE)",C19="Included"),"Yes","NA")</f>
        <v>Yes</v>
      </c>
    </row>
    <row r="35" spans="1:7" ht="15" customHeight="1">
      <c r="A35" t="s">
        <v>1258</v>
      </c>
      <c r="B35" s="1" t="s">
        <v>1259</v>
      </c>
      <c r="C35">
        <v>4.9000000000000004</v>
      </c>
      <c r="D35" t="str">
        <f>IF(AND(C18="Project Emissions (PE)",C19="Included"),"Yes","NA")</f>
        <v>Yes</v>
      </c>
      <c r="E35" t="s">
        <v>90</v>
      </c>
      <c r="G35" t="s">
        <v>905</v>
      </c>
    </row>
    <row r="36" spans="1:7" ht="15" customHeight="1">
      <c r="A36" t="s">
        <v>1260</v>
      </c>
      <c r="B36" s="1" t="s">
        <v>1261</v>
      </c>
      <c r="C36">
        <v>14</v>
      </c>
      <c r="D36" t="str">
        <f>IF(AND(C18="Project Emissions (PE)",C19="Included"),"Yes","NA")</f>
        <v>Yes</v>
      </c>
      <c r="E36" t="s">
        <v>90</v>
      </c>
      <c r="G36" t="s">
        <v>905</v>
      </c>
    </row>
    <row r="37" spans="1:7" ht="26.45" customHeight="1">
      <c r="A37" t="s">
        <v>1262</v>
      </c>
      <c r="B37" s="1" t="s">
        <v>1263</v>
      </c>
      <c r="C37" s="173">
        <v>0.2</v>
      </c>
      <c r="D37" t="str">
        <f>IF(AND(C18="Project Emissions (PE)",C19="Included"),"Yes","NA")</f>
        <v>Yes</v>
      </c>
      <c r="E37" t="s">
        <v>90</v>
      </c>
      <c r="G37" t="s">
        <v>905</v>
      </c>
    </row>
    <row r="38" spans="1:7">
      <c r="A38" t="s">
        <v>1264</v>
      </c>
      <c r="B38" s="1" t="s">
        <v>1265</v>
      </c>
      <c r="C38" s="22">
        <f>((44/12)*0.47*C35*C36*(1.06+C37))+SUM(C39)</f>
        <v>148.95803999999998</v>
      </c>
      <c r="D38" t="str">
        <f>IF(AND(C18="Project Emissions (PE)",C19="Included"),"Yes","NA")</f>
        <v>Yes</v>
      </c>
      <c r="E38" t="s">
        <v>1233</v>
      </c>
      <c r="G38" t="s">
        <v>905</v>
      </c>
    </row>
    <row r="39" spans="1:7">
      <c r="B39" s="24" t="s">
        <v>1266</v>
      </c>
      <c r="F39" t="s">
        <v>1267</v>
      </c>
      <c r="G39" t="s">
        <v>14</v>
      </c>
    </row>
    <row r="40" spans="1:7" s="13" customFormat="1" ht="28.9" customHeight="1">
      <c r="A40" s="13" t="s">
        <v>1268</v>
      </c>
      <c r="B40" s="12" t="s">
        <v>1269</v>
      </c>
      <c r="D40" s="13" t="str">
        <f>IF(AND(C18="Project Emissions (PE)",C19="Included",C21="Included"),"Yes","NA")</f>
        <v>Yes</v>
      </c>
    </row>
    <row r="41" spans="1:7" ht="30.6" customHeight="1">
      <c r="A41" t="s">
        <v>1270</v>
      </c>
      <c r="B41" s="1" t="s">
        <v>1271</v>
      </c>
      <c r="C41" s="22">
        <f>'Tool 05.1'!G6</f>
        <v>0.73499999999999999</v>
      </c>
      <c r="D41" t="str">
        <f>IF(AND(C18="Project Emissions (PE)",C19="Included",C21="Included"),"Yes","NA")</f>
        <v>Yes</v>
      </c>
      <c r="E41" t="s">
        <v>1272</v>
      </c>
      <c r="G41" t="s">
        <v>905</v>
      </c>
    </row>
    <row r="42" spans="1:7" ht="29.45" customHeight="1">
      <c r="A42" t="s">
        <v>1273</v>
      </c>
      <c r="B42" s="1" t="s">
        <v>1274</v>
      </c>
      <c r="C42" s="22">
        <f>'(Revised) Tool 03'!G3</f>
        <v>73.333333333333329</v>
      </c>
      <c r="D42" t="str">
        <f>IF(AND(C18="Project Emissions (PE)",C19="Included",C21="Included"),"Yes","NA")</f>
        <v>Yes</v>
      </c>
      <c r="E42" t="s">
        <v>1272</v>
      </c>
      <c r="G42" t="s">
        <v>905</v>
      </c>
    </row>
    <row r="43" spans="1:7" ht="28.9">
      <c r="A43" t="s">
        <v>1268</v>
      </c>
      <c r="B43" s="1" t="s">
        <v>1269</v>
      </c>
      <c r="C43" s="22">
        <f>C41+C42</f>
        <v>74.068333333333328</v>
      </c>
      <c r="D43" t="str">
        <f>IF(AND(C18="Project Emissions (PE)",C19="Included",C21="Included"),"Yes","NA")</f>
        <v>Yes</v>
      </c>
      <c r="E43" t="s">
        <v>1233</v>
      </c>
      <c r="G43" t="s">
        <v>905</v>
      </c>
    </row>
    <row r="44" spans="1:7" s="13" customFormat="1" ht="15" customHeight="1">
      <c r="A44" s="13" t="s">
        <v>1275</v>
      </c>
      <c r="B44" s="12" t="s">
        <v>1276</v>
      </c>
      <c r="D44" s="13" t="str">
        <f>IF(AND(C18="Project Emissions (PE)",C19="Included"),"Yes","NA")</f>
        <v>Yes</v>
      </c>
    </row>
    <row r="45" spans="1:7" ht="15" customHeight="1">
      <c r="A45" t="s">
        <v>1277</v>
      </c>
      <c r="B45" s="1" t="s">
        <v>1278</v>
      </c>
      <c r="C45">
        <v>5</v>
      </c>
      <c r="D45" t="str">
        <f>IF(AND(C18="Project Emissions (PE)",C19="Included"),"Yes","NA")</f>
        <v>Yes</v>
      </c>
      <c r="E45" t="s">
        <v>90</v>
      </c>
      <c r="G45" t="s">
        <v>905</v>
      </c>
    </row>
    <row r="46" spans="1:7" ht="15" customHeight="1">
      <c r="A46" t="s">
        <v>1279</v>
      </c>
      <c r="B46" s="1" t="s">
        <v>1280</v>
      </c>
      <c r="C46">
        <v>44</v>
      </c>
      <c r="D46" t="str">
        <f>IF(AND(C18="Project Emissions (PE)",C19="Included"),"Yes","NA")</f>
        <v>Yes</v>
      </c>
      <c r="E46" t="s">
        <v>90</v>
      </c>
      <c r="G46" t="s">
        <v>905</v>
      </c>
    </row>
    <row r="47" spans="1:7" ht="30.6" customHeight="1">
      <c r="A47" t="s">
        <v>1281</v>
      </c>
      <c r="B47" s="1" t="s">
        <v>1282</v>
      </c>
      <c r="C47" s="22">
        <f>IF(C20="Limestone",0.12,IF(C20="Dolomite",0.13,IF(C20="Urea",0.2)))</f>
        <v>0.2</v>
      </c>
      <c r="D47" t="str">
        <f>IF(AND(C18="Project Emissions (PE)",C19="Included"),"Yes","NA")</f>
        <v>Yes</v>
      </c>
      <c r="E47" t="s">
        <v>1233</v>
      </c>
      <c r="F47" t="s">
        <v>1283</v>
      </c>
      <c r="G47" t="s">
        <v>905</v>
      </c>
    </row>
    <row r="48" spans="1:7">
      <c r="A48" t="s">
        <v>1275</v>
      </c>
      <c r="B48" s="1" t="s">
        <v>1276</v>
      </c>
      <c r="C48" s="22">
        <f>(C45*C46*C47)+SUM(C49)</f>
        <v>44</v>
      </c>
      <c r="D48" t="str">
        <f>IF(AND(C18="Project Emissions (PE)",C19="Included"),"Yes","NA")</f>
        <v>Yes</v>
      </c>
      <c r="E48" t="s">
        <v>1233</v>
      </c>
      <c r="G48" t="s">
        <v>905</v>
      </c>
    </row>
    <row r="49" spans="1:7">
      <c r="B49" s="24" t="s">
        <v>1266</v>
      </c>
      <c r="F49" t="s">
        <v>1284</v>
      </c>
      <c r="G49" t="s">
        <v>14</v>
      </c>
    </row>
    <row r="50" spans="1:7" s="86" customFormat="1" ht="15" customHeight="1">
      <c r="A50" s="13" t="s">
        <v>1285</v>
      </c>
      <c r="B50" s="12" t="s">
        <v>1286</v>
      </c>
      <c r="D50" s="86" t="str">
        <f>IF(C20="NA","No",IF(AND(C18="Project Emissions (PE)",C19="Included"),"Yes","NA"))</f>
        <v>Yes</v>
      </c>
    </row>
    <row r="51" spans="1:7" ht="15" customHeight="1">
      <c r="A51" t="s">
        <v>1287</v>
      </c>
      <c r="B51" s="1" t="s">
        <v>1288</v>
      </c>
      <c r="C51">
        <v>0.6</v>
      </c>
      <c r="D51" t="str">
        <f>IF(C20="NA","No",IF(AND(C18="Project Emissions (PE)",C19="Included"),"Yes","NA"))</f>
        <v>Yes</v>
      </c>
      <c r="E51" t="s">
        <v>90</v>
      </c>
      <c r="G51" t="s">
        <v>905</v>
      </c>
    </row>
    <row r="52" spans="1:7" ht="15" customHeight="1" thickBot="1">
      <c r="A52" t="s">
        <v>1289</v>
      </c>
      <c r="B52" s="1" t="s">
        <v>1290</v>
      </c>
      <c r="C52">
        <v>12</v>
      </c>
      <c r="D52" t="str">
        <f>IF(C20="NA","No",IF(AND(C18="Project Emissions (PE)",C19="Included"),"Yes","NA"))</f>
        <v>Yes</v>
      </c>
      <c r="E52" t="s">
        <v>90</v>
      </c>
      <c r="G52" t="s">
        <v>905</v>
      </c>
    </row>
    <row r="53" spans="1:7" ht="28.9" customHeight="1" thickBot="1">
      <c r="A53" t="s">
        <v>1291</v>
      </c>
      <c r="B53" s="1" t="s">
        <v>1292</v>
      </c>
      <c r="C53" s="77">
        <v>11.29</v>
      </c>
      <c r="D53" t="str">
        <f>IF(C20="NA","No",IF(AND(C18="Project Emissions (PE)",C19="Included"),"Yes","NA"))</f>
        <v>Yes</v>
      </c>
      <c r="E53" t="s">
        <v>1293</v>
      </c>
      <c r="F53" t="s">
        <v>1294</v>
      </c>
      <c r="G53" t="s">
        <v>905</v>
      </c>
    </row>
    <row r="54" spans="1:7">
      <c r="A54" t="s">
        <v>1285</v>
      </c>
      <c r="B54" s="1" t="s">
        <v>1286</v>
      </c>
      <c r="C54" s="22">
        <f>C51*C52*C53</f>
        <v>81.287999999999982</v>
      </c>
      <c r="D54" t="str">
        <f>IF(C20="NA","No",IF(AND(C18="Project Emissions (PE)",C19="Included"),"Yes","NA"))</f>
        <v>Yes</v>
      </c>
      <c r="E54" t="s">
        <v>1233</v>
      </c>
      <c r="G54" t="s">
        <v>905</v>
      </c>
    </row>
    <row r="55" spans="1:7" s="13" customFormat="1">
      <c r="A55" s="13" t="s">
        <v>1295</v>
      </c>
      <c r="B55" s="12" t="s">
        <v>1296</v>
      </c>
      <c r="D55" s="13" t="str">
        <f>IF(AND(C18="Project Emissions (PE)",C19="Included"),"Yes","NA")</f>
        <v>Yes</v>
      </c>
    </row>
    <row r="56" spans="1:7">
      <c r="A56" t="s">
        <v>1295</v>
      </c>
      <c r="B56" s="1" t="s">
        <v>1297</v>
      </c>
      <c r="C56" s="22">
        <f>C54+C48</f>
        <v>125.28799999999998</v>
      </c>
      <c r="D56" t="str">
        <f>IF(AND(C18="Project Emissions (PE)",C19="Included"),"Yes","NA")</f>
        <v>Yes</v>
      </c>
      <c r="E56" t="s">
        <v>1233</v>
      </c>
      <c r="G56" t="s">
        <v>16</v>
      </c>
    </row>
    <row r="57" spans="1:7" s="13" customFormat="1">
      <c r="A57" s="13" t="s">
        <v>1298</v>
      </c>
      <c r="B57" s="12" t="s">
        <v>1299</v>
      </c>
      <c r="D57" s="13" t="str">
        <f>IF(AND(C18="Project Emissions (PE)",C19="Included"),"Yes","NA")</f>
        <v>Yes</v>
      </c>
    </row>
    <row r="58" spans="1:7">
      <c r="A58" t="s">
        <v>1300</v>
      </c>
      <c r="B58" s="1" t="s">
        <v>1301</v>
      </c>
      <c r="C58">
        <v>12</v>
      </c>
      <c r="D58" t="str">
        <f>IF(AND(C18="Project Emissions (PE)",C19="Included"),"Yes","NA")</f>
        <v>Yes</v>
      </c>
      <c r="E58" t="s">
        <v>90</v>
      </c>
      <c r="G58" t="s">
        <v>905</v>
      </c>
    </row>
    <row r="59" spans="1:7">
      <c r="A59" t="s">
        <v>1302</v>
      </c>
      <c r="B59" s="1" t="s">
        <v>1303</v>
      </c>
      <c r="C59">
        <v>33</v>
      </c>
      <c r="D59" t="str">
        <f>IF(AND(C18="Project Emissions (PE)",C19="Included"),"Yes","NA")</f>
        <v>Yes</v>
      </c>
      <c r="E59" t="s">
        <v>90</v>
      </c>
      <c r="F59" t="s">
        <v>1304</v>
      </c>
      <c r="G59" t="s">
        <v>905</v>
      </c>
    </row>
    <row r="60" spans="1:7">
      <c r="A60" t="s">
        <v>1305</v>
      </c>
      <c r="B60" s="1" t="s">
        <v>1306</v>
      </c>
      <c r="C60">
        <v>0.77</v>
      </c>
      <c r="D60" t="str">
        <f>IF(AND(C18="Project Emissions (PE)",C19="Included"),"Yes","NA")</f>
        <v>Yes</v>
      </c>
      <c r="E60" t="s">
        <v>90</v>
      </c>
      <c r="F60" t="s">
        <v>1307</v>
      </c>
      <c r="G60" t="s">
        <v>905</v>
      </c>
    </row>
    <row r="61" spans="1:7">
      <c r="A61" t="s">
        <v>1308</v>
      </c>
      <c r="B61" s="1" t="s">
        <v>1309</v>
      </c>
      <c r="C61">
        <v>0.59</v>
      </c>
      <c r="D61" t="str">
        <f>IF(AND(C18="Project Emissions (PE)",C19="Included"),"Yes","NA")</f>
        <v>Yes</v>
      </c>
      <c r="E61" t="s">
        <v>90</v>
      </c>
      <c r="F61" t="s">
        <v>1310</v>
      </c>
      <c r="G61" t="s">
        <v>905</v>
      </c>
    </row>
    <row r="62" spans="1:7">
      <c r="A62" t="s">
        <v>1311</v>
      </c>
      <c r="B62" s="1" t="s">
        <v>1312</v>
      </c>
      <c r="C62">
        <v>0.63</v>
      </c>
      <c r="D62" t="str">
        <f>IF(AND(C18="Project Emissions (PE)",C19="Included"),"Yes","NA")</f>
        <v>Yes</v>
      </c>
      <c r="E62" t="s">
        <v>90</v>
      </c>
      <c r="F62" t="s">
        <v>1307</v>
      </c>
      <c r="G62" t="s">
        <v>905</v>
      </c>
    </row>
    <row r="63" spans="1:7">
      <c r="A63" t="s">
        <v>1313</v>
      </c>
      <c r="B63" s="1" t="s">
        <v>1314</v>
      </c>
      <c r="C63">
        <v>0.88</v>
      </c>
      <c r="D63" t="str">
        <f>IF(AND(C18="Project Emissions (PE)",C19="Included"),"Yes","NA")</f>
        <v>Yes</v>
      </c>
      <c r="E63" t="s">
        <v>90</v>
      </c>
      <c r="F63" t="s">
        <v>1310</v>
      </c>
      <c r="G63" t="s">
        <v>905</v>
      </c>
    </row>
    <row r="64" spans="1:7">
      <c r="A64" t="s">
        <v>1315</v>
      </c>
      <c r="B64" s="1" t="s">
        <v>1316</v>
      </c>
      <c r="C64">
        <v>1</v>
      </c>
      <c r="D64" t="str">
        <f>IF(AND(C18="Project Emissions (PE)",C19="Included"),"Yes","NA")</f>
        <v>Yes</v>
      </c>
      <c r="E64" t="s">
        <v>90</v>
      </c>
      <c r="F64" t="s">
        <v>1307</v>
      </c>
      <c r="G64" t="s">
        <v>905</v>
      </c>
    </row>
    <row r="65" spans="1:7">
      <c r="A65" t="s">
        <v>1317</v>
      </c>
      <c r="B65" s="1" t="s">
        <v>1318</v>
      </c>
      <c r="C65">
        <v>0.01</v>
      </c>
      <c r="D65" t="str">
        <f>IF(AND(C18="Project Emissions (PE)",C19="Included"),"Yes","NA")</f>
        <v>Yes</v>
      </c>
      <c r="E65" t="s">
        <v>90</v>
      </c>
      <c r="F65" t="s">
        <v>1310</v>
      </c>
      <c r="G65" t="s">
        <v>905</v>
      </c>
    </row>
    <row r="66" spans="1:7">
      <c r="A66" t="s">
        <v>1298</v>
      </c>
      <c r="B66" s="1" t="s">
        <v>1299</v>
      </c>
      <c r="C66" s="22">
        <f>1.21*C58*C59*(C60*C61*C62-C63*C64*C65)</f>
        <v>132.92329644</v>
      </c>
      <c r="D66" t="str">
        <f>IF(AND(C18="Project Emissions (PE)",C19="Included"),"Yes","NA")</f>
        <v>Yes</v>
      </c>
      <c r="E66" t="s">
        <v>1233</v>
      </c>
      <c r="F66" t="s">
        <v>1319</v>
      </c>
      <c r="G66" t="s">
        <v>905</v>
      </c>
    </row>
    <row r="67" spans="1:7">
      <c r="B67" s="24" t="s">
        <v>1266</v>
      </c>
      <c r="F67" t="s">
        <v>1320</v>
      </c>
      <c r="G67" t="s">
        <v>14</v>
      </c>
    </row>
    <row r="68" spans="1:7" s="13" customFormat="1">
      <c r="A68" s="13" t="s">
        <v>1321</v>
      </c>
      <c r="B68" s="12" t="s">
        <v>1322</v>
      </c>
      <c r="D68" s="13" t="str">
        <f>IF(AND(C18="Project Emissions (PE)",C19="Included",C21="Included"),"Yes","NA")</f>
        <v>Yes</v>
      </c>
    </row>
    <row r="69" spans="1:7">
      <c r="A69" t="s">
        <v>1323</v>
      </c>
      <c r="B69" s="1" t="s">
        <v>1324</v>
      </c>
      <c r="C69">
        <v>10</v>
      </c>
      <c r="D69" t="str">
        <f>IF(AND(C18="Project Emissions (PE)",C19="Included",C21="Included"),"Yes","NA")</f>
        <v>Yes</v>
      </c>
      <c r="E69" t="s">
        <v>186</v>
      </c>
      <c r="G69" t="s">
        <v>16</v>
      </c>
    </row>
    <row r="70" spans="1:7" ht="15" thickBot="1">
      <c r="A70" t="s">
        <v>1321</v>
      </c>
      <c r="B70" s="1" t="s">
        <v>1322</v>
      </c>
      <c r="C70" s="22">
        <f>MAX((44/12)*(1.179/C69)*SUM(C66:C67),0)</f>
        <v>57.462741051012003</v>
      </c>
      <c r="D70" t="str">
        <f>IF(AND(C18="Project Emissions (PE)",C19="Included"),"Yes","NA")</f>
        <v>Yes</v>
      </c>
      <c r="E70" t="s">
        <v>1233</v>
      </c>
      <c r="F70" t="s">
        <v>1325</v>
      </c>
      <c r="G70" t="s">
        <v>16</v>
      </c>
    </row>
    <row r="71" spans="1:7" s="4" customFormat="1" ht="13.9" customHeight="1" thickTop="1" thickBot="1">
      <c r="A71" s="4" t="s">
        <v>1256</v>
      </c>
      <c r="B71" s="3" t="s">
        <v>1257</v>
      </c>
      <c r="C71" s="76">
        <f>C70+C56+C43+C38</f>
        <v>405.77711438434528</v>
      </c>
      <c r="D71" s="4" t="str">
        <f>IF(AND(C18="Project Emissions (PE)",C19="Included"),"Yes","NA")</f>
        <v>Yes</v>
      </c>
      <c r="E71" s="4" t="s">
        <v>1233</v>
      </c>
      <c r="F71" s="4" t="s">
        <v>1326</v>
      </c>
      <c r="G71" s="4" t="s">
        <v>16</v>
      </c>
    </row>
    <row r="72" spans="1:7" s="10" customFormat="1" ht="37.15" thickTop="1" thickBot="1">
      <c r="A72" s="10" t="s">
        <v>1327</v>
      </c>
      <c r="B72" s="9" t="s">
        <v>1328</v>
      </c>
      <c r="D72" s="10" t="str">
        <f>IF(OR(C22="Included",C23="Included"),"Yes","NA")</f>
        <v>Yes</v>
      </c>
      <c r="F72" s="10" t="s">
        <v>1329</v>
      </c>
    </row>
    <row r="73" spans="1:7" s="4" customFormat="1" ht="15.6" thickTop="1" thickBot="1">
      <c r="A73" s="4" t="s">
        <v>1330</v>
      </c>
      <c r="B73" s="3" t="s">
        <v>1331</v>
      </c>
      <c r="C73" s="76">
        <f>IF('Tool 12 - Freight Trans'!C12="Option A: Monitoring fuel consumption",'Tool 12 - Freight Trans'!C17,'Tool 12 - Freight Trans'!C21)</f>
        <v>3.0872279999999996</v>
      </c>
      <c r="D73" s="4" t="str">
        <f>IF(C22="Included","Yes","NA")</f>
        <v>Yes</v>
      </c>
      <c r="E73" s="4" t="s">
        <v>1272</v>
      </c>
      <c r="F73" s="4" t="s">
        <v>1332</v>
      </c>
      <c r="G73" s="4" t="s">
        <v>16</v>
      </c>
    </row>
    <row r="74" spans="1:7" s="4" customFormat="1" ht="15.6" thickTop="1" thickBot="1">
      <c r="A74" s="4" t="s">
        <v>1333</v>
      </c>
      <c r="B74" s="3" t="s">
        <v>1334</v>
      </c>
      <c r="C74" s="76">
        <f>IF('Tool 12 - Freight Trans'!C12="Option A: Monitoring fuel consumption",'Tool 12 - Freight Trans'!C17,'Tool 12 - Freight Trans'!C21)</f>
        <v>3.0872279999999996</v>
      </c>
      <c r="D74" s="4" t="str">
        <f>IF(C23="Included","Yes","NA")</f>
        <v>Yes</v>
      </c>
      <c r="E74" s="4" t="s">
        <v>1272</v>
      </c>
      <c r="F74" s="4" t="s">
        <v>1335</v>
      </c>
      <c r="G74" s="4" t="s">
        <v>16</v>
      </c>
    </row>
    <row r="75" spans="1:7" s="10" customFormat="1" ht="36.6" thickTop="1">
      <c r="A75" s="10" t="s">
        <v>1336</v>
      </c>
      <c r="B75" s="9" t="s">
        <v>1337</v>
      </c>
      <c r="D75" s="10" t="str">
        <f>IF(OR(C24="Included",C25="Included"),"Yes","NA")</f>
        <v>Yes</v>
      </c>
    </row>
    <row r="76" spans="1:7" ht="28.9">
      <c r="A76" t="s">
        <v>1338</v>
      </c>
      <c r="B76" s="1" t="s">
        <v>1339</v>
      </c>
      <c r="C76" s="22">
        <f>IF('Tool 12 - Freight Trans'!C12="Option A: Monitoring fuel consumption",'Tool 12 - Freight Trans'!C17,'Tool 12 - Freight Trans'!C21)</f>
        <v>3.0872279999999996</v>
      </c>
      <c r="D76" t="str">
        <f>IF(C24="Included","Yes","NA")</f>
        <v>Yes</v>
      </c>
      <c r="E76" t="s">
        <v>1272</v>
      </c>
      <c r="F76" t="s">
        <v>1340</v>
      </c>
      <c r="G76" t="s">
        <v>16</v>
      </c>
    </row>
    <row r="77" spans="1:7" ht="28.9">
      <c r="A77" t="s">
        <v>1341</v>
      </c>
      <c r="B77" s="1" t="s">
        <v>1342</v>
      </c>
      <c r="C77" s="22">
        <f>'Tool 05.1'!G6</f>
        <v>0.73499999999999999</v>
      </c>
      <c r="D77" t="str">
        <f>IF(C24="Included","Yes","NA")</f>
        <v>Yes</v>
      </c>
      <c r="E77" t="s">
        <v>1272</v>
      </c>
      <c r="G77" t="s">
        <v>16</v>
      </c>
    </row>
    <row r="78" spans="1:7" ht="28.9">
      <c r="A78" t="s">
        <v>1343</v>
      </c>
      <c r="B78" s="1" t="s">
        <v>1344</v>
      </c>
      <c r="C78" s="22">
        <f>'(Revised) Tool 03'!G3</f>
        <v>73.333333333333329</v>
      </c>
      <c r="D78" t="str">
        <f>IF(C24="Included","Yes","NA")</f>
        <v>Yes</v>
      </c>
      <c r="E78" t="s">
        <v>1272</v>
      </c>
      <c r="G78" t="s">
        <v>16</v>
      </c>
    </row>
    <row r="79" spans="1:7" ht="15" thickBot="1">
      <c r="A79" t="s">
        <v>1345</v>
      </c>
      <c r="B79" s="1" t="s">
        <v>1346</v>
      </c>
      <c r="C79" s="22">
        <f>C76+C77+C78</f>
        <v>77.155561333333324</v>
      </c>
      <c r="D79" t="str">
        <f>IF(C24="Included","Yes","NA")</f>
        <v>Yes</v>
      </c>
      <c r="F79" t="s">
        <v>1347</v>
      </c>
      <c r="G79" t="s">
        <v>16</v>
      </c>
    </row>
    <row r="80" spans="1:7" ht="15" thickBot="1">
      <c r="A80" t="s">
        <v>253</v>
      </c>
      <c r="B80" s="1" t="s">
        <v>1348</v>
      </c>
      <c r="C80" s="77">
        <v>28</v>
      </c>
      <c r="D80" t="str">
        <f>IF(C24="Included","Yes","NA")</f>
        <v>Yes</v>
      </c>
      <c r="E80" t="s">
        <v>534</v>
      </c>
      <c r="G80" t="s">
        <v>16</v>
      </c>
    </row>
    <row r="81" spans="1:7">
      <c r="A81" t="s">
        <v>1349</v>
      </c>
      <c r="B81" s="1" t="s">
        <v>1350</v>
      </c>
      <c r="D81" t="str">
        <f>IF(C24="Included","Yes","NA")</f>
        <v>Yes</v>
      </c>
      <c r="E81" t="s">
        <v>90</v>
      </c>
      <c r="G81" t="s">
        <v>16</v>
      </c>
    </row>
    <row r="82" spans="1:7">
      <c r="A82" t="s">
        <v>1351</v>
      </c>
      <c r="B82" s="1" t="s">
        <v>1352</v>
      </c>
      <c r="D82" t="str">
        <f>IF(C24="Included","Yes","NA")</f>
        <v>Yes</v>
      </c>
      <c r="E82" t="s">
        <v>90</v>
      </c>
      <c r="G82" t="s">
        <v>16</v>
      </c>
    </row>
    <row r="83" spans="1:7">
      <c r="A83" t="s">
        <v>1353</v>
      </c>
      <c r="B83" s="1" t="s">
        <v>1354</v>
      </c>
      <c r="D83" t="str">
        <f>IF(C24="Included","Yes","NA")</f>
        <v>Yes</v>
      </c>
      <c r="E83" t="s">
        <v>90</v>
      </c>
      <c r="G83" t="s">
        <v>16</v>
      </c>
    </row>
    <row r="84" spans="1:7" ht="28.9">
      <c r="A84" t="s">
        <v>1355</v>
      </c>
      <c r="B84" s="1" t="s">
        <v>1356</v>
      </c>
      <c r="D84" t="str">
        <f>IF(C24="Included","Yes","NA")</f>
        <v>Yes</v>
      </c>
      <c r="E84" t="s">
        <v>90</v>
      </c>
      <c r="G84" t="s">
        <v>16</v>
      </c>
    </row>
    <row r="85" spans="1:7" ht="28.9">
      <c r="A85" t="s">
        <v>1357</v>
      </c>
      <c r="B85" s="1" t="s">
        <v>1358</v>
      </c>
      <c r="C85" s="22">
        <f>C80*C81*C82*C83*C84</f>
        <v>0</v>
      </c>
      <c r="D85" t="str">
        <f>IF(C24="Included","Yes","NA")</f>
        <v>Yes</v>
      </c>
      <c r="E85" t="s">
        <v>1233</v>
      </c>
      <c r="G85" t="s">
        <v>16</v>
      </c>
    </row>
    <row r="86" spans="1:7" ht="28.9">
      <c r="A86" t="s">
        <v>1359</v>
      </c>
      <c r="B86" s="1" t="s">
        <v>1360</v>
      </c>
      <c r="C86" s="22">
        <f>'Tool 05.1'!G6</f>
        <v>0.73499999999999999</v>
      </c>
      <c r="D86" t="str">
        <f>IF(C24="Included","Yes","NA")</f>
        <v>Yes</v>
      </c>
      <c r="E86" t="s">
        <v>1272</v>
      </c>
      <c r="G86" t="s">
        <v>16</v>
      </c>
    </row>
    <row r="87" spans="1:7" ht="28.9">
      <c r="A87" t="s">
        <v>1361</v>
      </c>
      <c r="B87" s="1" t="s">
        <v>1362</v>
      </c>
      <c r="C87" s="22">
        <f>'(Revised) Tool 03'!G3</f>
        <v>73.333333333333329</v>
      </c>
      <c r="D87" t="str">
        <f>IF(C24="Included","Yes","NA")</f>
        <v>Yes</v>
      </c>
      <c r="E87" t="s">
        <v>1272</v>
      </c>
      <c r="G87" t="s">
        <v>16</v>
      </c>
    </row>
    <row r="88" spans="1:7" ht="28.9">
      <c r="A88" t="s">
        <v>1363</v>
      </c>
      <c r="B88" s="1" t="s">
        <v>1364</v>
      </c>
      <c r="C88" s="22">
        <f>'Tool 04-SWDS-Yearly'!C86</f>
        <v>34.183359991239271</v>
      </c>
      <c r="D88" t="str">
        <f>IF(C24="Included","Yes","NA")</f>
        <v>Yes</v>
      </c>
      <c r="E88" t="s">
        <v>1272</v>
      </c>
      <c r="G88" t="s">
        <v>16</v>
      </c>
    </row>
    <row r="89" spans="1:7" ht="28.9">
      <c r="A89" t="s">
        <v>1365</v>
      </c>
      <c r="B89" s="1" t="s">
        <v>1366</v>
      </c>
      <c r="C89" s="22">
        <f>'Tool 13'!G3</f>
        <v>95.130333333333326</v>
      </c>
      <c r="D89" t="str">
        <f>IF(C24="Included","Yes","NA")</f>
        <v>Yes</v>
      </c>
      <c r="E89" t="s">
        <v>1272</v>
      </c>
      <c r="G89" t="s">
        <v>16</v>
      </c>
    </row>
    <row r="90" spans="1:7" ht="29.45" thickBot="1">
      <c r="A90" t="s">
        <v>1367</v>
      </c>
      <c r="B90" s="1" t="s">
        <v>1368</v>
      </c>
      <c r="C90" s="22">
        <f>'Tool 14'!F13</f>
        <v>0</v>
      </c>
      <c r="D90" t="str">
        <f>IF(C24="Included","Yes","NA")</f>
        <v>Yes</v>
      </c>
      <c r="E90" t="s">
        <v>1272</v>
      </c>
      <c r="G90" t="s">
        <v>16</v>
      </c>
    </row>
    <row r="91" spans="1:7" s="4" customFormat="1" ht="15" customHeight="1" thickTop="1" thickBot="1">
      <c r="A91" s="4" t="s">
        <v>1369</v>
      </c>
      <c r="B91" s="3" t="s">
        <v>1370</v>
      </c>
      <c r="C91" s="76">
        <f>C86+C87+C88+C89+C90+C85+C79</f>
        <v>280.53758799123926</v>
      </c>
      <c r="D91" s="4" t="str">
        <f>IF(C24="Included","Yes","NA")</f>
        <v>Yes</v>
      </c>
      <c r="E91" s="4" t="s">
        <v>1233</v>
      </c>
      <c r="G91" s="4" t="s">
        <v>16</v>
      </c>
    </row>
    <row r="92" spans="1:7" ht="29.45" thickTop="1">
      <c r="A92" t="s">
        <v>1371</v>
      </c>
      <c r="B92" s="1" t="s">
        <v>1372</v>
      </c>
      <c r="C92" s="22">
        <f>IF('Tool 12 - Freight Trans'!C12="Option A: Monitoring fuel consumption",'Tool 12 - Freight Trans'!C17,'Tool 12 - Freight Trans'!C21)</f>
        <v>3.0872279999999996</v>
      </c>
      <c r="D92" t="str">
        <f>IF(C25="Included","Yes","NA")</f>
        <v>Yes</v>
      </c>
      <c r="E92" t="s">
        <v>1272</v>
      </c>
      <c r="F92" t="s">
        <v>1340</v>
      </c>
      <c r="G92" t="s">
        <v>16</v>
      </c>
    </row>
    <row r="93" spans="1:7" ht="28.9">
      <c r="A93" t="s">
        <v>1373</v>
      </c>
      <c r="B93" s="1" t="s">
        <v>1374</v>
      </c>
      <c r="C93" s="22">
        <f>'Tool 05.1'!G6</f>
        <v>0.73499999999999999</v>
      </c>
      <c r="D93" t="str">
        <f>IF(C25="Included","Yes","NA")</f>
        <v>Yes</v>
      </c>
      <c r="E93" t="s">
        <v>1272</v>
      </c>
      <c r="G93" t="s">
        <v>16</v>
      </c>
    </row>
    <row r="94" spans="1:7" ht="28.9">
      <c r="A94" t="s">
        <v>1375</v>
      </c>
      <c r="B94" s="1" t="s">
        <v>1376</v>
      </c>
      <c r="C94" s="22">
        <f>'(Revised) Tool 03'!G3</f>
        <v>73.333333333333329</v>
      </c>
      <c r="D94" t="str">
        <f>IF(C25="Included","Yes","NA")</f>
        <v>Yes</v>
      </c>
      <c r="E94" t="s">
        <v>1272</v>
      </c>
      <c r="G94" t="s">
        <v>16</v>
      </c>
    </row>
    <row r="95" spans="1:7" ht="15" thickBot="1">
      <c r="A95" t="s">
        <v>1377</v>
      </c>
      <c r="B95" s="1" t="s">
        <v>1378</v>
      </c>
      <c r="C95" s="78">
        <f>C92+C93+C94</f>
        <v>77.155561333333324</v>
      </c>
      <c r="D95" t="str">
        <f>IF(C25="Included","Yes","NA")</f>
        <v>Yes</v>
      </c>
      <c r="F95" t="s">
        <v>1347</v>
      </c>
      <c r="G95" t="s">
        <v>16</v>
      </c>
    </row>
    <row r="96" spans="1:7" ht="15" thickBot="1">
      <c r="A96" t="s">
        <v>253</v>
      </c>
      <c r="B96" s="1" t="s">
        <v>1348</v>
      </c>
      <c r="C96" s="77">
        <v>28</v>
      </c>
      <c r="D96" t="str">
        <f>IF(C25="Included","Yes","NA")</f>
        <v>Yes</v>
      </c>
      <c r="E96" t="s">
        <v>534</v>
      </c>
      <c r="G96" t="s">
        <v>16</v>
      </c>
    </row>
    <row r="97" spans="1:7">
      <c r="A97" t="s">
        <v>1379</v>
      </c>
      <c r="B97" s="1" t="s">
        <v>1380</v>
      </c>
      <c r="C97">
        <v>1000</v>
      </c>
      <c r="D97" t="str">
        <f>IF(C25="Included","Yes","NA")</f>
        <v>Yes</v>
      </c>
      <c r="E97" t="s">
        <v>90</v>
      </c>
      <c r="G97" t="s">
        <v>16</v>
      </c>
    </row>
    <row r="98" spans="1:7" ht="28.9">
      <c r="A98" t="s">
        <v>1381</v>
      </c>
      <c r="B98" s="1" t="s">
        <v>1382</v>
      </c>
      <c r="C98">
        <v>1E-3</v>
      </c>
      <c r="D98" t="str">
        <f>IF(C25="Included","Yes","NA")</f>
        <v>Yes</v>
      </c>
      <c r="E98" t="s">
        <v>90</v>
      </c>
      <c r="G98" t="s">
        <v>16</v>
      </c>
    </row>
    <row r="99" spans="1:7">
      <c r="A99" t="s">
        <v>1353</v>
      </c>
      <c r="B99" s="1" t="s">
        <v>1354</v>
      </c>
      <c r="C99">
        <v>1E-3</v>
      </c>
      <c r="D99" t="str">
        <f>IF(C25="Included","Yes","NA")</f>
        <v>Yes</v>
      </c>
      <c r="E99" t="s">
        <v>90</v>
      </c>
      <c r="G99" t="s">
        <v>16</v>
      </c>
    </row>
    <row r="100" spans="1:7" ht="28.9">
      <c r="A100" t="s">
        <v>1383</v>
      </c>
      <c r="B100" s="1" t="s">
        <v>1384</v>
      </c>
      <c r="C100">
        <v>0.33</v>
      </c>
      <c r="D100" t="str">
        <f>IF(C25="Included","Yes","NA")</f>
        <v>Yes</v>
      </c>
      <c r="E100" t="s">
        <v>90</v>
      </c>
      <c r="G100" t="s">
        <v>16</v>
      </c>
    </row>
    <row r="101" spans="1:7" ht="28.9">
      <c r="A101" t="s">
        <v>1385</v>
      </c>
      <c r="B101" s="1" t="s">
        <v>1386</v>
      </c>
      <c r="C101" s="22">
        <f>C96*C97*C98*C99*C100</f>
        <v>9.2399999999999999E-3</v>
      </c>
      <c r="D101" t="str">
        <f>IF(C25="Included","Yes","NA")</f>
        <v>Yes</v>
      </c>
      <c r="E101" t="s">
        <v>1233</v>
      </c>
      <c r="G101" t="s">
        <v>16</v>
      </c>
    </row>
    <row r="102" spans="1:7" ht="28.9">
      <c r="A102" t="s">
        <v>1387</v>
      </c>
      <c r="B102" s="1" t="s">
        <v>1388</v>
      </c>
      <c r="C102" s="22">
        <f>'Tool 05.1'!G6</f>
        <v>0.73499999999999999</v>
      </c>
      <c r="D102" t="str">
        <f>IF(C25="Included","Yes","NA")</f>
        <v>Yes</v>
      </c>
      <c r="E102" t="s">
        <v>1272</v>
      </c>
      <c r="G102" t="s">
        <v>16</v>
      </c>
    </row>
    <row r="103" spans="1:7" ht="28.9">
      <c r="A103" t="s">
        <v>1389</v>
      </c>
      <c r="B103" s="1" t="s">
        <v>1390</v>
      </c>
      <c r="C103" s="22">
        <f>'(Revised) Tool 03'!G3</f>
        <v>73.333333333333329</v>
      </c>
      <c r="D103" t="str">
        <f>IF(C25="Included","Yes","NA")</f>
        <v>Yes</v>
      </c>
      <c r="E103" t="s">
        <v>1272</v>
      </c>
      <c r="G103" t="s">
        <v>16</v>
      </c>
    </row>
    <row r="104" spans="1:7" ht="28.9">
      <c r="A104" t="s">
        <v>1391</v>
      </c>
      <c r="B104" s="1" t="s">
        <v>1392</v>
      </c>
      <c r="C104" s="22">
        <f>'Tool 04-SWDS-Yearly'!C86</f>
        <v>34.183359991239271</v>
      </c>
      <c r="D104" t="str">
        <f>IF(C25="Included","Yes","NA")</f>
        <v>Yes</v>
      </c>
      <c r="E104" t="s">
        <v>1272</v>
      </c>
      <c r="G104" t="s">
        <v>16</v>
      </c>
    </row>
    <row r="105" spans="1:7" ht="28.9">
      <c r="A105" t="s">
        <v>1393</v>
      </c>
      <c r="B105" s="1" t="s">
        <v>1394</v>
      </c>
      <c r="C105" s="22">
        <f>'Tool 13'!G3</f>
        <v>95.130333333333326</v>
      </c>
      <c r="D105" t="str">
        <f>IF(C25="Included","Yes","NA")</f>
        <v>Yes</v>
      </c>
      <c r="E105" t="s">
        <v>1272</v>
      </c>
      <c r="G105" t="s">
        <v>16</v>
      </c>
    </row>
    <row r="106" spans="1:7" ht="29.45" thickBot="1">
      <c r="A106" t="s">
        <v>1395</v>
      </c>
      <c r="B106" s="1" t="s">
        <v>1396</v>
      </c>
      <c r="C106" s="22">
        <f>'Tool 14'!F13</f>
        <v>0</v>
      </c>
      <c r="D106" t="str">
        <f>IF(C25="Included","Yes","NA")</f>
        <v>Yes</v>
      </c>
      <c r="E106" t="s">
        <v>1272</v>
      </c>
      <c r="G106" t="s">
        <v>16</v>
      </c>
    </row>
    <row r="107" spans="1:7" s="4" customFormat="1" ht="15.6" thickTop="1" thickBot="1">
      <c r="A107" s="4" t="s">
        <v>1397</v>
      </c>
      <c r="B107" s="3" t="s">
        <v>1398</v>
      </c>
      <c r="C107" s="76">
        <f>C102+C103+C104+C105+C106+C101+C95</f>
        <v>280.54682799123924</v>
      </c>
      <c r="D107" s="4" t="str">
        <f>IF(C25="Included","Yes","NA")</f>
        <v>Yes</v>
      </c>
      <c r="E107" s="4" t="s">
        <v>1233</v>
      </c>
      <c r="G107" s="4" t="s">
        <v>16</v>
      </c>
    </row>
    <row r="108" spans="1:7" s="10" customFormat="1" ht="36.6" thickTop="1">
      <c r="A108" s="10" t="s">
        <v>1399</v>
      </c>
      <c r="B108" s="9" t="s">
        <v>1400</v>
      </c>
      <c r="D108" s="10" t="str">
        <f>IF(C27="Included","Yes","NA")</f>
        <v>Yes</v>
      </c>
    </row>
    <row r="109" spans="1:7" ht="28.9">
      <c r="B109" s="1" t="s">
        <v>1401</v>
      </c>
      <c r="C109" s="159">
        <v>1E-3</v>
      </c>
      <c r="D109" t="str">
        <f>IF(C27="Included","Yes","NA")</f>
        <v>Yes</v>
      </c>
      <c r="E109" t="s">
        <v>90</v>
      </c>
      <c r="G109" t="s">
        <v>905</v>
      </c>
    </row>
    <row r="110" spans="1:7" ht="29.45" thickBot="1">
      <c r="B110" s="1" t="s">
        <v>1402</v>
      </c>
      <c r="C110" s="159">
        <v>1E-3</v>
      </c>
      <c r="D110" t="str">
        <f>IF(C27="Included","Yes","NA")</f>
        <v>Yes</v>
      </c>
      <c r="E110" t="s">
        <v>90</v>
      </c>
      <c r="G110" t="s">
        <v>905</v>
      </c>
    </row>
    <row r="111" spans="1:7" s="27" customFormat="1" ht="15.6" thickTop="1" thickBot="1">
      <c r="A111" s="27" t="s">
        <v>1399</v>
      </c>
      <c r="B111" s="28" t="s">
        <v>1400</v>
      </c>
      <c r="C111" s="84">
        <f>IF(OR(C28="Yes",C29="Yes"),0,IF(AND(C3="Small or Micro",C109&lt;0.1,C110&lt;0.1),0,IF(C3="Large","No shift of pre-project activities is allowed",IF(OR(C109&gt;0.5,C110&gt;0.5),"Tool NA",IF(OR(C109&gt;0.1,C110&gt;0.1),"=(BE-PE)*.15")))))</f>
        <v>0</v>
      </c>
      <c r="D111" s="27" t="str">
        <f>IF(C27="Included","Yes","NA")</f>
        <v>Yes</v>
      </c>
      <c r="E111" s="27" t="s">
        <v>1233</v>
      </c>
      <c r="F111" s="27" t="s">
        <v>1403</v>
      </c>
      <c r="G111" s="27" t="s">
        <v>905</v>
      </c>
    </row>
    <row r="112" spans="1:7" s="10" customFormat="1" ht="18.600000000000001" thickTop="1">
      <c r="A112" s="10" t="s">
        <v>1404</v>
      </c>
      <c r="B112" s="9" t="s">
        <v>1405</v>
      </c>
      <c r="D112" s="10" t="str">
        <f>IF(C30="Included","Yes","NA")</f>
        <v>Yes</v>
      </c>
    </row>
    <row r="113" spans="1:7">
      <c r="A113" t="s">
        <v>1406</v>
      </c>
      <c r="B113" s="1" t="s">
        <v>1407</v>
      </c>
      <c r="C113">
        <v>1.1000000000000001</v>
      </c>
      <c r="D113" t="str">
        <f>IF(C30="Included","Yes","NA")</f>
        <v>Yes</v>
      </c>
      <c r="E113" t="s">
        <v>90</v>
      </c>
      <c r="G113" t="s">
        <v>905</v>
      </c>
    </row>
    <row r="114" spans="1:7" ht="28.9">
      <c r="A114" t="s">
        <v>1408</v>
      </c>
      <c r="B114" s="1" t="s">
        <v>1409</v>
      </c>
      <c r="C114">
        <v>19</v>
      </c>
      <c r="D114" t="str">
        <f>IF(C30="Included","Yes","NA")</f>
        <v>Yes</v>
      </c>
      <c r="E114" t="s">
        <v>90</v>
      </c>
      <c r="F114" t="s">
        <v>1410</v>
      </c>
      <c r="G114" t="s">
        <v>905</v>
      </c>
    </row>
    <row r="115" spans="1:7" ht="15" thickBot="1">
      <c r="A115" t="s">
        <v>1411</v>
      </c>
      <c r="B115" s="1" t="s">
        <v>1412</v>
      </c>
      <c r="C115">
        <v>17</v>
      </c>
      <c r="D115" t="str">
        <f>IF(C30="Included","Yes","NA")</f>
        <v>Yes</v>
      </c>
      <c r="E115" t="s">
        <v>90</v>
      </c>
      <c r="G115" t="s">
        <v>16</v>
      </c>
    </row>
    <row r="116" spans="1:7" s="81" customFormat="1" ht="15" thickTop="1">
      <c r="A116" s="81" t="s">
        <v>1404</v>
      </c>
      <c r="B116" s="83" t="s">
        <v>1405</v>
      </c>
      <c r="C116" s="82">
        <f>IF(C31="B4: The biomass residues are used for energy or non-energy applications, or the primary source of the biomass residues and/or their fate cannot be clearly identified.",(C113*C114*C115)+SUM(C117),"See Notes")</f>
        <v>355.3</v>
      </c>
      <c r="D116" s="81" t="str">
        <f>IF(C30="Included","Yes","NA")</f>
        <v>Yes</v>
      </c>
      <c r="E116" s="81" t="s">
        <v>1233</v>
      </c>
      <c r="F116" s="81" t="s">
        <v>1413</v>
      </c>
      <c r="G116" s="81" t="s">
        <v>905</v>
      </c>
    </row>
    <row r="117" spans="1:7" s="79" customFormat="1" ht="15" thickBot="1">
      <c r="B117" s="80" t="s">
        <v>1414</v>
      </c>
      <c r="D117" s="79" t="str">
        <f>IF(C30="Included","Yes","NA")</f>
        <v>Yes</v>
      </c>
      <c r="F117" s="79" t="s">
        <v>1415</v>
      </c>
      <c r="G117" s="79" t="s">
        <v>14</v>
      </c>
    </row>
    <row r="118" spans="1:7" s="10" customFormat="1" ht="37.15" thickTop="1" thickBot="1">
      <c r="A118" s="10" t="s">
        <v>1416</v>
      </c>
      <c r="B118" s="9" t="s">
        <v>1417</v>
      </c>
      <c r="D118" s="10" t="str">
        <f>IF(C32="Included","Yes","NA")</f>
        <v>NA</v>
      </c>
    </row>
    <row r="119" spans="1:7" s="4" customFormat="1" ht="15.6" thickTop="1" thickBot="1">
      <c r="A119" s="4" t="s">
        <v>1416</v>
      </c>
      <c r="B119" s="3" t="s">
        <v>1417</v>
      </c>
      <c r="C119" s="76">
        <f>IF('Tool 12 - Freight Trans'!C12="Option A: Monitoring fuel consumption",'Tool 12 - Freight Trans'!C17,'Tool 12 - Freight Trans'!C21)</f>
        <v>3.0872279999999996</v>
      </c>
      <c r="D119" s="4" t="str">
        <f>IF(C32="Included","Yes","NA")</f>
        <v>NA</v>
      </c>
      <c r="E119" s="4" t="s">
        <v>1272</v>
      </c>
      <c r="F119" s="4" t="s">
        <v>1335</v>
      </c>
      <c r="G119" s="4" t="s">
        <v>16</v>
      </c>
    </row>
    <row r="120" spans="1:7" s="10" customFormat="1" ht="18.600000000000001" thickTop="1">
      <c r="A120" s="10" t="s">
        <v>1418</v>
      </c>
      <c r="B120" s="9" t="s">
        <v>1419</v>
      </c>
      <c r="D120" s="10" t="str">
        <f>IF(C33="Included","Yes","NA")</f>
        <v>NA</v>
      </c>
    </row>
    <row r="121" spans="1:7">
      <c r="A121" t="s">
        <v>1420</v>
      </c>
      <c r="B121" t="s">
        <v>1421</v>
      </c>
      <c r="C121" s="22">
        <f>IF('Tool 12 - Freight Trans'!C12="Option A: Monitoring fuel consumption",'Tool 12 - Freight Trans'!C17,'Tool 12 - Freight Trans'!C21)</f>
        <v>3.0872279999999996</v>
      </c>
      <c r="D121" t="str">
        <f>IF(C33="Included","Yes","NA")</f>
        <v>NA</v>
      </c>
      <c r="E121" t="s">
        <v>1272</v>
      </c>
      <c r="F121" t="s">
        <v>1340</v>
      </c>
      <c r="G121" t="s">
        <v>16</v>
      </c>
    </row>
    <row r="122" spans="1:7">
      <c r="A122" t="s">
        <v>1422</v>
      </c>
      <c r="B122" t="s">
        <v>1423</v>
      </c>
      <c r="C122" s="22">
        <f>'Tool 05.1'!G16</f>
        <v>0.39375000000000004</v>
      </c>
      <c r="D122" t="str">
        <f>IF(C33="Included","Yes","NA")</f>
        <v>NA</v>
      </c>
      <c r="E122" t="s">
        <v>1272</v>
      </c>
      <c r="G122" t="s">
        <v>16</v>
      </c>
    </row>
    <row r="123" spans="1:7">
      <c r="A123" t="s">
        <v>1424</v>
      </c>
      <c r="B123" t="s">
        <v>1425</v>
      </c>
      <c r="C123" s="22">
        <f>'(Revised) Tool 03'!G3</f>
        <v>73.333333333333329</v>
      </c>
      <c r="D123" t="str">
        <f>IF(C33="Included","Yes","NA")</f>
        <v>NA</v>
      </c>
      <c r="E123" t="s">
        <v>1272</v>
      </c>
      <c r="G123" t="s">
        <v>16</v>
      </c>
    </row>
    <row r="124" spans="1:7" ht="15" thickBot="1">
      <c r="A124" t="s">
        <v>1426</v>
      </c>
      <c r="B124" t="s">
        <v>1427</v>
      </c>
      <c r="C124" s="78">
        <f>C121+C122+C123</f>
        <v>76.814311333333322</v>
      </c>
      <c r="D124" t="str">
        <f>IF(C33="Included","Yes","NA")</f>
        <v>NA</v>
      </c>
      <c r="F124" t="s">
        <v>1428</v>
      </c>
      <c r="G124" t="s">
        <v>16</v>
      </c>
    </row>
    <row r="125" spans="1:7" ht="15" thickBot="1">
      <c r="A125" t="s">
        <v>253</v>
      </c>
      <c r="B125" t="s">
        <v>1348</v>
      </c>
      <c r="C125" s="77">
        <v>28</v>
      </c>
      <c r="D125" t="str">
        <f>IF(C33="Included","Yes","NA")</f>
        <v>NA</v>
      </c>
      <c r="E125" t="s">
        <v>534</v>
      </c>
      <c r="G125" t="s">
        <v>16</v>
      </c>
    </row>
    <row r="126" spans="1:7">
      <c r="A126" t="s">
        <v>1379</v>
      </c>
      <c r="B126" t="s">
        <v>1380</v>
      </c>
      <c r="C126">
        <v>1200</v>
      </c>
      <c r="D126" t="str">
        <f>IF(C33="Included","Yes","NA")</f>
        <v>NA</v>
      </c>
      <c r="E126" t="s">
        <v>90</v>
      </c>
      <c r="G126" t="s">
        <v>16</v>
      </c>
    </row>
    <row r="127" spans="1:7">
      <c r="A127" t="s">
        <v>1381</v>
      </c>
      <c r="B127" t="s">
        <v>1382</v>
      </c>
      <c r="C127">
        <v>0.01</v>
      </c>
      <c r="D127" t="str">
        <f>IF(C33="Included","Yes","NA")</f>
        <v>NA</v>
      </c>
      <c r="E127" t="s">
        <v>90</v>
      </c>
      <c r="G127" t="s">
        <v>16</v>
      </c>
    </row>
    <row r="128" spans="1:7">
      <c r="A128" t="s">
        <v>1353</v>
      </c>
      <c r="B128" t="s">
        <v>1354</v>
      </c>
      <c r="C128">
        <v>6</v>
      </c>
      <c r="D128" t="str">
        <f>IF(C33="Included","Yes","NA")</f>
        <v>NA</v>
      </c>
      <c r="E128" t="s">
        <v>90</v>
      </c>
      <c r="G128" t="s">
        <v>16</v>
      </c>
    </row>
    <row r="129" spans="1:7">
      <c r="A129" t="s">
        <v>1383</v>
      </c>
      <c r="B129" t="s">
        <v>1384</v>
      </c>
      <c r="C129">
        <v>0.08</v>
      </c>
      <c r="D129" t="str">
        <f>IF(C33="Included","Yes","NA")</f>
        <v>NA</v>
      </c>
      <c r="E129" t="s">
        <v>90</v>
      </c>
      <c r="G129" t="s">
        <v>16</v>
      </c>
    </row>
    <row r="130" spans="1:7">
      <c r="A130" t="s">
        <v>1429</v>
      </c>
      <c r="B130" t="s">
        <v>1430</v>
      </c>
      <c r="C130" s="22">
        <f>C125*C126*C127*C128*C129</f>
        <v>161.28</v>
      </c>
      <c r="D130" t="str">
        <f>IF(C33="Included","Yes","NA")</f>
        <v>NA</v>
      </c>
      <c r="E130" t="s">
        <v>1233</v>
      </c>
      <c r="G130" t="s">
        <v>16</v>
      </c>
    </row>
    <row r="131" spans="1:7">
      <c r="A131" t="s">
        <v>1431</v>
      </c>
      <c r="B131" t="s">
        <v>1432</v>
      </c>
      <c r="C131" s="22">
        <f>'Tool 05.1'!G16</f>
        <v>0.39375000000000004</v>
      </c>
      <c r="D131" t="str">
        <f>IF(C33="Included","Yes","NA")</f>
        <v>NA</v>
      </c>
      <c r="E131" t="s">
        <v>1272</v>
      </c>
      <c r="G131" t="s">
        <v>16</v>
      </c>
    </row>
    <row r="132" spans="1:7">
      <c r="A132" t="s">
        <v>1433</v>
      </c>
      <c r="B132" t="s">
        <v>1434</v>
      </c>
      <c r="C132" s="22">
        <f>'(Revised) Tool 03'!G3</f>
        <v>73.333333333333329</v>
      </c>
      <c r="D132" t="str">
        <f>IF(C33="Included","Yes","NA")</f>
        <v>NA</v>
      </c>
      <c r="E132" t="s">
        <v>1272</v>
      </c>
      <c r="G132" t="s">
        <v>16</v>
      </c>
    </row>
    <row r="133" spans="1:7">
      <c r="A133" t="s">
        <v>1435</v>
      </c>
      <c r="B133" t="s">
        <v>1436</v>
      </c>
      <c r="C133" s="22">
        <f>'Tool 04-SWDS-Yearly'!C86</f>
        <v>34.183359991239271</v>
      </c>
      <c r="D133" t="str">
        <f>IF(C33="Included","Yes","NA")</f>
        <v>NA</v>
      </c>
      <c r="E133" t="s">
        <v>1272</v>
      </c>
      <c r="G133" t="s">
        <v>16</v>
      </c>
    </row>
    <row r="134" spans="1:7">
      <c r="A134" t="s">
        <v>1437</v>
      </c>
      <c r="B134" t="s">
        <v>1438</v>
      </c>
      <c r="C134" s="22">
        <f>'Tool 13'!G65</f>
        <v>34.183359991239271</v>
      </c>
      <c r="D134" t="str">
        <f>IF(C33="Included","Yes","NA")</f>
        <v>NA</v>
      </c>
      <c r="E134" t="s">
        <v>1272</v>
      </c>
      <c r="G134" t="s">
        <v>16</v>
      </c>
    </row>
    <row r="135" spans="1:7" ht="15" thickBot="1">
      <c r="A135" t="s">
        <v>1439</v>
      </c>
      <c r="B135" t="s">
        <v>1440</v>
      </c>
      <c r="C135" s="22">
        <f>'Tool 14'!F65</f>
        <v>95.130333333333326</v>
      </c>
      <c r="D135" t="str">
        <f>IF(C33="Included","Yes","NA")</f>
        <v>NA</v>
      </c>
      <c r="E135" t="s">
        <v>1272</v>
      </c>
      <c r="G135" t="s">
        <v>16</v>
      </c>
    </row>
    <row r="136" spans="1:7" s="4" customFormat="1" ht="15.6" thickTop="1" thickBot="1">
      <c r="A136" s="4" t="s">
        <v>1418</v>
      </c>
      <c r="B136" s="4" t="s">
        <v>1441</v>
      </c>
      <c r="C136" s="76">
        <f>C131+C132+C133+C134+C135+C130+C124</f>
        <v>475.31844798247846</v>
      </c>
      <c r="D136" s="4" t="str">
        <f>IF(C33="Included","Yes","NA")</f>
        <v>NA</v>
      </c>
      <c r="E136" s="4" t="s">
        <v>1233</v>
      </c>
      <c r="G136" s="4" t="s">
        <v>905</v>
      </c>
    </row>
    <row r="137" spans="1:7" s="8" customFormat="1" ht="37.9" customHeight="1" thickTop="1">
      <c r="B137" s="75" t="s">
        <v>1442</v>
      </c>
      <c r="F137" s="8" t="s">
        <v>1443</v>
      </c>
    </row>
  </sheetData>
  <dataConsolidate/>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FA3762-9F6A-4459-B01E-1CAAFF5AB850}">
          <x14:formula1>
            <xm:f>'Tool 16.3 Dropdown Items'!$K$2:$K$5</xm:f>
          </x14:formula1>
          <xm:sqref>C31</xm:sqref>
        </x14:dataValidation>
        <x14:dataValidation type="list" allowBlank="1" showInputMessage="1" showErrorMessage="1" xr:uid="{80860989-6EE9-4EAC-A0DF-F29C9113D141}">
          <x14:formula1>
            <xm:f>'Tool 16.3 Dropdown Items'!$I$2:$I$5</xm:f>
          </x14:formula1>
          <xm:sqref>C26 C20</xm:sqref>
        </x14:dataValidation>
        <x14:dataValidation type="list" allowBlank="1" showInputMessage="1" showErrorMessage="1" xr:uid="{12210D54-144D-4BC0-9A8C-A6E37D469DE4}">
          <x14:formula1>
            <xm:f>'Tool 16.3 Dropdown Items'!$B$2:$B$3</xm:f>
          </x14:formula1>
          <xm:sqref>C32:C33 C19 C21:C30</xm:sqref>
        </x14:dataValidation>
        <x14:dataValidation type="list" allowBlank="1" showInputMessage="1" showErrorMessage="1" xr:uid="{1CE8FD5B-EB7B-4BB5-B83F-C47BBAA49D30}">
          <x14:formula1>
            <xm:f>'Tool 16.3 Dropdown Items'!$J$2:$J$4</xm:f>
          </x14:formula1>
          <xm:sqref>C3</xm:sqref>
        </x14:dataValidation>
        <x14:dataValidation type="list" allowBlank="1" showInputMessage="1" showErrorMessage="1" xr:uid="{94D4C0E4-5D86-4B88-8C7A-B746D60FA0B9}">
          <x14:formula1>
            <xm:f>'Tool 16.3 Dropdown Items'!$E$2:$E$3</xm:f>
          </x14:formula1>
          <xm:sqref>C69</xm:sqref>
        </x14:dataValidation>
        <x14:dataValidation type="list" allowBlank="1" showInputMessage="1" showErrorMessage="1" xr:uid="{450D0300-EC7C-41A8-9484-6912873B41BB}">
          <x14:formula1>
            <xm:f>'Tool 16.3 Dropdown Items'!$C$2:$C$3</xm:f>
          </x14:formula1>
          <xm:sqref>C4:C12 C15 C26 C28:C29</xm:sqref>
        </x14:dataValidation>
        <x14:dataValidation type="list" allowBlank="1" showInputMessage="1" showErrorMessage="1" xr:uid="{10C86E63-01B7-4E1C-8314-CDB3163FE798}">
          <x14:formula1>
            <xm:f>'Tool 16.3 Dropdown Items'!$A$2:$A$3</xm:f>
          </x14:formula1>
          <xm:sqref>C18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09DD-6BA4-47C1-B4AF-71C3282B2DAA}">
  <dimension ref="A1:B13"/>
  <sheetViews>
    <sheetView workbookViewId="0">
      <selection activeCell="B11" sqref="B11"/>
    </sheetView>
  </sheetViews>
  <sheetFormatPr defaultRowHeight="14.45"/>
  <cols>
    <col min="1" max="1" width="33" customWidth="1"/>
    <col min="2" max="2" width="31.5703125" customWidth="1"/>
    <col min="3" max="3" width="26.28515625" customWidth="1"/>
  </cols>
  <sheetData>
    <row r="1" spans="1:2" s="2" customFormat="1">
      <c r="A1" s="190" t="s">
        <v>1444</v>
      </c>
      <c r="B1" s="191"/>
    </row>
    <row r="2" spans="1:2">
      <c r="A2" t="s">
        <v>1256</v>
      </c>
      <c r="B2" s="22">
        <f>'Tool 16.1'!C71</f>
        <v>405.77711438434528</v>
      </c>
    </row>
    <row r="3" spans="1:2">
      <c r="A3" s="87" t="s">
        <v>1330</v>
      </c>
      <c r="B3" s="88">
        <f>'Tool 16.1'!C73</f>
        <v>3.0872279999999996</v>
      </c>
    </row>
    <row r="4" spans="1:2">
      <c r="A4" s="87" t="s">
        <v>1333</v>
      </c>
      <c r="B4" s="88">
        <f>'Tool 16.1'!C74</f>
        <v>3.0872279999999996</v>
      </c>
    </row>
    <row r="5" spans="1:2">
      <c r="A5" s="87" t="s">
        <v>1369</v>
      </c>
      <c r="B5" s="88">
        <f>'Tool 16.1'!C91</f>
        <v>280.53758799123926</v>
      </c>
    </row>
    <row r="6" spans="1:2">
      <c r="A6" s="87" t="s">
        <v>1397</v>
      </c>
      <c r="B6" s="88">
        <f>'Tool 16.1'!C107</f>
        <v>280.54682799123924</v>
      </c>
    </row>
    <row r="7" spans="1:2" s="2" customFormat="1">
      <c r="A7" s="2" t="s">
        <v>1445</v>
      </c>
      <c r="B7" s="78">
        <f>SUM(B2:B6)</f>
        <v>973.03598636682386</v>
      </c>
    </row>
    <row r="8" spans="1:2">
      <c r="A8" s="190" t="s">
        <v>295</v>
      </c>
      <c r="B8" s="190"/>
    </row>
    <row r="9" spans="1:2">
      <c r="A9" s="87" t="s">
        <v>1399</v>
      </c>
      <c r="B9" s="22">
        <f>'Tool 16.1'!C111</f>
        <v>0</v>
      </c>
    </row>
    <row r="10" spans="1:2">
      <c r="A10" s="87" t="s">
        <v>1404</v>
      </c>
      <c r="B10" s="22">
        <f>'Tool 16.1'!C116</f>
        <v>355.3</v>
      </c>
    </row>
    <row r="11" spans="1:2">
      <c r="A11" s="87" t="s">
        <v>1416</v>
      </c>
      <c r="B11" s="22">
        <f>'Tool 16.1'!C119</f>
        <v>3.0872279999999996</v>
      </c>
    </row>
    <row r="12" spans="1:2">
      <c r="A12" s="87" t="s">
        <v>1418</v>
      </c>
      <c r="B12" s="22">
        <f>'Tool 16.1'!C136</f>
        <v>475.31844798247846</v>
      </c>
    </row>
    <row r="13" spans="1:2" s="2" customFormat="1" ht="15" customHeight="1">
      <c r="A13" s="2" t="s">
        <v>1445</v>
      </c>
      <c r="B13" s="78">
        <f>SUM(B9:B12)</f>
        <v>833.7056759824784</v>
      </c>
    </row>
  </sheetData>
  <mergeCells count="2">
    <mergeCell ref="A1:B1"/>
    <mergeCell ref="A8:B8"/>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8CB2-53D8-40BA-89EC-6F0275087B08}">
  <dimension ref="A1:K7"/>
  <sheetViews>
    <sheetView workbookViewId="0">
      <selection activeCell="C31" sqref="C31"/>
    </sheetView>
  </sheetViews>
  <sheetFormatPr defaultRowHeight="14.45"/>
  <cols>
    <col min="1" max="1" width="25.85546875" customWidth="1"/>
    <col min="2" max="2" width="20.7109375" customWidth="1"/>
    <col min="3" max="3" width="13.28515625" customWidth="1"/>
    <col min="4" max="4" width="43.42578125" customWidth="1"/>
    <col min="5" max="5" width="13.7109375" customWidth="1"/>
    <col min="6" max="6" width="41.7109375" customWidth="1"/>
    <col min="7" max="7" width="32.7109375" customWidth="1"/>
    <col min="9" max="9" width="34.7109375" customWidth="1"/>
    <col min="10" max="10" width="19.85546875" customWidth="1"/>
  </cols>
  <sheetData>
    <row r="1" spans="1:11" s="2" customFormat="1">
      <c r="A1" s="2" t="s">
        <v>975</v>
      </c>
      <c r="B1" s="2" t="s">
        <v>1446</v>
      </c>
      <c r="C1" s="2" t="s">
        <v>920</v>
      </c>
      <c r="D1" s="2" t="s">
        <v>1447</v>
      </c>
      <c r="E1" s="2" t="s">
        <v>1448</v>
      </c>
      <c r="F1" s="2" t="s">
        <v>1449</v>
      </c>
      <c r="G1" s="2" t="s">
        <v>1450</v>
      </c>
      <c r="H1" s="2" t="s">
        <v>1451</v>
      </c>
      <c r="I1" s="2" t="s">
        <v>1452</v>
      </c>
      <c r="J1" s="2" t="s">
        <v>1453</v>
      </c>
      <c r="K1" s="2" t="s">
        <v>1454</v>
      </c>
    </row>
    <row r="2" spans="1:11">
      <c r="A2" t="s">
        <v>433</v>
      </c>
      <c r="B2" t="s">
        <v>1236</v>
      </c>
      <c r="C2" t="s">
        <v>14</v>
      </c>
      <c r="D2" t="s">
        <v>1455</v>
      </c>
      <c r="E2">
        <v>7</v>
      </c>
      <c r="F2" t="s">
        <v>1456</v>
      </c>
      <c r="G2" t="s">
        <v>1457</v>
      </c>
      <c r="H2" t="s">
        <v>1458</v>
      </c>
      <c r="I2" t="s">
        <v>1459</v>
      </c>
      <c r="J2" t="s">
        <v>351</v>
      </c>
      <c r="K2" t="s">
        <v>1460</v>
      </c>
    </row>
    <row r="3" spans="1:11">
      <c r="A3" t="s">
        <v>548</v>
      </c>
      <c r="B3" t="s">
        <v>1254</v>
      </c>
      <c r="C3" t="s">
        <v>16</v>
      </c>
      <c r="D3" t="s">
        <v>1461</v>
      </c>
      <c r="E3">
        <v>10</v>
      </c>
      <c r="F3" t="s">
        <v>1462</v>
      </c>
      <c r="G3" t="s">
        <v>1463</v>
      </c>
      <c r="H3" t="s">
        <v>1464</v>
      </c>
      <c r="I3" t="s">
        <v>1465</v>
      </c>
      <c r="J3" t="s">
        <v>1217</v>
      </c>
      <c r="K3" t="s">
        <v>1466</v>
      </c>
    </row>
    <row r="4" spans="1:11">
      <c r="F4" t="s">
        <v>1467</v>
      </c>
      <c r="G4" t="s">
        <v>1468</v>
      </c>
      <c r="H4" t="s">
        <v>1469</v>
      </c>
      <c r="I4" t="s">
        <v>1238</v>
      </c>
      <c r="K4" t="s">
        <v>1470</v>
      </c>
    </row>
    <row r="5" spans="1:11">
      <c r="F5" t="s">
        <v>1471</v>
      </c>
      <c r="G5" t="s">
        <v>1472</v>
      </c>
      <c r="H5" t="s">
        <v>1473</v>
      </c>
      <c r="I5" t="s">
        <v>11</v>
      </c>
      <c r="K5" t="s">
        <v>1252</v>
      </c>
    </row>
    <row r="6" spans="1:11">
      <c r="F6" t="s">
        <v>1474</v>
      </c>
      <c r="G6" t="s">
        <v>446</v>
      </c>
    </row>
    <row r="7" spans="1:11">
      <c r="G7" t="s">
        <v>1475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40DAB-5D82-4C01-A34A-1AA8F868486A}">
  <dimension ref="A1"/>
  <sheetViews>
    <sheetView workbookViewId="0">
      <selection activeCell="C31" sqref="C31"/>
    </sheetView>
  </sheetViews>
  <sheetFormatPr defaultRowHeight="14.4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C3756-36A5-4AE5-910F-AFF5DE24A52D}">
  <dimension ref="A1:G30"/>
  <sheetViews>
    <sheetView workbookViewId="0">
      <selection activeCell="A15" sqref="A15"/>
    </sheetView>
  </sheetViews>
  <sheetFormatPr defaultRowHeight="14.45"/>
  <cols>
    <col min="1" max="1" width="103" customWidth="1"/>
    <col min="2" max="2" width="26.5703125" customWidth="1"/>
    <col min="3" max="3" width="14.85546875" customWidth="1"/>
    <col min="4" max="4" width="30.140625" customWidth="1"/>
    <col min="5" max="5" width="14.85546875" customWidth="1"/>
    <col min="6" max="6" width="15.42578125" customWidth="1"/>
    <col min="7" max="7" width="17.85546875" customWidth="1"/>
  </cols>
  <sheetData>
    <row r="1" spans="1:7" s="158" customFormat="1" ht="18">
      <c r="A1" s="158" t="s">
        <v>361</v>
      </c>
      <c r="B1" s="158" t="s">
        <v>362</v>
      </c>
      <c r="C1" s="158" t="s">
        <v>4</v>
      </c>
      <c r="D1" s="158" t="s">
        <v>363</v>
      </c>
      <c r="E1" s="158" t="s">
        <v>7</v>
      </c>
      <c r="F1" s="158" t="s">
        <v>360</v>
      </c>
      <c r="G1" s="158" t="s">
        <v>9</v>
      </c>
    </row>
    <row r="2" spans="1:7">
      <c r="A2" t="s">
        <v>1476</v>
      </c>
      <c r="B2" t="s">
        <v>1477</v>
      </c>
      <c r="C2" t="s">
        <v>14</v>
      </c>
      <c r="E2" t="s">
        <v>186</v>
      </c>
      <c r="F2" t="s">
        <v>16</v>
      </c>
    </row>
    <row r="3" spans="1:7">
      <c r="A3" t="s">
        <v>1478</v>
      </c>
      <c r="B3" t="s">
        <v>14</v>
      </c>
      <c r="C3" t="s">
        <v>1479</v>
      </c>
      <c r="E3" t="s">
        <v>186</v>
      </c>
      <c r="F3" t="s">
        <v>16</v>
      </c>
    </row>
    <row r="4" spans="1:7">
      <c r="A4" t="s">
        <v>1480</v>
      </c>
      <c r="B4" t="s">
        <v>14</v>
      </c>
      <c r="C4" t="str">
        <f>(IF(B3="Yes","Yes","NA"))</f>
        <v>Yes</v>
      </c>
      <c r="D4" t="s">
        <v>1481</v>
      </c>
      <c r="E4" t="s">
        <v>186</v>
      </c>
      <c r="F4" t="s">
        <v>16</v>
      </c>
    </row>
    <row r="5" spans="1:7">
      <c r="A5" t="s">
        <v>1482</v>
      </c>
      <c r="B5" t="s">
        <v>14</v>
      </c>
      <c r="C5" t="str">
        <f>(IF(B3="Yes","Yes","NA"))</f>
        <v>Yes</v>
      </c>
      <c r="D5" t="s">
        <v>1481</v>
      </c>
      <c r="E5" t="s">
        <v>186</v>
      </c>
      <c r="F5" t="s">
        <v>16</v>
      </c>
    </row>
    <row r="6" spans="1:7">
      <c r="A6" t="s">
        <v>1483</v>
      </c>
      <c r="B6" t="s">
        <v>16</v>
      </c>
      <c r="C6" t="s">
        <v>14</v>
      </c>
      <c r="D6" t="s">
        <v>1484</v>
      </c>
      <c r="E6" t="s">
        <v>186</v>
      </c>
      <c r="F6" t="s">
        <v>16</v>
      </c>
    </row>
    <row r="7" spans="1:7" ht="53.45" customHeight="1" thickBot="1">
      <c r="A7" s="1" t="s">
        <v>1485</v>
      </c>
      <c r="B7" t="s">
        <v>14</v>
      </c>
      <c r="C7" t="s">
        <v>14</v>
      </c>
      <c r="D7" t="s">
        <v>1481</v>
      </c>
      <c r="E7" t="s">
        <v>186</v>
      </c>
      <c r="F7" t="s">
        <v>16</v>
      </c>
    </row>
    <row r="8" spans="1:7" s="4" customFormat="1" ht="15" customHeight="1" thickTop="1" thickBot="1">
      <c r="A8" s="3" t="s">
        <v>1447</v>
      </c>
      <c r="B8" s="76" t="str">
        <f>IF(OR(B2="NA",B4="No",B5="No",B6="Yes",B7="No"),"NA","Applicable")</f>
        <v>Applicable</v>
      </c>
      <c r="E8" s="4" t="s">
        <v>199</v>
      </c>
      <c r="F8" s="4" t="s">
        <v>16</v>
      </c>
    </row>
    <row r="9" spans="1:7" s="14" customFormat="1" ht="15" thickTop="1">
      <c r="A9" s="14" t="s">
        <v>1486</v>
      </c>
      <c r="C9" s="14" t="str">
        <f>IF(B2="Type I: Project activities up to 5 MW that employ renewable energy as their primary technology.","Yes","NA")</f>
        <v>Yes</v>
      </c>
      <c r="D9" s="14" t="s">
        <v>1487</v>
      </c>
    </row>
    <row r="10" spans="1:7">
      <c r="A10" t="s">
        <v>1488</v>
      </c>
      <c r="B10" t="s">
        <v>14</v>
      </c>
      <c r="C10" t="str">
        <f>IF(B2="Type I: Project activities up to 5 MW that employ renewable energy as their primary technology.","Yes","NA")</f>
        <v>Yes</v>
      </c>
      <c r="D10" t="s">
        <v>1489</v>
      </c>
      <c r="E10" t="s">
        <v>186</v>
      </c>
      <c r="F10" t="s">
        <v>16</v>
      </c>
    </row>
    <row r="11" spans="1:7">
      <c r="A11" t="s">
        <v>1490</v>
      </c>
      <c r="B11" t="s">
        <v>16</v>
      </c>
      <c r="C11" t="str">
        <f>IF(B2="Type I: Project activities up to 5 MW that employ renewable energy as their primary technology.","Yes","NA")</f>
        <v>Yes</v>
      </c>
      <c r="D11" t="s">
        <v>1489</v>
      </c>
      <c r="E11" t="s">
        <v>186</v>
      </c>
      <c r="F11" t="s">
        <v>16</v>
      </c>
    </row>
    <row r="12" spans="1:7">
      <c r="A12" t="s">
        <v>1491</v>
      </c>
      <c r="B12" t="s">
        <v>16</v>
      </c>
      <c r="C12" t="str">
        <f>IF(B2="Type I: Project activities up to 5 MW that employ renewable energy as their primary technology.","Yes","NA")</f>
        <v>Yes</v>
      </c>
      <c r="D12" t="s">
        <v>1489</v>
      </c>
      <c r="E12" t="s">
        <v>186</v>
      </c>
      <c r="F12" t="s">
        <v>16</v>
      </c>
    </row>
    <row r="13" spans="1:7" ht="43.9" thickBot="1">
      <c r="A13" s="1" t="s">
        <v>1492</v>
      </c>
      <c r="B13" t="s">
        <v>16</v>
      </c>
      <c r="C13" t="str">
        <f>IF(B2="Type I: Project activities up to 5 MW that employ renewable energy as their primary technology.","Yes","NA")</f>
        <v>Yes</v>
      </c>
      <c r="D13" t="s">
        <v>1489</v>
      </c>
      <c r="E13" t="s">
        <v>186</v>
      </c>
      <c r="F13" t="s">
        <v>16</v>
      </c>
    </row>
    <row r="14" spans="1:7" s="4" customFormat="1" ht="15.6" thickTop="1" thickBot="1">
      <c r="A14" s="3" t="s">
        <v>102</v>
      </c>
      <c r="B14" s="76" t="str">
        <f>IF(OR(B10="Yes",B11="Yes",B12="Yes",B13="Yes"),"Additional","Nil")</f>
        <v>Additional</v>
      </c>
      <c r="C14" s="4" t="str">
        <f>IF(B2="Type I: Project activities up to 5 MW that employ renewable energy as their primary technology.","Yes","NA")</f>
        <v>Yes</v>
      </c>
      <c r="E14" s="4" t="s">
        <v>199</v>
      </c>
      <c r="F14" s="4" t="s">
        <v>16</v>
      </c>
    </row>
    <row r="15" spans="1:7" s="14" customFormat="1" ht="15" thickTop="1">
      <c r="A15" s="14" t="s">
        <v>1493</v>
      </c>
      <c r="C15" s="14" t="str">
        <f>IF(B2="Type II: Energy efficiency project activities that aim to achieve energy savings at a scale of no more than 20 GWh per year.","Yes","NA")</f>
        <v>NA</v>
      </c>
      <c r="D15" s="14" t="s">
        <v>1487</v>
      </c>
    </row>
    <row r="16" spans="1:7">
      <c r="A16" t="s">
        <v>1494</v>
      </c>
      <c r="B16" t="s">
        <v>16</v>
      </c>
      <c r="C16" t="str">
        <f>IF(B2="Type II: Energy efficiency project activities that aim to achieve energy savings at a scale of no more than 20 GWh per year.","Yes","NA")</f>
        <v>NA</v>
      </c>
      <c r="D16" t="s">
        <v>1489</v>
      </c>
      <c r="E16" t="s">
        <v>186</v>
      </c>
      <c r="F16" t="s">
        <v>16</v>
      </c>
    </row>
    <row r="17" spans="1:6" ht="15" thickBot="1">
      <c r="A17" t="s">
        <v>1495</v>
      </c>
      <c r="B17" t="s">
        <v>16</v>
      </c>
      <c r="C17" t="str">
        <f>IF(B2="Type II: Energy efficiency project activities that aim to achieve energy savings at a scale of no more than 20 GWh per year.","Yes","NA")</f>
        <v>NA</v>
      </c>
      <c r="D17" t="s">
        <v>1489</v>
      </c>
      <c r="E17" t="s">
        <v>186</v>
      </c>
      <c r="F17" t="s">
        <v>16</v>
      </c>
    </row>
    <row r="18" spans="1:6" s="4" customFormat="1" ht="15.6" thickTop="1" thickBot="1">
      <c r="A18" s="3" t="s">
        <v>102</v>
      </c>
      <c r="B18" s="76" t="str">
        <f>IF(OR(B16="Yes",B17="Yes"),"Additional","Nil")</f>
        <v>Nil</v>
      </c>
      <c r="C18" s="4" t="str">
        <f>IF(B2="Type II: Energy efficiency project activities that aim to achieve energy savings at a scale of no more than 20 GWh per year.","Yes","NA")</f>
        <v>NA</v>
      </c>
      <c r="E18" s="4" t="s">
        <v>199</v>
      </c>
      <c r="F18" s="4" t="s">
        <v>16</v>
      </c>
    </row>
    <row r="19" spans="1:6" s="14" customFormat="1" ht="15" thickTop="1">
      <c r="A19" s="14" t="s">
        <v>1496</v>
      </c>
      <c r="C19" s="14" t="str">
        <f>IF(B2="Type III: Other project activities not included in Type I or Type II that aim to achieve GHG emissions reductions at a scale of no more than 20 ktCO2e per year.","Yes","NA")</f>
        <v>NA</v>
      </c>
      <c r="D19" s="14" t="s">
        <v>1487</v>
      </c>
    </row>
    <row r="20" spans="1:6">
      <c r="A20" t="s">
        <v>1494</v>
      </c>
      <c r="B20" t="s">
        <v>16</v>
      </c>
      <c r="C20" t="str">
        <f>IF(B2="Type III: Other project activities not included in Type I or Type II that aim to achieve GHG emissions reductions at a scale of no more than 20 ktCO2e per year.","Yes","NA")</f>
        <v>NA</v>
      </c>
      <c r="D20" t="s">
        <v>1489</v>
      </c>
      <c r="E20" t="s">
        <v>186</v>
      </c>
      <c r="F20" t="s">
        <v>16</v>
      </c>
    </row>
    <row r="21" spans="1:6" ht="15" thickBot="1">
      <c r="A21" t="s">
        <v>1497</v>
      </c>
      <c r="B21" t="s">
        <v>16</v>
      </c>
      <c r="C21" t="str">
        <f>IF(B2="Type III: Other project activities not included in Type I or Type II that aim to achieve GHG emissions reductions at a scale of no more than 20 ktCO2e per year.","Yes","NA")</f>
        <v>NA</v>
      </c>
      <c r="D21" t="s">
        <v>1489</v>
      </c>
      <c r="E21" t="s">
        <v>186</v>
      </c>
      <c r="F21" t="s">
        <v>16</v>
      </c>
    </row>
    <row r="22" spans="1:6" s="4" customFormat="1" ht="15.6" thickTop="1" thickBot="1">
      <c r="A22" s="3" t="s">
        <v>102</v>
      </c>
      <c r="B22" s="76" t="str">
        <f>IF(OR(B20="Yes",B21="Yes"),"Additional","Nil")</f>
        <v>Nil</v>
      </c>
      <c r="C22" s="4" t="str">
        <f>IF(B2="Type III: Other project activities not included in Type I or Type II that aim to achieve GHG emissions reductions at a scale of no more than 20 ktCO2e per year.","Yes","NA")</f>
        <v>NA</v>
      </c>
      <c r="E22" s="4" t="s">
        <v>199</v>
      </c>
      <c r="F22" s="4" t="s">
        <v>16</v>
      </c>
    </row>
    <row r="23" spans="1:6" s="14" customFormat="1" ht="15" thickTop="1">
      <c r="A23" s="14" t="s">
        <v>1498</v>
      </c>
      <c r="C23" s="14" t="s">
        <v>16</v>
      </c>
    </row>
    <row r="24" spans="1:6">
      <c r="A24" t="s">
        <v>1499</v>
      </c>
      <c r="B24" s="159" t="s">
        <v>1500</v>
      </c>
      <c r="C24" t="s">
        <v>16</v>
      </c>
      <c r="D24" t="s">
        <v>1501</v>
      </c>
      <c r="E24" t="s">
        <v>90</v>
      </c>
      <c r="F24" t="s">
        <v>16</v>
      </c>
    </row>
    <row r="25" spans="1:6" ht="15" thickBot="1">
      <c r="A25" t="s">
        <v>1502</v>
      </c>
      <c r="B25" s="159" t="s">
        <v>1500</v>
      </c>
      <c r="C25" t="s">
        <v>16</v>
      </c>
      <c r="D25" t="s">
        <v>1503</v>
      </c>
      <c r="E25" t="s">
        <v>90</v>
      </c>
      <c r="F25" t="s">
        <v>16</v>
      </c>
    </row>
    <row r="26" spans="1:6" s="4" customFormat="1" ht="15.6" thickTop="1" thickBot="1">
      <c r="A26" s="3" t="s">
        <v>102</v>
      </c>
      <c r="B26" s="76" t="str">
        <f>IF(OR(B24&lt;=0.025,B25&lt;=0.015),"Additional","Nil")</f>
        <v>Nil</v>
      </c>
      <c r="C26" s="4" t="s">
        <v>16</v>
      </c>
      <c r="E26" s="4" t="s">
        <v>199</v>
      </c>
      <c r="F26" s="4" t="s">
        <v>16</v>
      </c>
    </row>
    <row r="27" spans="1:6" ht="15" thickTop="1"/>
    <row r="28" spans="1:6" ht="15" thickBot="1"/>
    <row r="29" spans="1:6" s="160" customFormat="1" ht="19.149999999999999" thickTop="1" thickBot="1">
      <c r="A29" s="160" t="s">
        <v>1504</v>
      </c>
      <c r="B29" s="161" t="str">
        <f>IF(B8="NA","NA",IF(OR(B14="Additional",B18="Additional",B22="Additional",B26="Additional"),"Additional","Not Additional"))</f>
        <v>Additional</v>
      </c>
      <c r="E29" s="160" t="s">
        <v>1233</v>
      </c>
      <c r="F29" s="160" t="s">
        <v>16</v>
      </c>
    </row>
    <row r="30" spans="1:6" ht="15" thickTop="1"/>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7DA39E5E-82EE-41DD-8923-984C5F041C72}">
          <x14:formula1>
            <xm:f>'Tool 19 Dropdown Items'!$B$2:$B$4</xm:f>
          </x14:formula1>
          <xm:sqref>B3:B7 B10:B13 B16:B17 B20:B21</xm:sqref>
        </x14:dataValidation>
        <x14:dataValidation type="list" allowBlank="1" showInputMessage="1" showErrorMessage="1" xr:uid="{54BF9BC3-B817-4E9A-86EB-7707E13BAE26}">
          <x14:formula1>
            <xm:f>'Tool 19 Dropdown Items'!$A$2:$A$5</xm:f>
          </x14:formula1>
          <xm:sqref>B2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8148-B26F-4406-9573-8334648A3CBD}">
  <dimension ref="A1:B5"/>
  <sheetViews>
    <sheetView workbookViewId="0">
      <selection activeCell="B29" sqref="B29"/>
    </sheetView>
  </sheetViews>
  <sheetFormatPr defaultRowHeight="14.45"/>
  <cols>
    <col min="1" max="1" width="22.42578125" customWidth="1"/>
  </cols>
  <sheetData>
    <row r="1" spans="1:2" s="2" customFormat="1">
      <c r="A1" s="2" t="s">
        <v>1505</v>
      </c>
      <c r="B1" s="2" t="s">
        <v>1506</v>
      </c>
    </row>
    <row r="2" spans="1:2">
      <c r="A2" t="s">
        <v>1477</v>
      </c>
      <c r="B2" t="s">
        <v>14</v>
      </c>
    </row>
    <row r="3" spans="1:2">
      <c r="A3" t="s">
        <v>1507</v>
      </c>
      <c r="B3" t="s">
        <v>16</v>
      </c>
    </row>
    <row r="4" spans="1:2">
      <c r="A4" t="s">
        <v>1496</v>
      </c>
      <c r="B4" t="s">
        <v>11</v>
      </c>
    </row>
    <row r="5" spans="1:2">
      <c r="A5" t="s">
        <v>11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391C-C4A8-4E1F-96A4-27A5436C19AF}">
  <dimension ref="A1"/>
  <sheetViews>
    <sheetView workbookViewId="0">
      <selection activeCell="B29" sqref="B29"/>
    </sheetView>
  </sheetViews>
  <sheetFormatPr defaultRowHeight="14.4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0C7D4-4CA1-4799-87C1-B3006A4DEA60}">
  <dimension ref="A1:H20"/>
  <sheetViews>
    <sheetView topLeftCell="A14" workbookViewId="0">
      <selection activeCell="F6" sqref="F6"/>
    </sheetView>
  </sheetViews>
  <sheetFormatPr defaultRowHeight="14.4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6">
      <c r="A1" s="29" t="s">
        <v>359</v>
      </c>
      <c r="B1" s="29" t="s">
        <v>9</v>
      </c>
      <c r="C1" s="30" t="s">
        <v>360</v>
      </c>
      <c r="D1" s="29" t="s">
        <v>7</v>
      </c>
      <c r="E1" s="31" t="s">
        <v>361</v>
      </c>
      <c r="F1" s="31" t="s">
        <v>362</v>
      </c>
      <c r="G1" s="30" t="s">
        <v>363</v>
      </c>
      <c r="H1" s="99"/>
    </row>
    <row r="2" spans="1:8" ht="42" customHeight="1">
      <c r="A2" s="177" t="s">
        <v>1508</v>
      </c>
      <c r="B2" s="177"/>
      <c r="C2" s="177"/>
      <c r="D2" s="177"/>
      <c r="E2" s="177"/>
      <c r="F2" s="177"/>
      <c r="G2" s="177"/>
      <c r="H2" s="59"/>
    </row>
    <row r="3" spans="1:8">
      <c r="A3" s="25" t="s">
        <v>14</v>
      </c>
      <c r="B3" s="25"/>
      <c r="C3" s="25" t="s">
        <v>16</v>
      </c>
      <c r="D3" s="25" t="s">
        <v>667</v>
      </c>
      <c r="E3" s="26" t="s">
        <v>1509</v>
      </c>
      <c r="F3" s="25" t="s">
        <v>1510</v>
      </c>
      <c r="G3" s="26"/>
    </row>
    <row r="4" spans="1:8" ht="42" customHeight="1">
      <c r="A4" s="177" t="s">
        <v>1511</v>
      </c>
      <c r="B4" s="177"/>
      <c r="C4" s="177"/>
      <c r="D4" s="177"/>
      <c r="E4" s="177"/>
      <c r="F4" s="177"/>
      <c r="G4" s="177"/>
      <c r="H4" s="59"/>
    </row>
    <row r="5" spans="1:8" ht="43.15">
      <c r="A5" s="25" t="s">
        <v>14</v>
      </c>
      <c r="B5" s="25"/>
      <c r="C5" s="25" t="s">
        <v>16</v>
      </c>
      <c r="D5" s="25" t="s">
        <v>667</v>
      </c>
      <c r="E5" s="26" t="s">
        <v>1512</v>
      </c>
      <c r="F5" s="25" t="s">
        <v>14</v>
      </c>
      <c r="G5" s="26" t="s">
        <v>1513</v>
      </c>
    </row>
    <row r="6" spans="1:8" ht="43.15">
      <c r="A6" s="25" t="s">
        <v>14</v>
      </c>
      <c r="B6" s="25"/>
      <c r="C6" s="25" t="s">
        <v>16</v>
      </c>
      <c r="D6" s="25" t="s">
        <v>667</v>
      </c>
      <c r="E6" s="26" t="s">
        <v>1514</v>
      </c>
      <c r="F6" s="25" t="s">
        <v>16</v>
      </c>
      <c r="G6" s="26" t="s">
        <v>1515</v>
      </c>
    </row>
    <row r="7" spans="1:8" ht="57.6">
      <c r="A7" s="25" t="s">
        <v>14</v>
      </c>
      <c r="B7" s="25"/>
      <c r="C7" s="25" t="s">
        <v>16</v>
      </c>
      <c r="D7" s="25" t="s">
        <v>667</v>
      </c>
      <c r="E7" s="26" t="s">
        <v>1516</v>
      </c>
      <c r="F7" s="25" t="s">
        <v>14</v>
      </c>
      <c r="G7" s="26" t="s">
        <v>1517</v>
      </c>
    </row>
    <row r="8" spans="1:8" ht="144">
      <c r="A8" s="25" t="s">
        <v>14</v>
      </c>
      <c r="B8" s="25"/>
      <c r="C8" s="25" t="s">
        <v>16</v>
      </c>
      <c r="D8" s="25" t="s">
        <v>667</v>
      </c>
      <c r="E8" s="26" t="s">
        <v>1518</v>
      </c>
      <c r="F8" s="25" t="s">
        <v>16</v>
      </c>
      <c r="G8" s="26" t="s">
        <v>1519</v>
      </c>
    </row>
    <row r="9" spans="1:8" ht="42" customHeight="1">
      <c r="A9" s="177" t="s">
        <v>1520</v>
      </c>
      <c r="B9" s="177"/>
      <c r="C9" s="177"/>
      <c r="D9" s="177"/>
      <c r="E9" s="177"/>
      <c r="F9" s="177"/>
      <c r="G9" s="177"/>
      <c r="H9" s="59"/>
    </row>
    <row r="10" spans="1:8" ht="43.15">
      <c r="A10" s="25" t="s">
        <v>14</v>
      </c>
      <c r="B10" s="25"/>
      <c r="C10" s="25" t="s">
        <v>16</v>
      </c>
      <c r="D10" s="25" t="s">
        <v>667</v>
      </c>
      <c r="E10" s="26" t="s">
        <v>1521</v>
      </c>
      <c r="F10" s="25" t="s">
        <v>14</v>
      </c>
      <c r="G10" s="26" t="s">
        <v>1522</v>
      </c>
    </row>
    <row r="11" spans="1:8" ht="43.15">
      <c r="A11" s="25" t="s">
        <v>14</v>
      </c>
      <c r="B11" s="25"/>
      <c r="C11" s="25" t="s">
        <v>16</v>
      </c>
      <c r="D11" s="25" t="s">
        <v>667</v>
      </c>
      <c r="E11" s="26" t="s">
        <v>1523</v>
      </c>
      <c r="F11" s="25" t="s">
        <v>16</v>
      </c>
      <c r="G11" s="5" t="s">
        <v>1524</v>
      </c>
    </row>
    <row r="12" spans="1:8" ht="57.6">
      <c r="A12" s="25" t="s">
        <v>14</v>
      </c>
      <c r="B12" s="25"/>
      <c r="C12" s="25" t="s">
        <v>16</v>
      </c>
      <c r="D12" s="25" t="s">
        <v>667</v>
      </c>
      <c r="E12" s="26" t="s">
        <v>1525</v>
      </c>
      <c r="F12" s="25"/>
      <c r="G12" s="26" t="s">
        <v>1526</v>
      </c>
    </row>
    <row r="13" spans="1:8" ht="28.9">
      <c r="A13" s="25" t="s">
        <v>14</v>
      </c>
      <c r="B13" s="25"/>
      <c r="C13" s="25" t="s">
        <v>16</v>
      </c>
      <c r="D13" s="25" t="s">
        <v>667</v>
      </c>
      <c r="E13" s="26" t="s">
        <v>1527</v>
      </c>
      <c r="F13" s="25" t="s">
        <v>14</v>
      </c>
      <c r="G13" s="26" t="s">
        <v>1526</v>
      </c>
    </row>
    <row r="14" spans="1:8" ht="129.6">
      <c r="A14" s="25" t="s">
        <v>14</v>
      </c>
      <c r="B14" s="25"/>
      <c r="C14" s="25" t="s">
        <v>16</v>
      </c>
      <c r="D14" s="25" t="s">
        <v>667</v>
      </c>
      <c r="E14" s="26" t="s">
        <v>1528</v>
      </c>
      <c r="F14" s="25" t="s">
        <v>16</v>
      </c>
      <c r="G14" s="5" t="s">
        <v>1529</v>
      </c>
    </row>
    <row r="15" spans="1:8" ht="42" customHeight="1">
      <c r="A15" s="177" t="s">
        <v>1530</v>
      </c>
      <c r="B15" s="177"/>
      <c r="C15" s="177"/>
      <c r="D15" s="177"/>
      <c r="E15" s="177"/>
      <c r="F15" s="177"/>
      <c r="G15" s="177"/>
      <c r="H15" s="59"/>
    </row>
    <row r="16" spans="1:8" ht="43.15">
      <c r="A16" t="s">
        <v>14</v>
      </c>
      <c r="C16" t="s">
        <v>14</v>
      </c>
      <c r="D16" t="s">
        <v>5</v>
      </c>
      <c r="E16" s="1" t="s">
        <v>1531</v>
      </c>
    </row>
    <row r="17" spans="1:5" ht="28.9">
      <c r="A17" t="s">
        <v>14</v>
      </c>
      <c r="C17" t="s">
        <v>14</v>
      </c>
      <c r="D17" t="s">
        <v>15</v>
      </c>
      <c r="E17" s="1" t="s">
        <v>1532</v>
      </c>
    </row>
    <row r="18" spans="1:5" ht="57.6">
      <c r="A18" t="s">
        <v>14</v>
      </c>
      <c r="C18" t="s">
        <v>14</v>
      </c>
      <c r="D18" t="s">
        <v>15</v>
      </c>
      <c r="E18" s="1" t="s">
        <v>1533</v>
      </c>
    </row>
    <row r="19" spans="1:5" ht="43.15">
      <c r="A19" t="s">
        <v>14</v>
      </c>
      <c r="C19" t="s">
        <v>14</v>
      </c>
      <c r="D19" t="s">
        <v>15</v>
      </c>
      <c r="E19" s="1" t="s">
        <v>1534</v>
      </c>
    </row>
    <row r="20" spans="1:5" ht="72">
      <c r="A20" t="s">
        <v>14</v>
      </c>
      <c r="C20" t="s">
        <v>14</v>
      </c>
      <c r="D20" t="s">
        <v>15</v>
      </c>
      <c r="E20" s="1" t="s">
        <v>1535</v>
      </c>
    </row>
  </sheetData>
  <mergeCells count="4">
    <mergeCell ref="A2:G2"/>
    <mergeCell ref="A4:G4"/>
    <mergeCell ref="A9:G9"/>
    <mergeCell ref="A15:G15"/>
  </mergeCells>
  <dataValidations count="2">
    <dataValidation type="list" allowBlank="1" showInputMessage="1" showErrorMessage="1" sqref="F5:F8 F10:F14" xr:uid="{8E65A7EA-0213-4CB9-B869-80CC192E64C1}">
      <formula1>"Yes,No"</formula1>
    </dataValidation>
    <dataValidation type="list" allowBlank="1" showInputMessage="1" showErrorMessage="1" sqref="F3" xr:uid="{3CFAC384-38CD-482C-87E0-58DB47413682}">
      <formula1>"PA,CPA"</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74DF-90D1-423F-A61D-33868D08CAC7}">
  <dimension ref="A1:G29"/>
  <sheetViews>
    <sheetView topLeftCell="A5" workbookViewId="0">
      <selection activeCell="A27" sqref="A27"/>
    </sheetView>
  </sheetViews>
  <sheetFormatPr defaultRowHeight="14.45"/>
  <cols>
    <col min="1" max="1" width="80.7109375" style="1" customWidth="1"/>
    <col min="2" max="2" width="30.140625" customWidth="1"/>
    <col min="4" max="4" width="13.7109375" customWidth="1"/>
    <col min="5" max="5" width="14.28515625" customWidth="1"/>
    <col min="6" max="6" width="16" customWidth="1"/>
  </cols>
  <sheetData>
    <row r="1" spans="1:7" s="14" customFormat="1">
      <c r="A1" s="15" t="s">
        <v>361</v>
      </c>
      <c r="B1" s="14" t="s">
        <v>3</v>
      </c>
      <c r="C1" s="14" t="s">
        <v>4</v>
      </c>
      <c r="D1" s="14" t="s">
        <v>363</v>
      </c>
      <c r="E1" s="14" t="s">
        <v>7</v>
      </c>
      <c r="F1" s="14" t="s">
        <v>360</v>
      </c>
      <c r="G1" s="14" t="s">
        <v>9</v>
      </c>
    </row>
    <row r="2" spans="1:7">
      <c r="A2" s="1" t="s">
        <v>1536</v>
      </c>
      <c r="B2" t="s">
        <v>14</v>
      </c>
      <c r="D2" t="s">
        <v>1537</v>
      </c>
      <c r="E2" t="s">
        <v>28</v>
      </c>
    </row>
    <row r="3" spans="1:7" ht="28.9">
      <c r="A3" s="1" t="s">
        <v>1538</v>
      </c>
      <c r="B3" t="s">
        <v>14</v>
      </c>
      <c r="D3" t="s">
        <v>1537</v>
      </c>
      <c r="E3" t="s">
        <v>28</v>
      </c>
    </row>
    <row r="4" spans="1:7" ht="28.9">
      <c r="A4" s="1" t="s">
        <v>1539</v>
      </c>
      <c r="B4" t="s">
        <v>16</v>
      </c>
      <c r="D4" t="s">
        <v>1484</v>
      </c>
      <c r="E4" t="s">
        <v>28</v>
      </c>
    </row>
    <row r="5" spans="1:7">
      <c r="A5" s="1" t="s">
        <v>1447</v>
      </c>
      <c r="B5" s="22" t="str">
        <f>IF(OR(B2="No",B3="No",B4="Yes"),"NA","Applicable")</f>
        <v>Applicable</v>
      </c>
      <c r="E5" t="s">
        <v>101</v>
      </c>
    </row>
    <row r="6" spans="1:7" s="14" customFormat="1">
      <c r="A6" s="15" t="s">
        <v>1540</v>
      </c>
    </row>
    <row r="7" spans="1:7">
      <c r="A7" s="1" t="s">
        <v>1541</v>
      </c>
      <c r="B7" t="s">
        <v>1542</v>
      </c>
      <c r="D7" t="s">
        <v>1543</v>
      </c>
      <c r="E7" t="s">
        <v>28</v>
      </c>
    </row>
    <row r="8" spans="1:7">
      <c r="A8" s="1" t="s">
        <v>1544</v>
      </c>
      <c r="B8" t="s">
        <v>1545</v>
      </c>
      <c r="D8" t="s">
        <v>1543</v>
      </c>
      <c r="E8" t="s">
        <v>28</v>
      </c>
    </row>
    <row r="9" spans="1:7">
      <c r="A9" s="190" t="s">
        <v>1546</v>
      </c>
      <c r="B9" s="191"/>
    </row>
    <row r="10" spans="1:7">
      <c r="A10" s="1" t="s">
        <v>1547</v>
      </c>
      <c r="B10" s="22" t="str">
        <f>IF(AND(B7="Biomass from forests",B8="New forests"),"Included",IF(AND(B7="Biomass from croplands or grasslands (woody or nonwoody)",B8="In the absence of the project the land would be used as cropland/wetland"),"Included","Not Included"))</f>
        <v>Not Included</v>
      </c>
      <c r="D10" t="s">
        <v>1548</v>
      </c>
      <c r="E10" t="s">
        <v>101</v>
      </c>
    </row>
    <row r="11" spans="1:7">
      <c r="A11" s="1" t="s">
        <v>1549</v>
      </c>
      <c r="B11" s="22" t="str">
        <f>IF(AND(B7="Biomass from forests",B8="New forests"),"Included",IF(AND(B7="Biomass from croplands or grasslands (woody or nonwoody)",B8="In the absence of the project the land would be used as cropland/wetland"),"Included",IF(AND(B7="Biomass from croplands or grasslands (woody or nonwoody)",B8="In the absence of the project the land would be abandoned"),"Included","Not Included")))</f>
        <v>Not Included</v>
      </c>
      <c r="D11" t="s">
        <v>1548</v>
      </c>
      <c r="E11" t="s">
        <v>101</v>
      </c>
    </row>
    <row r="12" spans="1:7">
      <c r="A12" s="1" t="s">
        <v>1550</v>
      </c>
      <c r="B12" s="22" t="str">
        <f>IF(AND(B7="Biomass from forests",B8="Existing forests"),"Included",IF(AND(B7="Biomass residues or wastes",B8="Biomass residues or wastes are collected and used"),"Included","Not Included"))</f>
        <v>Included</v>
      </c>
      <c r="D12" t="s">
        <v>1548</v>
      </c>
      <c r="E12" t="s">
        <v>101</v>
      </c>
    </row>
    <row r="13" spans="1:7" s="14" customFormat="1">
      <c r="A13" s="15" t="s">
        <v>1547</v>
      </c>
      <c r="C13" s="14" t="str">
        <f>IF(B10="Included","Yes","NA")</f>
        <v>NA</v>
      </c>
    </row>
    <row r="14" spans="1:7" ht="28.9">
      <c r="A14" s="1" t="s">
        <v>1551</v>
      </c>
      <c r="B14" s="85"/>
      <c r="C14" t="str">
        <f>IF(B10="Included","Yes","NA")</f>
        <v>NA</v>
      </c>
      <c r="E14" t="s">
        <v>90</v>
      </c>
    </row>
    <row r="15" spans="1:7" ht="28.9">
      <c r="A15" s="1" t="s">
        <v>1552</v>
      </c>
      <c r="B15" s="85"/>
      <c r="C15" t="str">
        <f>IF(B10="Included","Yes","NA")</f>
        <v>NA</v>
      </c>
      <c r="E15" t="s">
        <v>90</v>
      </c>
    </row>
    <row r="16" spans="1:7">
      <c r="A16" s="1" t="s">
        <v>1553</v>
      </c>
      <c r="B16" s="22">
        <f>IF(AND(B14&lt;0.1,B15&lt;0.1),0,IF(OR(B14&gt;0.5,B15&gt;0.5),"Tool NA",IF(OR(B14&gt;0.1,B15&gt;0.1),"=(BE-PE)*.15")))</f>
        <v>0</v>
      </c>
      <c r="C16" t="str">
        <f>IF(B10="Included","Yes","NA")</f>
        <v>NA</v>
      </c>
      <c r="D16" t="s">
        <v>1403</v>
      </c>
      <c r="E16" t="s">
        <v>101</v>
      </c>
    </row>
    <row r="17" spans="1:5" s="14" customFormat="1">
      <c r="A17" s="15" t="s">
        <v>1554</v>
      </c>
      <c r="C17" s="14" t="str">
        <f>IF(B11="Included","Yes","NA")</f>
        <v>NA</v>
      </c>
    </row>
    <row r="18" spans="1:5">
      <c r="A18" s="1" t="s">
        <v>1555</v>
      </c>
      <c r="B18" s="22" t="str">
        <f>IF(B11="Included","Potentially Significant","NA")</f>
        <v>NA</v>
      </c>
      <c r="C18" t="str">
        <f>IF(B11="Included","Yes","NA")</f>
        <v>NA</v>
      </c>
      <c r="E18" t="s">
        <v>101</v>
      </c>
    </row>
    <row r="19" spans="1:5">
      <c r="A19" s="1" t="s">
        <v>1556</v>
      </c>
      <c r="B19" s="22" t="str">
        <f>IF(B11="Included","Potentially Significant","NA")</f>
        <v>NA</v>
      </c>
      <c r="C19" t="str">
        <f>IF(B11="Included","Yes","NA")</f>
        <v>NA</v>
      </c>
      <c r="E19" t="s">
        <v>101</v>
      </c>
    </row>
    <row r="20" spans="1:5" s="14" customFormat="1">
      <c r="A20" s="15" t="s">
        <v>1557</v>
      </c>
      <c r="C20" s="14" t="str">
        <f>IF(B12="Included","Yes","NA")</f>
        <v>Yes</v>
      </c>
    </row>
    <row r="21" spans="1:5">
      <c r="A21" s="1" t="s">
        <v>1558</v>
      </c>
      <c r="B21" t="s">
        <v>16</v>
      </c>
      <c r="C21" t="str">
        <f>IF(B12="Included","Yes","NA")</f>
        <v>Yes</v>
      </c>
      <c r="D21" t="s">
        <v>1559</v>
      </c>
      <c r="E21" t="s">
        <v>28</v>
      </c>
    </row>
    <row r="22" spans="1:5" ht="28.9">
      <c r="A22" s="1" t="s">
        <v>1560</v>
      </c>
      <c r="B22" t="s">
        <v>16</v>
      </c>
      <c r="C22" t="str">
        <f>IF(B12="Included","Yes","NA")</f>
        <v>Yes</v>
      </c>
      <c r="D22" t="s">
        <v>1559</v>
      </c>
      <c r="E22" t="s">
        <v>28</v>
      </c>
    </row>
    <row r="23" spans="1:5">
      <c r="A23" s="1" t="s">
        <v>1561</v>
      </c>
      <c r="B23" s="22" t="str">
        <f>IF(OR(B12="Not Included",B21="Yes",B22="Yes"),"NA","To be estimated and deducted")</f>
        <v>To be estimated and deducted</v>
      </c>
      <c r="C23" t="str">
        <f>IF(B12="Included","Yes","NA")</f>
        <v>Yes</v>
      </c>
      <c r="D23" s="1"/>
      <c r="E23" t="s">
        <v>101</v>
      </c>
    </row>
    <row r="29" spans="1:5">
      <c r="A29" s="16"/>
    </row>
  </sheetData>
  <mergeCells count="1">
    <mergeCell ref="A9:B9"/>
  </mergeCell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AC99D077-EC69-4424-AB10-16734D00229C}">
          <x14:formula1>
            <xm:f>'Tool 22 Dropdown Items'!$D$2:$D$4</xm:f>
          </x14:formula1>
          <xm:sqref>B21:B22 B2:B4</xm:sqref>
        </x14:dataValidation>
        <x14:dataValidation type="list" allowBlank="1" showInputMessage="1" showErrorMessage="1" xr:uid="{520E81E0-2EB4-4FEB-AB99-6153DA632CF9}">
          <x14:formula1>
            <xm:f>'Tool 22 Dropdown Items'!$B$2:$B$6</xm:f>
          </x14:formula1>
          <xm:sqref>B8</xm:sqref>
        </x14:dataValidation>
        <x14:dataValidation type="list" allowBlank="1" showInputMessage="1" showErrorMessage="1" xr:uid="{C9A3E0D3-0CE1-43D2-AD97-864EEBF86C67}">
          <x14:formula1>
            <xm:f>'Tool 22 Dropdown Items'!$A$2:$A$4</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23945-B3ED-476B-B3E0-3B939AFD24D6}">
  <dimension ref="A1"/>
  <sheetViews>
    <sheetView topLeftCell="A4" workbookViewId="0">
      <selection activeCell="E38" sqref="E38"/>
    </sheetView>
  </sheetViews>
  <sheetFormatPr defaultRowHeight="14.45"/>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42C1-060F-4FEB-BCB7-D54C3EEFCB7A}">
  <dimension ref="A1:D6"/>
  <sheetViews>
    <sheetView workbookViewId="0">
      <selection activeCell="A23" sqref="A23"/>
    </sheetView>
  </sheetViews>
  <sheetFormatPr defaultRowHeight="14.45"/>
  <cols>
    <col min="1" max="1" width="50.28515625" customWidth="1"/>
  </cols>
  <sheetData>
    <row r="1" spans="1:4" s="2" customFormat="1">
      <c r="A1" s="2" t="s">
        <v>1562</v>
      </c>
      <c r="B1" s="2" t="s">
        <v>1563</v>
      </c>
      <c r="D1" s="2" t="s">
        <v>1506</v>
      </c>
    </row>
    <row r="2" spans="1:4">
      <c r="A2" t="s">
        <v>1564</v>
      </c>
      <c r="B2" t="s">
        <v>1565</v>
      </c>
      <c r="D2" t="s">
        <v>14</v>
      </c>
    </row>
    <row r="3" spans="1:4">
      <c r="A3" t="s">
        <v>1566</v>
      </c>
      <c r="B3" t="s">
        <v>1567</v>
      </c>
      <c r="D3" t="s">
        <v>16</v>
      </c>
    </row>
    <row r="4" spans="1:4">
      <c r="A4" t="s">
        <v>1542</v>
      </c>
      <c r="B4" t="s">
        <v>1568</v>
      </c>
      <c r="D4" t="s">
        <v>11</v>
      </c>
    </row>
    <row r="5" spans="1:4">
      <c r="B5" t="s">
        <v>1569</v>
      </c>
    </row>
    <row r="6" spans="1:4">
      <c r="B6" t="s">
        <v>1545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4F19-D81F-40D1-8C16-A3808AA0BB18}">
  <dimension ref="A1"/>
  <sheetViews>
    <sheetView topLeftCell="A4" workbookViewId="0">
      <selection activeCell="A23" sqref="A23"/>
    </sheetView>
  </sheetViews>
  <sheetFormatPr defaultRowHeight="14.45"/>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BFD56-9BF9-4375-BA05-F9E6680811C2}">
  <dimension ref="A1:B481"/>
  <sheetViews>
    <sheetView zoomScale="120" zoomScaleNormal="120" workbookViewId="0">
      <selection activeCell="G10" sqref="G10"/>
    </sheetView>
  </sheetViews>
  <sheetFormatPr defaultColWidth="8.85546875" defaultRowHeight="14.45"/>
  <cols>
    <col min="1" max="1" width="53.28515625" bestFit="1" customWidth="1"/>
    <col min="2" max="2" width="150.5703125" customWidth="1"/>
  </cols>
  <sheetData>
    <row r="1" spans="1:2">
      <c r="A1" s="163" t="s">
        <v>1570</v>
      </c>
      <c r="B1" s="164" t="s">
        <v>1571</v>
      </c>
    </row>
    <row r="2" spans="1:2">
      <c r="A2" t="s">
        <v>1572</v>
      </c>
      <c r="B2" t="s">
        <v>1573</v>
      </c>
    </row>
    <row r="3" spans="1:2">
      <c r="A3" t="s">
        <v>40</v>
      </c>
      <c r="B3" t="s">
        <v>1574</v>
      </c>
    </row>
    <row r="4" spans="1:2">
      <c r="A4" t="s">
        <v>1575</v>
      </c>
      <c r="B4" t="s">
        <v>1576</v>
      </c>
    </row>
    <row r="5" spans="1:2">
      <c r="A5" t="s">
        <v>48</v>
      </c>
      <c r="B5" t="s">
        <v>1577</v>
      </c>
    </row>
    <row r="6" spans="1:2">
      <c r="A6" t="s">
        <v>1578</v>
      </c>
      <c r="B6" t="s">
        <v>1579</v>
      </c>
    </row>
    <row r="7" spans="1:2">
      <c r="A7" t="s">
        <v>1580</v>
      </c>
      <c r="B7" t="s">
        <v>1581</v>
      </c>
    </row>
    <row r="8" spans="1:2">
      <c r="A8" t="s">
        <v>1582</v>
      </c>
      <c r="B8" t="s">
        <v>1583</v>
      </c>
    </row>
    <row r="9" spans="1:2">
      <c r="A9" t="s">
        <v>1584</v>
      </c>
      <c r="B9" t="s">
        <v>1585</v>
      </c>
    </row>
    <row r="10" spans="1:2">
      <c r="A10" t="s">
        <v>1586</v>
      </c>
      <c r="B10" t="s">
        <v>1587</v>
      </c>
    </row>
    <row r="11" spans="1:2">
      <c r="A11" t="s">
        <v>1588</v>
      </c>
      <c r="B11" t="s">
        <v>1589</v>
      </c>
    </row>
    <row r="12" spans="1:2">
      <c r="A12" t="s">
        <v>1590</v>
      </c>
      <c r="B12" t="s">
        <v>1591</v>
      </c>
    </row>
    <row r="13" spans="1:2">
      <c r="A13" t="s">
        <v>1592</v>
      </c>
      <c r="B13" t="s">
        <v>1593</v>
      </c>
    </row>
    <row r="14" spans="1:2">
      <c r="A14" t="s">
        <v>1594</v>
      </c>
      <c r="B14" t="s">
        <v>1595</v>
      </c>
    </row>
    <row r="15" spans="1:2">
      <c r="A15" t="s">
        <v>1596</v>
      </c>
      <c r="B15" t="s">
        <v>1597</v>
      </c>
    </row>
    <row r="16" spans="1:2">
      <c r="A16" t="s">
        <v>1598</v>
      </c>
      <c r="B16" t="s">
        <v>1599</v>
      </c>
    </row>
    <row r="17" spans="1:2">
      <c r="A17" t="s">
        <v>1600</v>
      </c>
      <c r="B17" t="s">
        <v>1601</v>
      </c>
    </row>
    <row r="18" spans="1:2">
      <c r="A18" t="s">
        <v>1602</v>
      </c>
      <c r="B18" t="s">
        <v>1603</v>
      </c>
    </row>
    <row r="19" spans="1:2">
      <c r="A19" t="s">
        <v>17</v>
      </c>
      <c r="B19" t="s">
        <v>1604</v>
      </c>
    </row>
    <row r="20" spans="1:2">
      <c r="A20" t="s">
        <v>20</v>
      </c>
      <c r="B20" t="s">
        <v>1605</v>
      </c>
    </row>
    <row r="21" spans="1:2">
      <c r="A21" t="s">
        <v>25</v>
      </c>
      <c r="B21" t="s">
        <v>1606</v>
      </c>
    </row>
    <row r="22" spans="1:2">
      <c r="A22" t="s">
        <v>1607</v>
      </c>
      <c r="B22" t="s">
        <v>1608</v>
      </c>
    </row>
    <row r="23" spans="1:2">
      <c r="A23" t="s">
        <v>1609</v>
      </c>
      <c r="B23" t="s">
        <v>1610</v>
      </c>
    </row>
    <row r="24" spans="1:2">
      <c r="A24" t="s">
        <v>1611</v>
      </c>
      <c r="B24" t="s">
        <v>1612</v>
      </c>
    </row>
    <row r="25" spans="1:2">
      <c r="A25" t="s">
        <v>1613</v>
      </c>
      <c r="B25" t="s">
        <v>1614</v>
      </c>
    </row>
    <row r="26" spans="1:2">
      <c r="A26" t="s">
        <v>1615</v>
      </c>
      <c r="B26" t="s">
        <v>1616</v>
      </c>
    </row>
    <row r="27" spans="1:2">
      <c r="A27" t="s">
        <v>1617</v>
      </c>
      <c r="B27" t="s">
        <v>1618</v>
      </c>
    </row>
    <row r="28" spans="1:2">
      <c r="A28" t="s">
        <v>1619</v>
      </c>
      <c r="B28" t="s">
        <v>1620</v>
      </c>
    </row>
    <row r="29" spans="1:2">
      <c r="A29" t="s">
        <v>1621</v>
      </c>
      <c r="B29" t="s">
        <v>1622</v>
      </c>
    </row>
    <row r="30" spans="1:2">
      <c r="A30" t="s">
        <v>1623</v>
      </c>
      <c r="B30" t="s">
        <v>1624</v>
      </c>
    </row>
    <row r="31" spans="1:2">
      <c r="A31" t="s">
        <v>1625</v>
      </c>
      <c r="B31" t="s">
        <v>1626</v>
      </c>
    </row>
    <row r="32" spans="1:2">
      <c r="A32" t="s">
        <v>1627</v>
      </c>
      <c r="B32" t="s">
        <v>1628</v>
      </c>
    </row>
    <row r="33" spans="1:2">
      <c r="A33" t="s">
        <v>1629</v>
      </c>
      <c r="B33" t="s">
        <v>1630</v>
      </c>
    </row>
    <row r="34" spans="1:2">
      <c r="A34" s="165" t="s">
        <v>64</v>
      </c>
      <c r="B34" t="s">
        <v>1631</v>
      </c>
    </row>
    <row r="35" spans="1:2">
      <c r="A35" s="165" t="s">
        <v>67</v>
      </c>
      <c r="B35" t="s">
        <v>1632</v>
      </c>
    </row>
    <row r="36" spans="1:2">
      <c r="A36" s="165" t="s">
        <v>71</v>
      </c>
      <c r="B36" t="s">
        <v>1633</v>
      </c>
    </row>
    <row r="37" spans="1:2">
      <c r="A37" s="165" t="s">
        <v>32</v>
      </c>
      <c r="B37" t="s">
        <v>1634</v>
      </c>
    </row>
    <row r="38" spans="1:2">
      <c r="A38" s="165" t="s">
        <v>29</v>
      </c>
      <c r="B38" t="s">
        <v>1635</v>
      </c>
    </row>
    <row r="39" spans="1:2">
      <c r="A39" s="165" t="s">
        <v>35</v>
      </c>
      <c r="B39" t="s">
        <v>1636</v>
      </c>
    </row>
    <row r="40" spans="1:2">
      <c r="A40" t="s">
        <v>1637</v>
      </c>
      <c r="B40" t="s">
        <v>1638</v>
      </c>
    </row>
    <row r="41" spans="1:2">
      <c r="A41" t="s">
        <v>1639</v>
      </c>
      <c r="B41" t="s">
        <v>1640</v>
      </c>
    </row>
    <row r="42" spans="1:2">
      <c r="A42" t="s">
        <v>1641</v>
      </c>
      <c r="B42" t="s">
        <v>1642</v>
      </c>
    </row>
    <row r="43" spans="1:2">
      <c r="A43" t="s">
        <v>1643</v>
      </c>
      <c r="B43" t="s">
        <v>1644</v>
      </c>
    </row>
    <row r="44" spans="1:2">
      <c r="A44" t="s">
        <v>1645</v>
      </c>
      <c r="B44" t="s">
        <v>1646</v>
      </c>
    </row>
    <row r="45" spans="1:2">
      <c r="A45" t="s">
        <v>1647</v>
      </c>
      <c r="B45" t="s">
        <v>1648</v>
      </c>
    </row>
    <row r="46" spans="1:2">
      <c r="A46" t="s">
        <v>1649</v>
      </c>
      <c r="B46" t="s">
        <v>1650</v>
      </c>
    </row>
    <row r="47" spans="1:2">
      <c r="A47" t="s">
        <v>1651</v>
      </c>
      <c r="B47" t="s">
        <v>1652</v>
      </c>
    </row>
    <row r="48" spans="1:2">
      <c r="A48" t="s">
        <v>1653</v>
      </c>
      <c r="B48" t="s">
        <v>1654</v>
      </c>
    </row>
    <row r="49" spans="1:2">
      <c r="A49" t="s">
        <v>1655</v>
      </c>
      <c r="B49" t="s">
        <v>1656</v>
      </c>
    </row>
    <row r="50" spans="1:2">
      <c r="A50" t="s">
        <v>1657</v>
      </c>
      <c r="B50" t="s">
        <v>1658</v>
      </c>
    </row>
    <row r="51" spans="1:2">
      <c r="A51" t="s">
        <v>1659</v>
      </c>
      <c r="B51" t="s">
        <v>1660</v>
      </c>
    </row>
    <row r="52" spans="1:2">
      <c r="A52" t="s">
        <v>1661</v>
      </c>
      <c r="B52" t="s">
        <v>1662</v>
      </c>
    </row>
    <row r="53" spans="1:2">
      <c r="A53" t="s">
        <v>1663</v>
      </c>
      <c r="B53" t="s">
        <v>1664</v>
      </c>
    </row>
    <row r="54" spans="1:2">
      <c r="A54" t="s">
        <v>1665</v>
      </c>
      <c r="B54" t="s">
        <v>1666</v>
      </c>
    </row>
    <row r="55" spans="1:2">
      <c r="A55" t="s">
        <v>1667</v>
      </c>
      <c r="B55" t="s">
        <v>1668</v>
      </c>
    </row>
    <row r="56" spans="1:2">
      <c r="A56" t="s">
        <v>1669</v>
      </c>
      <c r="B56" t="s">
        <v>1670</v>
      </c>
    </row>
    <row r="57" spans="1:2">
      <c r="A57" t="s">
        <v>1671</v>
      </c>
      <c r="B57" t="s">
        <v>1672</v>
      </c>
    </row>
    <row r="58" spans="1:2">
      <c r="A58" t="s">
        <v>1673</v>
      </c>
      <c r="B58" t="s">
        <v>1674</v>
      </c>
    </row>
    <row r="59" spans="1:2">
      <c r="A59" t="s">
        <v>1675</v>
      </c>
      <c r="B59" t="s">
        <v>1676</v>
      </c>
    </row>
    <row r="60" spans="1:2">
      <c r="A60" t="s">
        <v>1677</v>
      </c>
      <c r="B60" t="s">
        <v>1678</v>
      </c>
    </row>
    <row r="61" spans="1:2">
      <c r="A61" t="s">
        <v>1679</v>
      </c>
      <c r="B61" t="s">
        <v>1680</v>
      </c>
    </row>
    <row r="62" spans="1:2">
      <c r="A62" t="s">
        <v>1681</v>
      </c>
      <c r="B62" t="s">
        <v>1682</v>
      </c>
    </row>
    <row r="63" spans="1:2">
      <c r="A63" t="s">
        <v>1683</v>
      </c>
      <c r="B63" t="s">
        <v>1684</v>
      </c>
    </row>
    <row r="64" spans="1:2">
      <c r="A64" t="s">
        <v>1685</v>
      </c>
      <c r="B64" t="s">
        <v>1686</v>
      </c>
    </row>
    <row r="65" spans="1:2">
      <c r="A65" t="s">
        <v>1687</v>
      </c>
      <c r="B65" t="s">
        <v>1688</v>
      </c>
    </row>
    <row r="66" spans="1:2">
      <c r="A66" t="s">
        <v>1689</v>
      </c>
      <c r="B66" t="s">
        <v>1690</v>
      </c>
    </row>
    <row r="67" spans="1:2">
      <c r="A67" t="s">
        <v>1691</v>
      </c>
      <c r="B67" t="s">
        <v>1692</v>
      </c>
    </row>
    <row r="68" spans="1:2">
      <c r="A68" t="s">
        <v>1693</v>
      </c>
      <c r="B68" t="s">
        <v>1694</v>
      </c>
    </row>
    <row r="69" spans="1:2">
      <c r="A69" t="s">
        <v>1695</v>
      </c>
      <c r="B69" t="s">
        <v>1696</v>
      </c>
    </row>
    <row r="70" spans="1:2">
      <c r="A70" t="s">
        <v>1697</v>
      </c>
      <c r="B70" t="s">
        <v>1698</v>
      </c>
    </row>
    <row r="71" spans="1:2">
      <c r="A71" t="s">
        <v>1699</v>
      </c>
      <c r="B71" t="s">
        <v>1700</v>
      </c>
    </row>
    <row r="72" spans="1:2">
      <c r="A72" t="s">
        <v>1701</v>
      </c>
      <c r="B72" t="s">
        <v>1702</v>
      </c>
    </row>
    <row r="73" spans="1:2">
      <c r="A73" t="s">
        <v>1703</v>
      </c>
      <c r="B73" t="s">
        <v>1704</v>
      </c>
    </row>
    <row r="74" spans="1:2">
      <c r="A74" t="s">
        <v>1705</v>
      </c>
      <c r="B74" t="s">
        <v>1706</v>
      </c>
    </row>
    <row r="75" spans="1:2">
      <c r="A75" t="s">
        <v>1707</v>
      </c>
      <c r="B75" t="s">
        <v>1708</v>
      </c>
    </row>
    <row r="76" spans="1:2">
      <c r="A76" t="s">
        <v>1709</v>
      </c>
      <c r="B76" t="s">
        <v>1710</v>
      </c>
    </row>
    <row r="77" spans="1:2">
      <c r="A77" t="s">
        <v>1711</v>
      </c>
      <c r="B77" t="s">
        <v>1712</v>
      </c>
    </row>
    <row r="78" spans="1:2">
      <c r="A78" t="s">
        <v>1713</v>
      </c>
      <c r="B78" t="s">
        <v>1714</v>
      </c>
    </row>
    <row r="79" spans="1:2">
      <c r="A79" t="s">
        <v>1715</v>
      </c>
      <c r="B79" t="s">
        <v>1716</v>
      </c>
    </row>
    <row r="80" spans="1:2">
      <c r="A80" t="s">
        <v>1717</v>
      </c>
      <c r="B80" t="s">
        <v>1718</v>
      </c>
    </row>
    <row r="81" spans="1:2">
      <c r="A81" t="s">
        <v>1719</v>
      </c>
      <c r="B81" t="s">
        <v>1720</v>
      </c>
    </row>
    <row r="82" spans="1:2">
      <c r="A82" t="s">
        <v>1721</v>
      </c>
      <c r="B82" t="s">
        <v>1722</v>
      </c>
    </row>
    <row r="83" spans="1:2">
      <c r="A83" t="s">
        <v>1723</v>
      </c>
      <c r="B83" t="s">
        <v>1724</v>
      </c>
    </row>
    <row r="84" spans="1:2">
      <c r="A84" t="s">
        <v>1725</v>
      </c>
      <c r="B84" t="s">
        <v>1726</v>
      </c>
    </row>
    <row r="85" spans="1:2">
      <c r="A85" t="s">
        <v>1727</v>
      </c>
      <c r="B85" t="s">
        <v>1728</v>
      </c>
    </row>
    <row r="86" spans="1:2">
      <c r="A86" t="s">
        <v>1729</v>
      </c>
      <c r="B86" t="s">
        <v>1730</v>
      </c>
    </row>
    <row r="87" spans="1:2">
      <c r="A87" t="s">
        <v>77</v>
      </c>
      <c r="B87" t="s">
        <v>1731</v>
      </c>
    </row>
    <row r="88" spans="1:2">
      <c r="A88" t="s">
        <v>1732</v>
      </c>
      <c r="B88" t="s">
        <v>1733</v>
      </c>
    </row>
    <row r="89" spans="1:2">
      <c r="A89" t="s">
        <v>1734</v>
      </c>
      <c r="B89" t="s">
        <v>1735</v>
      </c>
    </row>
    <row r="90" spans="1:2">
      <c r="A90" t="s">
        <v>1736</v>
      </c>
      <c r="B90" t="s">
        <v>1737</v>
      </c>
    </row>
    <row r="91" spans="1:2">
      <c r="A91" t="s">
        <v>1738</v>
      </c>
      <c r="B91" t="s">
        <v>1739</v>
      </c>
    </row>
    <row r="92" spans="1:2">
      <c r="A92" t="s">
        <v>1740</v>
      </c>
      <c r="B92" t="s">
        <v>1741</v>
      </c>
    </row>
    <row r="93" spans="1:2">
      <c r="A93" t="s">
        <v>1742</v>
      </c>
      <c r="B93" t="s">
        <v>1743</v>
      </c>
    </row>
    <row r="94" spans="1:2">
      <c r="A94" t="s">
        <v>1744</v>
      </c>
      <c r="B94" t="s">
        <v>1745</v>
      </c>
    </row>
    <row r="95" spans="1:2">
      <c r="A95" t="s">
        <v>1746</v>
      </c>
      <c r="B95" t="s">
        <v>1747</v>
      </c>
    </row>
    <row r="96" spans="1:2">
      <c r="A96" t="s">
        <v>1748</v>
      </c>
      <c r="B96" t="s">
        <v>1749</v>
      </c>
    </row>
    <row r="97" spans="1:2">
      <c r="A97" t="s">
        <v>1750</v>
      </c>
      <c r="B97" t="s">
        <v>1751</v>
      </c>
    </row>
    <row r="98" spans="1:2">
      <c r="A98" t="s">
        <v>1752</v>
      </c>
      <c r="B98" t="s">
        <v>1753</v>
      </c>
    </row>
    <row r="99" spans="1:2">
      <c r="A99" t="s">
        <v>1754</v>
      </c>
      <c r="B99" t="s">
        <v>1755</v>
      </c>
    </row>
    <row r="100" spans="1:2">
      <c r="A100" t="s">
        <v>1756</v>
      </c>
      <c r="B100" t="s">
        <v>1757</v>
      </c>
    </row>
    <row r="101" spans="1:2">
      <c r="A101" t="s">
        <v>1758</v>
      </c>
      <c r="B101" t="s">
        <v>1759</v>
      </c>
    </row>
    <row r="102" spans="1:2">
      <c r="A102" t="s">
        <v>1760</v>
      </c>
      <c r="B102" t="s">
        <v>1761</v>
      </c>
    </row>
    <row r="103" spans="1:2">
      <c r="A103" t="s">
        <v>1762</v>
      </c>
      <c r="B103" t="s">
        <v>1763</v>
      </c>
    </row>
    <row r="104" spans="1:2">
      <c r="A104" t="s">
        <v>1764</v>
      </c>
      <c r="B104" t="s">
        <v>1765</v>
      </c>
    </row>
    <row r="105" spans="1:2">
      <c r="A105" t="s">
        <v>1766</v>
      </c>
      <c r="B105" t="s">
        <v>1767</v>
      </c>
    </row>
    <row r="106" spans="1:2">
      <c r="A106" t="s">
        <v>1768</v>
      </c>
      <c r="B106" t="s">
        <v>1769</v>
      </c>
    </row>
    <row r="107" spans="1:2">
      <c r="A107" t="s">
        <v>1770</v>
      </c>
      <c r="B107" t="s">
        <v>1771</v>
      </c>
    </row>
    <row r="108" spans="1:2">
      <c r="A108" t="s">
        <v>1772</v>
      </c>
      <c r="B108" t="s">
        <v>1773</v>
      </c>
    </row>
    <row r="109" spans="1:2">
      <c r="A109" t="s">
        <v>1774</v>
      </c>
      <c r="B109" t="s">
        <v>1775</v>
      </c>
    </row>
    <row r="110" spans="1:2">
      <c r="A110" t="s">
        <v>1776</v>
      </c>
      <c r="B110" t="s">
        <v>1777</v>
      </c>
    </row>
    <row r="111" spans="1:2">
      <c r="A111" t="s">
        <v>1778</v>
      </c>
      <c r="B111" t="s">
        <v>1779</v>
      </c>
    </row>
    <row r="112" spans="1:2">
      <c r="A112" t="s">
        <v>1780</v>
      </c>
      <c r="B112" t="s">
        <v>1781</v>
      </c>
    </row>
    <row r="113" spans="1:2">
      <c r="A113" t="s">
        <v>1782</v>
      </c>
      <c r="B113" t="s">
        <v>1783</v>
      </c>
    </row>
    <row r="114" spans="1:2">
      <c r="A114" t="s">
        <v>1784</v>
      </c>
      <c r="B114" t="s">
        <v>1785</v>
      </c>
    </row>
    <row r="115" spans="1:2">
      <c r="A115" t="s">
        <v>1786</v>
      </c>
      <c r="B115" t="s">
        <v>1787</v>
      </c>
    </row>
    <row r="116" spans="1:2">
      <c r="A116" t="s">
        <v>1788</v>
      </c>
      <c r="B116" t="s">
        <v>1789</v>
      </c>
    </row>
    <row r="117" spans="1:2">
      <c r="A117" t="s">
        <v>1790</v>
      </c>
      <c r="B117" t="s">
        <v>1791</v>
      </c>
    </row>
    <row r="118" spans="1:2">
      <c r="A118" t="s">
        <v>1792</v>
      </c>
      <c r="B118" t="s">
        <v>1793</v>
      </c>
    </row>
    <row r="119" spans="1:2">
      <c r="A119" t="s">
        <v>1794</v>
      </c>
      <c r="B119" t="s">
        <v>1795</v>
      </c>
    </row>
    <row r="120" spans="1:2">
      <c r="A120" t="s">
        <v>1796</v>
      </c>
      <c r="B120" t="s">
        <v>1797</v>
      </c>
    </row>
    <row r="121" spans="1:2">
      <c r="A121" t="s">
        <v>1798</v>
      </c>
      <c r="B121" t="s">
        <v>1799</v>
      </c>
    </row>
    <row r="122" spans="1:2">
      <c r="A122" t="s">
        <v>1800</v>
      </c>
      <c r="B122" t="s">
        <v>1801</v>
      </c>
    </row>
    <row r="123" spans="1:2">
      <c r="A123" t="s">
        <v>1802</v>
      </c>
      <c r="B123" t="s">
        <v>1803</v>
      </c>
    </row>
    <row r="124" spans="1:2">
      <c r="A124" t="s">
        <v>1804</v>
      </c>
      <c r="B124" t="s">
        <v>1805</v>
      </c>
    </row>
    <row r="125" spans="1:2">
      <c r="A125" t="s">
        <v>1806</v>
      </c>
      <c r="B125" t="s">
        <v>1807</v>
      </c>
    </row>
    <row r="126" spans="1:2">
      <c r="A126" t="s">
        <v>1808</v>
      </c>
      <c r="B126" t="s">
        <v>1809</v>
      </c>
    </row>
    <row r="127" spans="1:2">
      <c r="A127" t="s">
        <v>1810</v>
      </c>
      <c r="B127" t="s">
        <v>1811</v>
      </c>
    </row>
    <row r="128" spans="1:2">
      <c r="A128" t="s">
        <v>1812</v>
      </c>
      <c r="B128" t="s">
        <v>1813</v>
      </c>
    </row>
    <row r="129" spans="1:2">
      <c r="A129" t="s">
        <v>1814</v>
      </c>
      <c r="B129" t="s">
        <v>1815</v>
      </c>
    </row>
    <row r="130" spans="1:2">
      <c r="A130" t="s">
        <v>1816</v>
      </c>
      <c r="B130" t="s">
        <v>1817</v>
      </c>
    </row>
    <row r="131" spans="1:2">
      <c r="A131" t="s">
        <v>1818</v>
      </c>
      <c r="B131" t="s">
        <v>1819</v>
      </c>
    </row>
    <row r="132" spans="1:2">
      <c r="A132" t="s">
        <v>1820</v>
      </c>
      <c r="B132" t="s">
        <v>1821</v>
      </c>
    </row>
    <row r="133" spans="1:2">
      <c r="A133" t="s">
        <v>1822</v>
      </c>
      <c r="B133" t="s">
        <v>1823</v>
      </c>
    </row>
    <row r="134" spans="1:2">
      <c r="A134" t="s">
        <v>1824</v>
      </c>
      <c r="B134" t="s">
        <v>1825</v>
      </c>
    </row>
    <row r="135" spans="1:2">
      <c r="A135" t="s">
        <v>1826</v>
      </c>
      <c r="B135" t="s">
        <v>1827</v>
      </c>
    </row>
    <row r="136" spans="1:2">
      <c r="A136" t="s">
        <v>1828</v>
      </c>
      <c r="B136" t="s">
        <v>1829</v>
      </c>
    </row>
    <row r="137" spans="1:2">
      <c r="A137" t="s">
        <v>308</v>
      </c>
      <c r="B137" t="s">
        <v>1830</v>
      </c>
    </row>
    <row r="138" spans="1:2">
      <c r="A138" t="s">
        <v>1831</v>
      </c>
      <c r="B138" t="s">
        <v>1832</v>
      </c>
    </row>
    <row r="139" spans="1:2">
      <c r="A139" t="s">
        <v>1833</v>
      </c>
      <c r="B139" t="s">
        <v>1834</v>
      </c>
    </row>
    <row r="140" spans="1:2">
      <c r="A140" t="s">
        <v>1835</v>
      </c>
      <c r="B140" t="s">
        <v>1836</v>
      </c>
    </row>
    <row r="141" spans="1:2">
      <c r="A141" t="s">
        <v>1837</v>
      </c>
      <c r="B141" t="s">
        <v>1838</v>
      </c>
    </row>
    <row r="142" spans="1:2">
      <c r="A142" t="s">
        <v>1839</v>
      </c>
      <c r="B142" t="s">
        <v>1840</v>
      </c>
    </row>
    <row r="143" spans="1:2">
      <c r="A143" t="s">
        <v>1841</v>
      </c>
      <c r="B143" t="s">
        <v>1842</v>
      </c>
    </row>
    <row r="144" spans="1:2">
      <c r="A144" t="s">
        <v>1843</v>
      </c>
      <c r="B144" t="s">
        <v>1844</v>
      </c>
    </row>
    <row r="145" spans="1:2">
      <c r="A145" t="s">
        <v>1845</v>
      </c>
      <c r="B145" t="s">
        <v>1846</v>
      </c>
    </row>
    <row r="146" spans="1:2">
      <c r="A146" t="s">
        <v>301</v>
      </c>
      <c r="B146" t="s">
        <v>1847</v>
      </c>
    </row>
    <row r="147" spans="1:2">
      <c r="A147" t="s">
        <v>303</v>
      </c>
      <c r="B147" t="s">
        <v>1848</v>
      </c>
    </row>
    <row r="148" spans="1:2">
      <c r="A148" t="s">
        <v>1849</v>
      </c>
      <c r="B148" t="s">
        <v>1850</v>
      </c>
    </row>
    <row r="149" spans="1:2">
      <c r="A149" t="s">
        <v>1851</v>
      </c>
      <c r="B149" t="s">
        <v>1852</v>
      </c>
    </row>
    <row r="150" spans="1:2">
      <c r="A150" t="s">
        <v>1853</v>
      </c>
      <c r="B150" t="s">
        <v>1854</v>
      </c>
    </row>
    <row r="151" spans="1:2">
      <c r="A151" t="s">
        <v>1855</v>
      </c>
      <c r="B151" t="s">
        <v>1856</v>
      </c>
    </row>
    <row r="152" spans="1:2">
      <c r="A152" t="s">
        <v>1857</v>
      </c>
      <c r="B152" t="s">
        <v>1858</v>
      </c>
    </row>
    <row r="153" spans="1:2">
      <c r="A153" t="s">
        <v>1859</v>
      </c>
      <c r="B153" t="s">
        <v>1860</v>
      </c>
    </row>
    <row r="154" spans="1:2">
      <c r="A154" t="s">
        <v>1861</v>
      </c>
      <c r="B154" t="s">
        <v>1862</v>
      </c>
    </row>
    <row r="155" spans="1:2">
      <c r="A155" t="s">
        <v>1863</v>
      </c>
      <c r="B155" t="s">
        <v>1864</v>
      </c>
    </row>
    <row r="156" spans="1:2">
      <c r="A156" t="s">
        <v>1865</v>
      </c>
      <c r="B156" t="s">
        <v>1866</v>
      </c>
    </row>
    <row r="157" spans="1:2">
      <c r="A157" t="s">
        <v>1867</v>
      </c>
      <c r="B157" t="s">
        <v>1868</v>
      </c>
    </row>
    <row r="158" spans="1:2">
      <c r="A158" t="s">
        <v>1869</v>
      </c>
      <c r="B158" t="s">
        <v>1870</v>
      </c>
    </row>
    <row r="159" spans="1:2">
      <c r="A159" t="s">
        <v>1871</v>
      </c>
      <c r="B159" t="s">
        <v>1872</v>
      </c>
    </row>
    <row r="160" spans="1:2">
      <c r="A160" t="s">
        <v>1873</v>
      </c>
      <c r="B160" t="s">
        <v>1874</v>
      </c>
    </row>
    <row r="161" spans="1:2">
      <c r="A161" t="s">
        <v>1875</v>
      </c>
      <c r="B161" t="s">
        <v>1876</v>
      </c>
    </row>
    <row r="162" spans="1:2">
      <c r="A162" t="s">
        <v>1877</v>
      </c>
      <c r="B162" t="s">
        <v>1878</v>
      </c>
    </row>
    <row r="163" spans="1:2">
      <c r="A163" t="s">
        <v>1879</v>
      </c>
      <c r="B163" t="s">
        <v>1880</v>
      </c>
    </row>
    <row r="164" spans="1:2">
      <c r="A164" t="s">
        <v>1881</v>
      </c>
      <c r="B164" t="s">
        <v>1882</v>
      </c>
    </row>
    <row r="165" spans="1:2">
      <c r="A165" t="s">
        <v>1883</v>
      </c>
      <c r="B165" t="s">
        <v>1884</v>
      </c>
    </row>
    <row r="166" spans="1:2">
      <c r="A166" t="s">
        <v>1885</v>
      </c>
      <c r="B166" t="s">
        <v>1886</v>
      </c>
    </row>
    <row r="167" spans="1:2">
      <c r="A167" t="s">
        <v>1887</v>
      </c>
      <c r="B167" t="s">
        <v>1888</v>
      </c>
    </row>
    <row r="168" spans="1:2">
      <c r="A168" t="s">
        <v>1889</v>
      </c>
      <c r="B168" t="s">
        <v>1890</v>
      </c>
    </row>
    <row r="169" spans="1:2">
      <c r="A169" t="s">
        <v>1891</v>
      </c>
      <c r="B169" t="s">
        <v>1892</v>
      </c>
    </row>
    <row r="170" spans="1:2">
      <c r="A170" t="s">
        <v>1893</v>
      </c>
      <c r="B170" t="s">
        <v>1894</v>
      </c>
    </row>
    <row r="171" spans="1:2">
      <c r="A171" t="s">
        <v>1895</v>
      </c>
      <c r="B171" t="s">
        <v>1896</v>
      </c>
    </row>
    <row r="172" spans="1:2">
      <c r="A172" t="s">
        <v>1897</v>
      </c>
      <c r="B172" t="s">
        <v>1898</v>
      </c>
    </row>
    <row r="173" spans="1:2">
      <c r="A173" t="s">
        <v>1899</v>
      </c>
      <c r="B173" t="s">
        <v>1900</v>
      </c>
    </row>
    <row r="174" spans="1:2">
      <c r="A174" t="s">
        <v>1901</v>
      </c>
      <c r="B174" t="s">
        <v>1902</v>
      </c>
    </row>
    <row r="175" spans="1:2">
      <c r="A175" t="s">
        <v>1903</v>
      </c>
      <c r="B175" t="s">
        <v>1904</v>
      </c>
    </row>
    <row r="176" spans="1:2">
      <c r="A176" t="s">
        <v>1905</v>
      </c>
      <c r="B176" t="s">
        <v>1906</v>
      </c>
    </row>
    <row r="177" spans="1:2">
      <c r="A177" t="s">
        <v>1907</v>
      </c>
      <c r="B177" t="s">
        <v>1908</v>
      </c>
    </row>
    <row r="178" spans="1:2">
      <c r="A178" t="s">
        <v>1909</v>
      </c>
      <c r="B178" t="s">
        <v>1910</v>
      </c>
    </row>
    <row r="179" spans="1:2">
      <c r="A179" t="s">
        <v>1911</v>
      </c>
      <c r="B179" t="s">
        <v>1912</v>
      </c>
    </row>
    <row r="180" spans="1:2">
      <c r="A180" t="s">
        <v>1913</v>
      </c>
      <c r="B180" t="s">
        <v>1914</v>
      </c>
    </row>
    <row r="181" spans="1:2">
      <c r="A181" t="s">
        <v>1915</v>
      </c>
      <c r="B181" t="s">
        <v>1916</v>
      </c>
    </row>
    <row r="182" spans="1:2">
      <c r="A182" t="s">
        <v>1917</v>
      </c>
      <c r="B182" t="s">
        <v>1918</v>
      </c>
    </row>
    <row r="183" spans="1:2">
      <c r="A183" t="s">
        <v>1919</v>
      </c>
      <c r="B183" t="s">
        <v>1920</v>
      </c>
    </row>
    <row r="184" spans="1:2">
      <c r="A184" t="s">
        <v>1921</v>
      </c>
      <c r="B184" t="s">
        <v>1922</v>
      </c>
    </row>
    <row r="185" spans="1:2">
      <c r="A185" t="s">
        <v>1923</v>
      </c>
      <c r="B185" t="s">
        <v>1924</v>
      </c>
    </row>
    <row r="186" spans="1:2">
      <c r="A186" t="s">
        <v>1925</v>
      </c>
      <c r="B186" t="s">
        <v>1926</v>
      </c>
    </row>
    <row r="187" spans="1:2">
      <c r="A187" t="s">
        <v>1927</v>
      </c>
      <c r="B187" t="s">
        <v>1928</v>
      </c>
    </row>
    <row r="188" spans="1:2">
      <c r="A188" t="s">
        <v>1929</v>
      </c>
      <c r="B188" t="s">
        <v>1930</v>
      </c>
    </row>
    <row r="189" spans="1:2">
      <c r="A189" t="s">
        <v>1931</v>
      </c>
      <c r="B189" t="s">
        <v>1932</v>
      </c>
    </row>
    <row r="190" spans="1:2">
      <c r="A190" t="s">
        <v>1933</v>
      </c>
      <c r="B190" t="s">
        <v>1934</v>
      </c>
    </row>
    <row r="191" spans="1:2">
      <c r="A191" t="s">
        <v>1935</v>
      </c>
      <c r="B191" t="s">
        <v>1936</v>
      </c>
    </row>
    <row r="192" spans="1:2">
      <c r="A192" t="s">
        <v>1937</v>
      </c>
      <c r="B192" t="s">
        <v>1938</v>
      </c>
    </row>
    <row r="193" spans="1:2">
      <c r="A193" t="s">
        <v>1939</v>
      </c>
      <c r="B193" t="s">
        <v>1940</v>
      </c>
    </row>
    <row r="194" spans="1:2">
      <c r="A194" t="s">
        <v>1941</v>
      </c>
      <c r="B194" t="s">
        <v>1942</v>
      </c>
    </row>
    <row r="195" spans="1:2">
      <c r="A195" t="s">
        <v>1943</v>
      </c>
      <c r="B195" t="s">
        <v>1944</v>
      </c>
    </row>
    <row r="196" spans="1:2">
      <c r="A196" t="s">
        <v>1945</v>
      </c>
      <c r="B196" t="s">
        <v>1946</v>
      </c>
    </row>
    <row r="197" spans="1:2">
      <c r="A197" t="s">
        <v>1947</v>
      </c>
      <c r="B197" t="s">
        <v>1948</v>
      </c>
    </row>
    <row r="198" spans="1:2">
      <c r="A198" t="s">
        <v>60</v>
      </c>
      <c r="B198" t="s">
        <v>1949</v>
      </c>
    </row>
    <row r="199" spans="1:2">
      <c r="A199" t="s">
        <v>1950</v>
      </c>
      <c r="B199" t="s">
        <v>1951</v>
      </c>
    </row>
    <row r="200" spans="1:2">
      <c r="A200" t="s">
        <v>1952</v>
      </c>
      <c r="B200" t="s">
        <v>1953</v>
      </c>
    </row>
    <row r="201" spans="1:2">
      <c r="A201" t="s">
        <v>1954</v>
      </c>
      <c r="B201" t="s">
        <v>1955</v>
      </c>
    </row>
    <row r="202" spans="1:2">
      <c r="A202" t="s">
        <v>1956</v>
      </c>
      <c r="B202" t="s">
        <v>1957</v>
      </c>
    </row>
    <row r="203" spans="1:2">
      <c r="A203" t="s">
        <v>1958</v>
      </c>
      <c r="B203" t="s">
        <v>1959</v>
      </c>
    </row>
    <row r="204" spans="1:2">
      <c r="A204" t="s">
        <v>1960</v>
      </c>
      <c r="B204" t="s">
        <v>1961</v>
      </c>
    </row>
    <row r="205" spans="1:2">
      <c r="A205" t="s">
        <v>1962</v>
      </c>
      <c r="B205" t="s">
        <v>1963</v>
      </c>
    </row>
    <row r="206" spans="1:2">
      <c r="A206" t="s">
        <v>1964</v>
      </c>
      <c r="B206" t="s">
        <v>1965</v>
      </c>
    </row>
    <row r="207" spans="1:2">
      <c r="A207" t="s">
        <v>1966</v>
      </c>
      <c r="B207" t="s">
        <v>1967</v>
      </c>
    </row>
    <row r="208" spans="1:2">
      <c r="A208" t="s">
        <v>1968</v>
      </c>
      <c r="B208" t="s">
        <v>1969</v>
      </c>
    </row>
    <row r="209" spans="1:2">
      <c r="A209" t="s">
        <v>1970</v>
      </c>
      <c r="B209" t="s">
        <v>1971</v>
      </c>
    </row>
    <row r="210" spans="1:2">
      <c r="A210" t="s">
        <v>1972</v>
      </c>
      <c r="B210" t="s">
        <v>1973</v>
      </c>
    </row>
    <row r="211" spans="1:2">
      <c r="A211" t="s">
        <v>1974</v>
      </c>
      <c r="B211" t="s">
        <v>1975</v>
      </c>
    </row>
    <row r="212" spans="1:2">
      <c r="A212" t="s">
        <v>1976</v>
      </c>
      <c r="B212" t="s">
        <v>1977</v>
      </c>
    </row>
    <row r="213" spans="1:2">
      <c r="A213" t="s">
        <v>1978</v>
      </c>
      <c r="B213" t="s">
        <v>1979</v>
      </c>
    </row>
    <row r="214" spans="1:2">
      <c r="A214" t="s">
        <v>1980</v>
      </c>
      <c r="B214" t="s">
        <v>1981</v>
      </c>
    </row>
    <row r="215" spans="1:2">
      <c r="A215" t="s">
        <v>1982</v>
      </c>
      <c r="B215" t="s">
        <v>1983</v>
      </c>
    </row>
    <row r="216" spans="1:2">
      <c r="A216" t="s">
        <v>1984</v>
      </c>
      <c r="B216" t="s">
        <v>1985</v>
      </c>
    </row>
    <row r="217" spans="1:2">
      <c r="A217" t="s">
        <v>1986</v>
      </c>
      <c r="B217" t="s">
        <v>1987</v>
      </c>
    </row>
    <row r="218" spans="1:2">
      <c r="A218" t="s">
        <v>1988</v>
      </c>
      <c r="B218" t="s">
        <v>1989</v>
      </c>
    </row>
    <row r="219" spans="1:2">
      <c r="A219" t="s">
        <v>1990</v>
      </c>
      <c r="B219" t="s">
        <v>1991</v>
      </c>
    </row>
    <row r="220" spans="1:2">
      <c r="A220" t="s">
        <v>1992</v>
      </c>
      <c r="B220" t="s">
        <v>1993</v>
      </c>
    </row>
    <row r="221" spans="1:2">
      <c r="A221" t="s">
        <v>1994</v>
      </c>
      <c r="B221" t="s">
        <v>1995</v>
      </c>
    </row>
    <row r="222" spans="1:2">
      <c r="A222" t="s">
        <v>1996</v>
      </c>
      <c r="B222" t="s">
        <v>1997</v>
      </c>
    </row>
    <row r="223" spans="1:2">
      <c r="A223" t="s">
        <v>1998</v>
      </c>
      <c r="B223" t="s">
        <v>1999</v>
      </c>
    </row>
    <row r="224" spans="1:2">
      <c r="A224" t="s">
        <v>2000</v>
      </c>
      <c r="B224" t="s">
        <v>2001</v>
      </c>
    </row>
    <row r="225" spans="1:2">
      <c r="A225" t="s">
        <v>2002</v>
      </c>
      <c r="B225" t="s">
        <v>2003</v>
      </c>
    </row>
    <row r="226" spans="1:2">
      <c r="A226" t="s">
        <v>2004</v>
      </c>
      <c r="B226" t="s">
        <v>2005</v>
      </c>
    </row>
    <row r="227" spans="1:2">
      <c r="A227" t="s">
        <v>2006</v>
      </c>
      <c r="B227" t="s">
        <v>2007</v>
      </c>
    </row>
    <row r="228" spans="1:2">
      <c r="A228" t="s">
        <v>2008</v>
      </c>
      <c r="B228" t="s">
        <v>2009</v>
      </c>
    </row>
    <row r="229" spans="1:2">
      <c r="A229" t="s">
        <v>2010</v>
      </c>
      <c r="B229" t="s">
        <v>2011</v>
      </c>
    </row>
    <row r="230" spans="1:2">
      <c r="A230" t="s">
        <v>2012</v>
      </c>
      <c r="B230" t="s">
        <v>2013</v>
      </c>
    </row>
    <row r="231" spans="1:2">
      <c r="A231" t="s">
        <v>2014</v>
      </c>
      <c r="B231" t="s">
        <v>2015</v>
      </c>
    </row>
    <row r="232" spans="1:2">
      <c r="A232" t="s">
        <v>2016</v>
      </c>
      <c r="B232" t="s">
        <v>2017</v>
      </c>
    </row>
    <row r="233" spans="1:2">
      <c r="A233" t="s">
        <v>2018</v>
      </c>
      <c r="B233" t="s">
        <v>2019</v>
      </c>
    </row>
    <row r="234" spans="1:2">
      <c r="A234" t="s">
        <v>2020</v>
      </c>
      <c r="B234" s="165" t="s">
        <v>2021</v>
      </c>
    </row>
    <row r="235" spans="1:2">
      <c r="A235" t="s">
        <v>2022</v>
      </c>
      <c r="B235" s="165" t="s">
        <v>2023</v>
      </c>
    </row>
    <row r="236" spans="1:2">
      <c r="A236" t="s">
        <v>2024</v>
      </c>
      <c r="B236" s="165" t="s">
        <v>2025</v>
      </c>
    </row>
    <row r="237" spans="1:2">
      <c r="A237" t="s">
        <v>2026</v>
      </c>
      <c r="B237" s="165" t="s">
        <v>2027</v>
      </c>
    </row>
    <row r="238" spans="1:2">
      <c r="A238" t="s">
        <v>2028</v>
      </c>
      <c r="B238" s="165" t="s">
        <v>2029</v>
      </c>
    </row>
    <row r="239" spans="1:2">
      <c r="A239" t="s">
        <v>2030</v>
      </c>
      <c r="B239" s="165" t="s">
        <v>2031</v>
      </c>
    </row>
    <row r="240" spans="1:2">
      <c r="A240" t="s">
        <v>2032</v>
      </c>
      <c r="B240" s="165" t="s">
        <v>2033</v>
      </c>
    </row>
    <row r="241" spans="1:2">
      <c r="A241" t="s">
        <v>2034</v>
      </c>
      <c r="B241" s="165" t="s">
        <v>2035</v>
      </c>
    </row>
    <row r="242" spans="1:2">
      <c r="A242" t="s">
        <v>2036</v>
      </c>
      <c r="B242" s="165" t="s">
        <v>2037</v>
      </c>
    </row>
    <row r="243" spans="1:2">
      <c r="A243" t="s">
        <v>2038</v>
      </c>
      <c r="B243" s="165" t="s">
        <v>2039</v>
      </c>
    </row>
    <row r="244" spans="1:2">
      <c r="A244" t="s">
        <v>2040</v>
      </c>
      <c r="B244" s="165" t="s">
        <v>2041</v>
      </c>
    </row>
    <row r="245" spans="1:2">
      <c r="A245" t="s">
        <v>2042</v>
      </c>
      <c r="B245" s="165" t="s">
        <v>2043</v>
      </c>
    </row>
    <row r="246" spans="1:2">
      <c r="A246" t="s">
        <v>2044</v>
      </c>
      <c r="B246" s="165" t="s">
        <v>2045</v>
      </c>
    </row>
    <row r="247" spans="1:2">
      <c r="A247" t="s">
        <v>2046</v>
      </c>
      <c r="B247" s="165" t="s">
        <v>2047</v>
      </c>
    </row>
    <row r="248" spans="1:2">
      <c r="A248" t="s">
        <v>2048</v>
      </c>
      <c r="B248" s="165" t="s">
        <v>2049</v>
      </c>
    </row>
    <row r="249" spans="1:2">
      <c r="A249" t="s">
        <v>2050</v>
      </c>
      <c r="B249" s="165" t="s">
        <v>2051</v>
      </c>
    </row>
    <row r="250" spans="1:2">
      <c r="A250" t="s">
        <v>2052</v>
      </c>
      <c r="B250" s="165" t="s">
        <v>2053</v>
      </c>
    </row>
    <row r="251" spans="1:2">
      <c r="A251" t="s">
        <v>2054</v>
      </c>
      <c r="B251" s="165" t="s">
        <v>2055</v>
      </c>
    </row>
    <row r="252" spans="1:2">
      <c r="A252" t="s">
        <v>2056</v>
      </c>
      <c r="B252" s="165" t="s">
        <v>2057</v>
      </c>
    </row>
    <row r="253" spans="1:2">
      <c r="A253" t="s">
        <v>2058</v>
      </c>
      <c r="B253" s="165" t="s">
        <v>2059</v>
      </c>
    </row>
    <row r="254" spans="1:2">
      <c r="A254" t="s">
        <v>2060</v>
      </c>
      <c r="B254" s="165" t="s">
        <v>2061</v>
      </c>
    </row>
    <row r="255" spans="1:2">
      <c r="A255" t="s">
        <v>2062</v>
      </c>
      <c r="B255" s="165" t="s">
        <v>2063</v>
      </c>
    </row>
    <row r="256" spans="1:2">
      <c r="A256" t="s">
        <v>2064</v>
      </c>
      <c r="B256" s="165" t="s">
        <v>2065</v>
      </c>
    </row>
    <row r="257" spans="1:2">
      <c r="A257" t="s">
        <v>2066</v>
      </c>
      <c r="B257" s="165" t="s">
        <v>2067</v>
      </c>
    </row>
    <row r="258" spans="1:2">
      <c r="A258" t="s">
        <v>2068</v>
      </c>
      <c r="B258" s="165" t="s">
        <v>2069</v>
      </c>
    </row>
    <row r="259" spans="1:2">
      <c r="A259" t="s">
        <v>2070</v>
      </c>
      <c r="B259" s="165" t="s">
        <v>2071</v>
      </c>
    </row>
    <row r="260" spans="1:2">
      <c r="A260" t="s">
        <v>2072</v>
      </c>
      <c r="B260" s="165" t="s">
        <v>2073</v>
      </c>
    </row>
    <row r="261" spans="1:2">
      <c r="A261" t="s">
        <v>2074</v>
      </c>
      <c r="B261" s="165" t="s">
        <v>2075</v>
      </c>
    </row>
    <row r="262" spans="1:2">
      <c r="A262" t="s">
        <v>2076</v>
      </c>
      <c r="B262" s="165" t="s">
        <v>2077</v>
      </c>
    </row>
    <row r="263" spans="1:2">
      <c r="A263" t="s">
        <v>2078</v>
      </c>
      <c r="B263" s="165" t="s">
        <v>2079</v>
      </c>
    </row>
    <row r="264" spans="1:2">
      <c r="A264" t="s">
        <v>2080</v>
      </c>
      <c r="B264" s="165" t="s">
        <v>2081</v>
      </c>
    </row>
    <row r="265" spans="1:2">
      <c r="A265" t="s">
        <v>2082</v>
      </c>
      <c r="B265" s="165" t="s">
        <v>2083</v>
      </c>
    </row>
    <row r="266" spans="1:2">
      <c r="A266" t="s">
        <v>2084</v>
      </c>
      <c r="B266" s="165" t="s">
        <v>2085</v>
      </c>
    </row>
    <row r="267" spans="1:2">
      <c r="A267" t="s">
        <v>2086</v>
      </c>
      <c r="B267" s="165" t="s">
        <v>2087</v>
      </c>
    </row>
    <row r="268" spans="1:2">
      <c r="A268" t="s">
        <v>2088</v>
      </c>
      <c r="B268" s="165" t="s">
        <v>2089</v>
      </c>
    </row>
    <row r="269" spans="1:2">
      <c r="A269" t="s">
        <v>2090</v>
      </c>
      <c r="B269" s="165" t="s">
        <v>2091</v>
      </c>
    </row>
    <row r="270" spans="1:2">
      <c r="A270" t="s">
        <v>2092</v>
      </c>
      <c r="B270" s="165" t="s">
        <v>2093</v>
      </c>
    </row>
    <row r="271" spans="1:2">
      <c r="A271" t="s">
        <v>2094</v>
      </c>
      <c r="B271" s="165" t="s">
        <v>2095</v>
      </c>
    </row>
    <row r="272" spans="1:2">
      <c r="A272" t="s">
        <v>2096</v>
      </c>
      <c r="B272" s="165" t="s">
        <v>2097</v>
      </c>
    </row>
    <row r="273" spans="1:2">
      <c r="A273" t="s">
        <v>2098</v>
      </c>
      <c r="B273" s="165" t="s">
        <v>2099</v>
      </c>
    </row>
    <row r="274" spans="1:2">
      <c r="A274" t="s">
        <v>2100</v>
      </c>
      <c r="B274" s="165" t="s">
        <v>2101</v>
      </c>
    </row>
    <row r="275" spans="1:2">
      <c r="A275" t="s">
        <v>2102</v>
      </c>
      <c r="B275" s="165" t="s">
        <v>2103</v>
      </c>
    </row>
    <row r="276" spans="1:2">
      <c r="A276" t="s">
        <v>2104</v>
      </c>
      <c r="B276" s="165" t="s">
        <v>2105</v>
      </c>
    </row>
    <row r="277" spans="1:2">
      <c r="A277" t="s">
        <v>2106</v>
      </c>
      <c r="B277" s="165" t="s">
        <v>2107</v>
      </c>
    </row>
    <row r="278" spans="1:2">
      <c r="B278" s="165" t="s">
        <v>2108</v>
      </c>
    </row>
    <row r="279" spans="1:2">
      <c r="B279" s="165" t="s">
        <v>2109</v>
      </c>
    </row>
    <row r="280" spans="1:2">
      <c r="B280" s="165" t="s">
        <v>2110</v>
      </c>
    </row>
    <row r="281" spans="1:2">
      <c r="B281" s="165" t="s">
        <v>2111</v>
      </c>
    </row>
    <row r="282" spans="1:2">
      <c r="B282" s="165" t="s">
        <v>2112</v>
      </c>
    </row>
    <row r="283" spans="1:2">
      <c r="B283" s="165" t="s">
        <v>2113</v>
      </c>
    </row>
    <row r="284" spans="1:2">
      <c r="B284" s="165" t="s">
        <v>2114</v>
      </c>
    </row>
    <row r="285" spans="1:2">
      <c r="B285" s="165" t="s">
        <v>2115</v>
      </c>
    </row>
    <row r="286" spans="1:2">
      <c r="B286" s="165" t="s">
        <v>2116</v>
      </c>
    </row>
    <row r="287" spans="1:2">
      <c r="B287" s="165" t="s">
        <v>2117</v>
      </c>
    </row>
    <row r="288" spans="1:2">
      <c r="B288" s="165" t="s">
        <v>2118</v>
      </c>
    </row>
    <row r="289" spans="2:2">
      <c r="B289" s="165" t="s">
        <v>2119</v>
      </c>
    </row>
    <row r="290" spans="2:2">
      <c r="B290" s="165" t="s">
        <v>2120</v>
      </c>
    </row>
    <row r="291" spans="2:2">
      <c r="B291" s="165" t="s">
        <v>2121</v>
      </c>
    </row>
    <row r="292" spans="2:2">
      <c r="B292" s="165" t="s">
        <v>2122</v>
      </c>
    </row>
    <row r="293" spans="2:2">
      <c r="B293" s="165" t="s">
        <v>2123</v>
      </c>
    </row>
    <row r="294" spans="2:2">
      <c r="B294" s="165" t="s">
        <v>2124</v>
      </c>
    </row>
    <row r="295" spans="2:2">
      <c r="B295" s="165" t="s">
        <v>2125</v>
      </c>
    </row>
    <row r="296" spans="2:2">
      <c r="B296" s="165" t="s">
        <v>2126</v>
      </c>
    </row>
    <row r="297" spans="2:2">
      <c r="B297" s="165" t="s">
        <v>2127</v>
      </c>
    </row>
    <row r="298" spans="2:2">
      <c r="B298" s="165" t="s">
        <v>2128</v>
      </c>
    </row>
    <row r="299" spans="2:2">
      <c r="B299" s="165" t="s">
        <v>2129</v>
      </c>
    </row>
    <row r="300" spans="2:2">
      <c r="B300" s="165" t="s">
        <v>2130</v>
      </c>
    </row>
    <row r="301" spans="2:2">
      <c r="B301" s="165" t="s">
        <v>2131</v>
      </c>
    </row>
    <row r="302" spans="2:2">
      <c r="B302" s="165" t="s">
        <v>2132</v>
      </c>
    </row>
    <row r="303" spans="2:2">
      <c r="B303" t="s">
        <v>2133</v>
      </c>
    </row>
    <row r="304" spans="2:2">
      <c r="B304" t="s">
        <v>2134</v>
      </c>
    </row>
    <row r="305" spans="2:2">
      <c r="B305" t="s">
        <v>2135</v>
      </c>
    </row>
    <row r="306" spans="2:2">
      <c r="B306" t="s">
        <v>2136</v>
      </c>
    </row>
    <row r="307" spans="2:2">
      <c r="B307" t="s">
        <v>2137</v>
      </c>
    </row>
    <row r="308" spans="2:2">
      <c r="B308" t="s">
        <v>2138</v>
      </c>
    </row>
    <row r="309" spans="2:2">
      <c r="B309" t="s">
        <v>2139</v>
      </c>
    </row>
    <row r="310" spans="2:2">
      <c r="B310" t="s">
        <v>2140</v>
      </c>
    </row>
    <row r="311" spans="2:2">
      <c r="B311" t="s">
        <v>2141</v>
      </c>
    </row>
    <row r="312" spans="2:2">
      <c r="B312" t="s">
        <v>2142</v>
      </c>
    </row>
    <row r="313" spans="2:2">
      <c r="B313" t="s">
        <v>2143</v>
      </c>
    </row>
    <row r="314" spans="2:2">
      <c r="B314" t="s">
        <v>2144</v>
      </c>
    </row>
    <row r="315" spans="2:2">
      <c r="B315" t="s">
        <v>2145</v>
      </c>
    </row>
    <row r="316" spans="2:2">
      <c r="B316" t="s">
        <v>2146</v>
      </c>
    </row>
    <row r="317" spans="2:2">
      <c r="B317" t="s">
        <v>2147</v>
      </c>
    </row>
    <row r="318" spans="2:2">
      <c r="B318" t="s">
        <v>2148</v>
      </c>
    </row>
    <row r="319" spans="2:2">
      <c r="B319" t="s">
        <v>2149</v>
      </c>
    </row>
    <row r="320" spans="2:2">
      <c r="B320" t="s">
        <v>2150</v>
      </c>
    </row>
    <row r="321" spans="2:2">
      <c r="B321" t="s">
        <v>2151</v>
      </c>
    </row>
    <row r="322" spans="2:2">
      <c r="B322" t="s">
        <v>2152</v>
      </c>
    </row>
    <row r="323" spans="2:2">
      <c r="B323" t="s">
        <v>2153</v>
      </c>
    </row>
    <row r="324" spans="2:2">
      <c r="B324" t="s">
        <v>2154</v>
      </c>
    </row>
    <row r="325" spans="2:2">
      <c r="B325" t="s">
        <v>2155</v>
      </c>
    </row>
    <row r="326" spans="2:2">
      <c r="B326" t="s">
        <v>2156</v>
      </c>
    </row>
    <row r="327" spans="2:2">
      <c r="B327" t="s">
        <v>2157</v>
      </c>
    </row>
    <row r="328" spans="2:2">
      <c r="B328" t="s">
        <v>2158</v>
      </c>
    </row>
    <row r="329" spans="2:2">
      <c r="B329" t="s">
        <v>2159</v>
      </c>
    </row>
    <row r="330" spans="2:2">
      <c r="B330" t="s">
        <v>2160</v>
      </c>
    </row>
    <row r="331" spans="2:2">
      <c r="B331" t="s">
        <v>2161</v>
      </c>
    </row>
    <row r="332" spans="2:2">
      <c r="B332" t="s">
        <v>2162</v>
      </c>
    </row>
    <row r="333" spans="2:2">
      <c r="B333" t="s">
        <v>2163</v>
      </c>
    </row>
    <row r="334" spans="2:2">
      <c r="B334" t="s">
        <v>2164</v>
      </c>
    </row>
    <row r="335" spans="2:2">
      <c r="B335" t="s">
        <v>2165</v>
      </c>
    </row>
    <row r="336" spans="2:2">
      <c r="B336" t="s">
        <v>2166</v>
      </c>
    </row>
    <row r="337" spans="2:2">
      <c r="B337" t="s">
        <v>2167</v>
      </c>
    </row>
    <row r="338" spans="2:2">
      <c r="B338" t="s">
        <v>2168</v>
      </c>
    </row>
    <row r="339" spans="2:2">
      <c r="B339" t="s">
        <v>2169</v>
      </c>
    </row>
    <row r="340" spans="2:2">
      <c r="B340" t="s">
        <v>2170</v>
      </c>
    </row>
    <row r="341" spans="2:2">
      <c r="B341" t="s">
        <v>2171</v>
      </c>
    </row>
    <row r="342" spans="2:2">
      <c r="B342" t="s">
        <v>2172</v>
      </c>
    </row>
    <row r="343" spans="2:2">
      <c r="B343" t="s">
        <v>2173</v>
      </c>
    </row>
    <row r="344" spans="2:2">
      <c r="B344" t="s">
        <v>2174</v>
      </c>
    </row>
    <row r="345" spans="2:2">
      <c r="B345" t="s">
        <v>2175</v>
      </c>
    </row>
    <row r="346" spans="2:2">
      <c r="B346" t="s">
        <v>2176</v>
      </c>
    </row>
    <row r="347" spans="2:2">
      <c r="B347" t="s">
        <v>2177</v>
      </c>
    </row>
    <row r="348" spans="2:2">
      <c r="B348" t="s">
        <v>2178</v>
      </c>
    </row>
    <row r="349" spans="2:2">
      <c r="B349" t="s">
        <v>2179</v>
      </c>
    </row>
    <row r="350" spans="2:2">
      <c r="B350" t="s">
        <v>2180</v>
      </c>
    </row>
    <row r="351" spans="2:2">
      <c r="B351" s="165" t="s">
        <v>2181</v>
      </c>
    </row>
    <row r="352" spans="2:2">
      <c r="B352" s="165" t="s">
        <v>2182</v>
      </c>
    </row>
    <row r="353" spans="2:2">
      <c r="B353" s="165" t="s">
        <v>2183</v>
      </c>
    </row>
    <row r="354" spans="2:2">
      <c r="B354" s="165" t="s">
        <v>2184</v>
      </c>
    </row>
    <row r="355" spans="2:2">
      <c r="B355" s="165" t="s">
        <v>2185</v>
      </c>
    </row>
    <row r="356" spans="2:2">
      <c r="B356" s="165" t="s">
        <v>2186</v>
      </c>
    </row>
    <row r="357" spans="2:2">
      <c r="B357" s="165" t="s">
        <v>2187</v>
      </c>
    </row>
    <row r="358" spans="2:2">
      <c r="B358" s="165" t="s">
        <v>2188</v>
      </c>
    </row>
    <row r="359" spans="2:2">
      <c r="B359" s="165" t="s">
        <v>2189</v>
      </c>
    </row>
    <row r="360" spans="2:2">
      <c r="B360" s="165" t="s">
        <v>2190</v>
      </c>
    </row>
    <row r="361" spans="2:2">
      <c r="B361" s="165" t="s">
        <v>2191</v>
      </c>
    </row>
    <row r="362" spans="2:2">
      <c r="B362" t="s">
        <v>2192</v>
      </c>
    </row>
    <row r="363" spans="2:2">
      <c r="B363" t="s">
        <v>2193</v>
      </c>
    </row>
    <row r="364" spans="2:2">
      <c r="B364" t="s">
        <v>2194</v>
      </c>
    </row>
    <row r="365" spans="2:2">
      <c r="B365" t="s">
        <v>2195</v>
      </c>
    </row>
    <row r="366" spans="2:2">
      <c r="B366" t="s">
        <v>2196</v>
      </c>
    </row>
    <row r="367" spans="2:2">
      <c r="B367" t="s">
        <v>2197</v>
      </c>
    </row>
    <row r="368" spans="2:2">
      <c r="B368" t="s">
        <v>2198</v>
      </c>
    </row>
    <row r="369" spans="2:2">
      <c r="B369" t="s">
        <v>2199</v>
      </c>
    </row>
    <row r="370" spans="2:2">
      <c r="B370" t="s">
        <v>2200</v>
      </c>
    </row>
    <row r="371" spans="2:2">
      <c r="B371" t="s">
        <v>2201</v>
      </c>
    </row>
    <row r="372" spans="2:2">
      <c r="B372" t="s">
        <v>2202</v>
      </c>
    </row>
    <row r="373" spans="2:2">
      <c r="B373" t="s">
        <v>2203</v>
      </c>
    </row>
    <row r="374" spans="2:2">
      <c r="B374" t="s">
        <v>2204</v>
      </c>
    </row>
    <row r="375" spans="2:2">
      <c r="B375" t="s">
        <v>2205</v>
      </c>
    </row>
    <row r="376" spans="2:2">
      <c r="B376" t="s">
        <v>2206</v>
      </c>
    </row>
    <row r="377" spans="2:2">
      <c r="B377" t="s">
        <v>2207</v>
      </c>
    </row>
    <row r="378" spans="2:2">
      <c r="B378" t="s">
        <v>2208</v>
      </c>
    </row>
    <row r="379" spans="2:2">
      <c r="B379" t="s">
        <v>2209</v>
      </c>
    </row>
    <row r="380" spans="2:2">
      <c r="B380" t="s">
        <v>2210</v>
      </c>
    </row>
    <row r="381" spans="2:2">
      <c r="B381" t="s">
        <v>2211</v>
      </c>
    </row>
    <row r="382" spans="2:2">
      <c r="B382" t="s">
        <v>2212</v>
      </c>
    </row>
    <row r="383" spans="2:2">
      <c r="B383" t="s">
        <v>2213</v>
      </c>
    </row>
    <row r="384" spans="2:2">
      <c r="B384" t="s">
        <v>2214</v>
      </c>
    </row>
    <row r="385" spans="2:2">
      <c r="B385" t="s">
        <v>2215</v>
      </c>
    </row>
    <row r="386" spans="2:2">
      <c r="B386" t="s">
        <v>2216</v>
      </c>
    </row>
    <row r="387" spans="2:2">
      <c r="B387" t="s">
        <v>2217</v>
      </c>
    </row>
    <row r="388" spans="2:2">
      <c r="B388" t="s">
        <v>2218</v>
      </c>
    </row>
    <row r="389" spans="2:2">
      <c r="B389" t="s">
        <v>2219</v>
      </c>
    </row>
    <row r="390" spans="2:2">
      <c r="B390" t="s">
        <v>2220</v>
      </c>
    </row>
    <row r="391" spans="2:2">
      <c r="B391" t="s">
        <v>2221</v>
      </c>
    </row>
    <row r="392" spans="2:2">
      <c r="B392" t="s">
        <v>2222</v>
      </c>
    </row>
    <row r="393" spans="2:2">
      <c r="B393" t="s">
        <v>2223</v>
      </c>
    </row>
    <row r="394" spans="2:2">
      <c r="B394" t="s">
        <v>2224</v>
      </c>
    </row>
    <row r="395" spans="2:2">
      <c r="B395" t="s">
        <v>2225</v>
      </c>
    </row>
    <row r="396" spans="2:2">
      <c r="B396" t="s">
        <v>2226</v>
      </c>
    </row>
    <row r="397" spans="2:2">
      <c r="B397" t="s">
        <v>2227</v>
      </c>
    </row>
    <row r="398" spans="2:2">
      <c r="B398" t="s">
        <v>2228</v>
      </c>
    </row>
    <row r="399" spans="2:2">
      <c r="B399" t="s">
        <v>2229</v>
      </c>
    </row>
    <row r="400" spans="2:2">
      <c r="B400" t="s">
        <v>2230</v>
      </c>
    </row>
    <row r="401" spans="2:2">
      <c r="B401" t="s">
        <v>2231</v>
      </c>
    </row>
    <row r="402" spans="2:2">
      <c r="B402" t="s">
        <v>2232</v>
      </c>
    </row>
    <row r="403" spans="2:2">
      <c r="B403" t="s">
        <v>2233</v>
      </c>
    </row>
    <row r="404" spans="2:2">
      <c r="B404" t="s">
        <v>2234</v>
      </c>
    </row>
    <row r="405" spans="2:2">
      <c r="B405" t="s">
        <v>2235</v>
      </c>
    </row>
    <row r="406" spans="2:2">
      <c r="B406" t="s">
        <v>2236</v>
      </c>
    </row>
    <row r="407" spans="2:2">
      <c r="B407" t="s">
        <v>2237</v>
      </c>
    </row>
    <row r="408" spans="2:2">
      <c r="B408" t="s">
        <v>2238</v>
      </c>
    </row>
    <row r="409" spans="2:2">
      <c r="B409" t="s">
        <v>2239</v>
      </c>
    </row>
    <row r="410" spans="2:2">
      <c r="B410" t="s">
        <v>2240</v>
      </c>
    </row>
    <row r="411" spans="2:2">
      <c r="B411" t="s">
        <v>2241</v>
      </c>
    </row>
    <row r="412" spans="2:2">
      <c r="B412" t="s">
        <v>2242</v>
      </c>
    </row>
    <row r="413" spans="2:2">
      <c r="B413" t="s">
        <v>2243</v>
      </c>
    </row>
    <row r="414" spans="2:2">
      <c r="B414" t="s">
        <v>2244</v>
      </c>
    </row>
    <row r="415" spans="2:2">
      <c r="B415" t="s">
        <v>2245</v>
      </c>
    </row>
    <row r="416" spans="2:2">
      <c r="B416" t="s">
        <v>2246</v>
      </c>
    </row>
    <row r="417" spans="2:2">
      <c r="B417" t="s">
        <v>2247</v>
      </c>
    </row>
    <row r="418" spans="2:2">
      <c r="B418" t="s">
        <v>2248</v>
      </c>
    </row>
    <row r="419" spans="2:2">
      <c r="B419" t="s">
        <v>2249</v>
      </c>
    </row>
    <row r="420" spans="2:2">
      <c r="B420" t="s">
        <v>2250</v>
      </c>
    </row>
    <row r="421" spans="2:2">
      <c r="B421" t="s">
        <v>2251</v>
      </c>
    </row>
    <row r="422" spans="2:2">
      <c r="B422" t="s">
        <v>2252</v>
      </c>
    </row>
    <row r="423" spans="2:2">
      <c r="B423" t="s">
        <v>2253</v>
      </c>
    </row>
    <row r="424" spans="2:2">
      <c r="B424" t="s">
        <v>2254</v>
      </c>
    </row>
    <row r="425" spans="2:2">
      <c r="B425" t="s">
        <v>2255</v>
      </c>
    </row>
    <row r="426" spans="2:2">
      <c r="B426" t="s">
        <v>2256</v>
      </c>
    </row>
    <row r="427" spans="2:2">
      <c r="B427" t="s">
        <v>2257</v>
      </c>
    </row>
    <row r="428" spans="2:2">
      <c r="B428" t="s">
        <v>2258</v>
      </c>
    </row>
    <row r="429" spans="2:2">
      <c r="B429" t="s">
        <v>2259</v>
      </c>
    </row>
    <row r="430" spans="2:2">
      <c r="B430" t="s">
        <v>2260</v>
      </c>
    </row>
    <row r="431" spans="2:2">
      <c r="B431" t="s">
        <v>2261</v>
      </c>
    </row>
    <row r="432" spans="2:2">
      <c r="B432" t="s">
        <v>2262</v>
      </c>
    </row>
    <row r="433" spans="2:2">
      <c r="B433" t="s">
        <v>2263</v>
      </c>
    </row>
    <row r="434" spans="2:2">
      <c r="B434" t="s">
        <v>2264</v>
      </c>
    </row>
    <row r="435" spans="2:2">
      <c r="B435" t="s">
        <v>2265</v>
      </c>
    </row>
    <row r="436" spans="2:2">
      <c r="B436" t="s">
        <v>2266</v>
      </c>
    </row>
    <row r="437" spans="2:2">
      <c r="B437" t="s">
        <v>2267</v>
      </c>
    </row>
    <row r="438" spans="2:2">
      <c r="B438" t="s">
        <v>2268</v>
      </c>
    </row>
    <row r="439" spans="2:2">
      <c r="B439" t="s">
        <v>2269</v>
      </c>
    </row>
    <row r="440" spans="2:2">
      <c r="B440" t="s">
        <v>2270</v>
      </c>
    </row>
    <row r="441" spans="2:2">
      <c r="B441" t="s">
        <v>2271</v>
      </c>
    </row>
    <row r="442" spans="2:2">
      <c r="B442" t="s">
        <v>2272</v>
      </c>
    </row>
    <row r="443" spans="2:2">
      <c r="B443" t="s">
        <v>2273</v>
      </c>
    </row>
    <row r="444" spans="2:2">
      <c r="B444" t="s">
        <v>2274</v>
      </c>
    </row>
    <row r="445" spans="2:2">
      <c r="B445" t="s">
        <v>2275</v>
      </c>
    </row>
    <row r="446" spans="2:2">
      <c r="B446" t="s">
        <v>2276</v>
      </c>
    </row>
    <row r="447" spans="2:2">
      <c r="B447" t="s">
        <v>2277</v>
      </c>
    </row>
    <row r="448" spans="2:2">
      <c r="B448" t="s">
        <v>2278</v>
      </c>
    </row>
    <row r="449" spans="2:2">
      <c r="B449" t="s">
        <v>2279</v>
      </c>
    </row>
    <row r="450" spans="2:2">
      <c r="B450" t="s">
        <v>2280</v>
      </c>
    </row>
    <row r="451" spans="2:2">
      <c r="B451" t="s">
        <v>2281</v>
      </c>
    </row>
    <row r="452" spans="2:2">
      <c r="B452" t="s">
        <v>2282</v>
      </c>
    </row>
    <row r="453" spans="2:2">
      <c r="B453" t="s">
        <v>2283</v>
      </c>
    </row>
    <row r="454" spans="2:2">
      <c r="B454" t="s">
        <v>2284</v>
      </c>
    </row>
    <row r="455" spans="2:2">
      <c r="B455" t="s">
        <v>2285</v>
      </c>
    </row>
    <row r="456" spans="2:2">
      <c r="B456" t="s">
        <v>2286</v>
      </c>
    </row>
    <row r="457" spans="2:2">
      <c r="B457" t="s">
        <v>2287</v>
      </c>
    </row>
    <row r="458" spans="2:2">
      <c r="B458" t="s">
        <v>2288</v>
      </c>
    </row>
    <row r="459" spans="2:2">
      <c r="B459" t="s">
        <v>2289</v>
      </c>
    </row>
    <row r="460" spans="2:2">
      <c r="B460" t="s">
        <v>2290</v>
      </c>
    </row>
    <row r="461" spans="2:2">
      <c r="B461" t="s">
        <v>2291</v>
      </c>
    </row>
    <row r="462" spans="2:2">
      <c r="B462" t="s">
        <v>2292</v>
      </c>
    </row>
    <row r="463" spans="2:2">
      <c r="B463" t="s">
        <v>2293</v>
      </c>
    </row>
    <row r="464" spans="2:2">
      <c r="B464" t="s">
        <v>2294</v>
      </c>
    </row>
    <row r="465" spans="2:2">
      <c r="B465" t="s">
        <v>2295</v>
      </c>
    </row>
    <row r="466" spans="2:2">
      <c r="B466" t="s">
        <v>2296</v>
      </c>
    </row>
    <row r="467" spans="2:2">
      <c r="B467" t="s">
        <v>2297</v>
      </c>
    </row>
    <row r="468" spans="2:2">
      <c r="B468" t="s">
        <v>2298</v>
      </c>
    </row>
    <row r="469" spans="2:2">
      <c r="B469" t="s">
        <v>2299</v>
      </c>
    </row>
    <row r="470" spans="2:2">
      <c r="B470" t="s">
        <v>2300</v>
      </c>
    </row>
    <row r="471" spans="2:2">
      <c r="B471" t="s">
        <v>2301</v>
      </c>
    </row>
    <row r="472" spans="2:2">
      <c r="B472" t="s">
        <v>2302</v>
      </c>
    </row>
    <row r="473" spans="2:2">
      <c r="B473" t="s">
        <v>2303</v>
      </c>
    </row>
    <row r="474" spans="2:2">
      <c r="B474" t="s">
        <v>2304</v>
      </c>
    </row>
    <row r="475" spans="2:2">
      <c r="B475" t="s">
        <v>2305</v>
      </c>
    </row>
    <row r="476" spans="2:2">
      <c r="B476" t="s">
        <v>2306</v>
      </c>
    </row>
    <row r="477" spans="2:2">
      <c r="B477" t="s">
        <v>2307</v>
      </c>
    </row>
    <row r="478" spans="2:2">
      <c r="B478" t="s">
        <v>2308</v>
      </c>
    </row>
    <row r="479" spans="2:2">
      <c r="B479" t="s">
        <v>2309</v>
      </c>
    </row>
    <row r="480" spans="2:2">
      <c r="B480" t="s">
        <v>2310</v>
      </c>
    </row>
    <row r="481" spans="2:2">
      <c r="B481" t="s">
        <v>2311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1C11-F743-4FFA-B2BB-D2E728E0428C}">
  <dimension ref="A1:E11"/>
  <sheetViews>
    <sheetView topLeftCell="B1" workbookViewId="0">
      <selection activeCell="C9" sqref="C9"/>
    </sheetView>
  </sheetViews>
  <sheetFormatPr defaultRowHeight="14.45"/>
  <cols>
    <col min="2" max="2" width="59.28515625" customWidth="1"/>
    <col min="3" max="3" width="54.85546875" style="1" customWidth="1"/>
    <col min="4" max="4" width="45.42578125" customWidth="1"/>
  </cols>
  <sheetData>
    <row r="1" spans="1:5" s="2" customFormat="1" ht="28.9">
      <c r="C1" s="11" t="s">
        <v>342</v>
      </c>
      <c r="E1" s="2" t="s">
        <v>343</v>
      </c>
    </row>
    <row r="2" spans="1:5" ht="28.9">
      <c r="A2" t="s">
        <v>14</v>
      </c>
      <c r="B2" t="s">
        <v>344</v>
      </c>
      <c r="C2" s="1" t="s">
        <v>345</v>
      </c>
      <c r="D2" t="s">
        <v>346</v>
      </c>
      <c r="E2" t="s">
        <v>347</v>
      </c>
    </row>
    <row r="3" spans="1:5" ht="43.15">
      <c r="A3" t="s">
        <v>16</v>
      </c>
      <c r="B3" t="s">
        <v>348</v>
      </c>
      <c r="C3" s="23" t="s">
        <v>349</v>
      </c>
      <c r="D3" t="s">
        <v>273</v>
      </c>
      <c r="E3" t="s">
        <v>27</v>
      </c>
    </row>
    <row r="4" spans="1:5">
      <c r="A4" t="s">
        <v>11</v>
      </c>
      <c r="B4" t="s">
        <v>350</v>
      </c>
      <c r="C4" s="23" t="s">
        <v>107</v>
      </c>
      <c r="E4" t="s">
        <v>351</v>
      </c>
    </row>
    <row r="5" spans="1:5" ht="57.6">
      <c r="B5" t="s">
        <v>11</v>
      </c>
      <c r="C5" s="1" t="s">
        <v>352</v>
      </c>
    </row>
    <row r="6" spans="1:5" ht="43.15">
      <c r="C6" s="23" t="s">
        <v>353</v>
      </c>
    </row>
    <row r="7" spans="1:5" ht="58.9" customHeight="1">
      <c r="C7" s="23" t="s">
        <v>354</v>
      </c>
    </row>
    <row r="8" spans="1:5" ht="72">
      <c r="C8" s="1" t="s">
        <v>355</v>
      </c>
    </row>
    <row r="9" spans="1:5" ht="28.9">
      <c r="C9" s="1" t="s">
        <v>356</v>
      </c>
    </row>
    <row r="10" spans="1:5" ht="100.9">
      <c r="C10" s="1" t="s">
        <v>357</v>
      </c>
    </row>
    <row r="11" spans="1:5" ht="43.15">
      <c r="C11" s="23"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4CEB1-8C47-458E-9767-6E04C4CCA7CB}">
  <dimension ref="A1:H14"/>
  <sheetViews>
    <sheetView workbookViewId="0">
      <pane ySplit="1" topLeftCell="A2" activePane="bottomLeft" state="frozen"/>
      <selection pane="bottomLeft" activeCell="E4" sqref="E4"/>
    </sheetView>
  </sheetViews>
  <sheetFormatPr defaultRowHeight="14.45"/>
  <cols>
    <col min="1" max="1" width="11.42578125" customWidth="1"/>
    <col min="2" max="2" width="12.5703125" customWidth="1"/>
    <col min="3" max="3" width="10.7109375" customWidth="1"/>
    <col min="4" max="4" width="10.28515625" customWidth="1"/>
    <col min="5" max="5" width="26.42578125" customWidth="1"/>
    <col min="6" max="6" width="59" customWidth="1"/>
    <col min="7" max="7" width="23.7109375" customWidth="1"/>
    <col min="8" max="8" width="56.7109375" customWidth="1"/>
  </cols>
  <sheetData>
    <row r="1" spans="1:8" ht="39.75" customHeight="1">
      <c r="A1" s="29" t="s">
        <v>359</v>
      </c>
      <c r="B1" s="29" t="s">
        <v>9</v>
      </c>
      <c r="C1" s="30" t="s">
        <v>360</v>
      </c>
      <c r="D1" s="29" t="s">
        <v>7</v>
      </c>
      <c r="E1" s="29" t="s">
        <v>1</v>
      </c>
      <c r="F1" s="31" t="s">
        <v>361</v>
      </c>
      <c r="G1" s="31" t="s">
        <v>362</v>
      </c>
      <c r="H1" s="30" t="s">
        <v>363</v>
      </c>
    </row>
    <row r="2" spans="1:8" s="41" customFormat="1" ht="21" customHeight="1">
      <c r="A2" s="177" t="s">
        <v>364</v>
      </c>
      <c r="B2" s="177"/>
      <c r="C2" s="177"/>
      <c r="D2" s="177"/>
      <c r="E2" s="177"/>
      <c r="F2" s="177"/>
      <c r="G2" s="177"/>
      <c r="H2" s="177"/>
    </row>
    <row r="3" spans="1:8" ht="47.25" customHeight="1">
      <c r="A3" s="93" t="s">
        <v>14</v>
      </c>
      <c r="B3" s="94"/>
      <c r="C3" s="93" t="s">
        <v>365</v>
      </c>
      <c r="D3" s="93" t="s">
        <v>366</v>
      </c>
      <c r="E3" s="95" t="s">
        <v>367</v>
      </c>
      <c r="F3" s="96" t="s">
        <v>368</v>
      </c>
      <c r="G3" s="97" t="s">
        <v>16</v>
      </c>
      <c r="H3" s="96" t="s">
        <v>369</v>
      </c>
    </row>
    <row r="4" spans="1:8" ht="47.25" customHeight="1">
      <c r="A4" s="98" t="s">
        <v>14</v>
      </c>
      <c r="B4" s="99"/>
      <c r="C4" s="98" t="s">
        <v>370</v>
      </c>
      <c r="D4" s="98" t="s">
        <v>371</v>
      </c>
      <c r="E4" s="100"/>
      <c r="F4" s="101" t="s">
        <v>372</v>
      </c>
      <c r="G4" s="102" t="s">
        <v>373</v>
      </c>
      <c r="H4" s="101" t="s">
        <v>374</v>
      </c>
    </row>
    <row r="5" spans="1:8" ht="86.45">
      <c r="A5" s="93" t="s">
        <v>14</v>
      </c>
      <c r="B5" s="94"/>
      <c r="C5" s="93" t="s">
        <v>365</v>
      </c>
      <c r="D5" s="93" t="s">
        <v>366</v>
      </c>
      <c r="E5" s="95" t="s">
        <v>375</v>
      </c>
      <c r="F5" s="96" t="s">
        <v>376</v>
      </c>
      <c r="G5" s="97" t="s">
        <v>377</v>
      </c>
      <c r="H5" s="96" t="s">
        <v>378</v>
      </c>
    </row>
    <row r="6" spans="1:8" ht="47.25" customHeight="1">
      <c r="A6" s="98" t="s">
        <v>14</v>
      </c>
      <c r="B6" s="99"/>
      <c r="C6" s="98" t="s">
        <v>370</v>
      </c>
      <c r="D6" s="98" t="s">
        <v>371</v>
      </c>
      <c r="E6" s="100"/>
      <c r="F6" s="101" t="s">
        <v>372</v>
      </c>
      <c r="G6" s="102" t="s">
        <v>373</v>
      </c>
      <c r="H6" s="101" t="s">
        <v>374</v>
      </c>
    </row>
    <row r="7" spans="1:8" ht="54" customHeight="1">
      <c r="A7" s="93" t="s">
        <v>14</v>
      </c>
      <c r="B7" s="94"/>
      <c r="C7" s="93" t="s">
        <v>365</v>
      </c>
      <c r="D7" s="93" t="s">
        <v>366</v>
      </c>
      <c r="E7" s="95" t="s">
        <v>379</v>
      </c>
      <c r="F7" s="95" t="s">
        <v>379</v>
      </c>
      <c r="G7" s="97" t="s">
        <v>14</v>
      </c>
      <c r="H7" s="96" t="s">
        <v>380</v>
      </c>
    </row>
    <row r="8" spans="1:8" ht="47.25" customHeight="1">
      <c r="A8" s="98" t="s">
        <v>14</v>
      </c>
      <c r="B8" s="99"/>
      <c r="C8" s="98" t="s">
        <v>370</v>
      </c>
      <c r="D8" s="98" t="s">
        <v>371</v>
      </c>
      <c r="E8" s="100"/>
      <c r="F8" s="101" t="s">
        <v>372</v>
      </c>
      <c r="G8" s="102" t="s">
        <v>373</v>
      </c>
      <c r="H8" s="101" t="s">
        <v>374</v>
      </c>
    </row>
    <row r="9" spans="1:8" ht="57.6">
      <c r="A9" s="93" t="s">
        <v>14</v>
      </c>
      <c r="B9" s="94"/>
      <c r="C9" s="93" t="s">
        <v>365</v>
      </c>
      <c r="D9" s="93" t="s">
        <v>366</v>
      </c>
      <c r="E9" s="95" t="s">
        <v>381</v>
      </c>
      <c r="F9" s="96" t="s">
        <v>382</v>
      </c>
      <c r="G9" s="97" t="s">
        <v>377</v>
      </c>
      <c r="H9" s="96" t="s">
        <v>383</v>
      </c>
    </row>
    <row r="10" spans="1:8" ht="47.25" customHeight="1">
      <c r="A10" s="98" t="s">
        <v>14</v>
      </c>
      <c r="B10" s="99"/>
      <c r="C10" s="98" t="s">
        <v>370</v>
      </c>
      <c r="D10" s="98" t="s">
        <v>371</v>
      </c>
      <c r="E10" s="100"/>
      <c r="F10" s="101" t="s">
        <v>372</v>
      </c>
      <c r="G10" s="102" t="s">
        <v>373</v>
      </c>
      <c r="H10" s="101" t="s">
        <v>374</v>
      </c>
    </row>
    <row r="11" spans="1:8" ht="57.6">
      <c r="A11" s="93" t="s">
        <v>14</v>
      </c>
      <c r="B11" s="94"/>
      <c r="C11" s="93" t="s">
        <v>365</v>
      </c>
      <c r="D11" s="93" t="s">
        <v>366</v>
      </c>
      <c r="E11" s="95" t="s">
        <v>384</v>
      </c>
      <c r="F11" s="96" t="s">
        <v>385</v>
      </c>
      <c r="G11" s="97" t="s">
        <v>14</v>
      </c>
      <c r="H11" s="96" t="s">
        <v>386</v>
      </c>
    </row>
    <row r="12" spans="1:8" ht="47.25" customHeight="1">
      <c r="A12" s="98" t="s">
        <v>14</v>
      </c>
      <c r="B12" s="99"/>
      <c r="C12" s="98" t="s">
        <v>370</v>
      </c>
      <c r="D12" s="98" t="s">
        <v>371</v>
      </c>
      <c r="E12" s="100"/>
      <c r="F12" s="101" t="s">
        <v>372</v>
      </c>
      <c r="G12" s="102" t="s">
        <v>373</v>
      </c>
      <c r="H12" s="101" t="s">
        <v>374</v>
      </c>
    </row>
    <row r="13" spans="1:8" ht="33" customHeight="1">
      <c r="A13" s="177" t="s">
        <v>387</v>
      </c>
      <c r="B13" s="177"/>
      <c r="C13" s="177"/>
      <c r="D13" s="177"/>
      <c r="E13" s="177"/>
      <c r="F13" s="177"/>
      <c r="G13" s="177"/>
      <c r="H13" s="177"/>
    </row>
    <row r="14" spans="1:8" ht="42.75" customHeight="1">
      <c r="A14" s="99"/>
      <c r="B14" s="99"/>
      <c r="C14" s="59"/>
      <c r="D14" s="99"/>
      <c r="E14" s="103"/>
      <c r="F14" s="101"/>
      <c r="G14" s="41"/>
    </row>
  </sheetData>
  <mergeCells count="2">
    <mergeCell ref="A2:H2"/>
    <mergeCell ref="A13:H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C609-7DA3-456C-BB61-8452DA070C2E}">
  <dimension ref="A1:H39"/>
  <sheetViews>
    <sheetView zoomScaleNormal="100" workbookViewId="0">
      <selection activeCell="F6" sqref="F6"/>
    </sheetView>
  </sheetViews>
  <sheetFormatPr defaultRowHeight="14.4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29" t="s">
        <v>359</v>
      </c>
      <c r="B1" s="29" t="s">
        <v>9</v>
      </c>
      <c r="C1" s="30" t="s">
        <v>360</v>
      </c>
      <c r="D1" s="29" t="s">
        <v>7</v>
      </c>
      <c r="E1" s="29" t="s">
        <v>1</v>
      </c>
      <c r="F1" s="31" t="s">
        <v>361</v>
      </c>
      <c r="G1" s="31" t="s">
        <v>362</v>
      </c>
      <c r="H1" s="30" t="s">
        <v>363</v>
      </c>
    </row>
    <row r="2" spans="1:8" ht="30" customHeight="1">
      <c r="A2" s="177" t="s">
        <v>388</v>
      </c>
      <c r="B2" s="177"/>
      <c r="C2" s="177"/>
      <c r="D2" s="177"/>
      <c r="E2" s="177"/>
      <c r="F2" s="177"/>
      <c r="G2" s="177"/>
      <c r="H2" s="177"/>
    </row>
    <row r="3" spans="1:8" ht="28.9">
      <c r="A3" s="22" t="s">
        <v>16</v>
      </c>
      <c r="B3" s="22"/>
      <c r="C3" s="22" t="s">
        <v>16</v>
      </c>
      <c r="D3" s="22" t="s">
        <v>389</v>
      </c>
      <c r="E3" s="32" t="s">
        <v>390</v>
      </c>
      <c r="F3" s="33" t="s">
        <v>391</v>
      </c>
      <c r="G3" s="34">
        <f>SUM((G11*G12),(G29*G30))</f>
        <v>73.333333333333329</v>
      </c>
      <c r="H3" s="34" t="s">
        <v>392</v>
      </c>
    </row>
    <row r="4" spans="1:8" ht="46.5" customHeight="1">
      <c r="A4" s="177" t="s">
        <v>393</v>
      </c>
      <c r="B4" s="177"/>
      <c r="C4" s="177"/>
      <c r="D4" s="177"/>
      <c r="E4" s="177"/>
      <c r="F4" s="177"/>
      <c r="G4" s="177"/>
      <c r="H4" s="177"/>
    </row>
    <row r="5" spans="1:8" ht="33" customHeight="1">
      <c r="A5" t="s">
        <v>14</v>
      </c>
      <c r="C5" t="s">
        <v>14</v>
      </c>
      <c r="D5" t="s">
        <v>15</v>
      </c>
      <c r="E5" s="35" t="s">
        <v>394</v>
      </c>
      <c r="F5" s="36" t="s">
        <v>395</v>
      </c>
      <c r="G5" t="s">
        <v>396</v>
      </c>
    </row>
    <row r="6" spans="1:8">
      <c r="A6" t="s">
        <v>14</v>
      </c>
      <c r="C6" t="s">
        <v>14</v>
      </c>
      <c r="D6" t="s">
        <v>15</v>
      </c>
      <c r="F6" s="36" t="s">
        <v>397</v>
      </c>
      <c r="G6" t="s">
        <v>398</v>
      </c>
    </row>
    <row r="7" spans="1:8" ht="72">
      <c r="A7" s="25" t="s">
        <v>14</v>
      </c>
      <c r="B7" s="25"/>
      <c r="C7" s="25" t="s">
        <v>14</v>
      </c>
      <c r="D7" s="25" t="s">
        <v>399</v>
      </c>
      <c r="E7" s="25"/>
      <c r="F7" s="37" t="s">
        <v>400</v>
      </c>
      <c r="G7" s="25" t="s">
        <v>346</v>
      </c>
      <c r="H7" s="38" t="s">
        <v>401</v>
      </c>
    </row>
    <row r="8" spans="1:8" ht="28.9">
      <c r="A8" s="25" t="s">
        <v>14</v>
      </c>
      <c r="B8" s="25"/>
      <c r="C8" s="25" t="s">
        <v>14</v>
      </c>
      <c r="D8" s="25" t="s">
        <v>399</v>
      </c>
      <c r="E8" s="25"/>
      <c r="F8" s="37" t="s">
        <v>402</v>
      </c>
      <c r="G8" s="25" t="s">
        <v>403</v>
      </c>
      <c r="H8" s="26" t="s">
        <v>404</v>
      </c>
    </row>
    <row r="9" spans="1:8" ht="21">
      <c r="A9" s="178" t="s">
        <v>405</v>
      </c>
      <c r="B9" s="178"/>
      <c r="C9" s="178"/>
      <c r="D9" s="178"/>
      <c r="E9" s="178"/>
      <c r="F9" s="178"/>
      <c r="G9" s="178"/>
      <c r="H9" s="178"/>
    </row>
    <row r="10" spans="1:8" ht="28.9">
      <c r="A10" s="22" t="s">
        <v>16</v>
      </c>
      <c r="B10" s="22"/>
      <c r="C10" s="22" t="s">
        <v>16</v>
      </c>
      <c r="D10" s="22" t="s">
        <v>389</v>
      </c>
      <c r="E10" s="39" t="s">
        <v>406</v>
      </c>
      <c r="F10" s="33" t="s">
        <v>407</v>
      </c>
      <c r="G10" s="34">
        <f>G11*G12</f>
        <v>36.666666666666664</v>
      </c>
      <c r="H10" s="34"/>
    </row>
    <row r="11" spans="1:8" ht="28.9">
      <c r="A11" t="s">
        <v>14</v>
      </c>
      <c r="C11" t="s">
        <v>14</v>
      </c>
      <c r="D11" t="s">
        <v>90</v>
      </c>
      <c r="E11" s="40" t="s">
        <v>408</v>
      </c>
      <c r="F11" s="36" t="s">
        <v>409</v>
      </c>
      <c r="G11" s="41">
        <v>20</v>
      </c>
      <c r="H11" s="41"/>
    </row>
    <row r="12" spans="1:8" ht="28.9">
      <c r="A12" s="22" t="s">
        <v>14</v>
      </c>
      <c r="B12" s="22"/>
      <c r="C12" s="22" t="s">
        <v>16</v>
      </c>
      <c r="D12" s="22" t="s">
        <v>389</v>
      </c>
      <c r="E12" s="42" t="s">
        <v>410</v>
      </c>
      <c r="F12" s="33" t="s">
        <v>411</v>
      </c>
      <c r="G12" s="34">
        <f>G14</f>
        <v>1.8333333333333333</v>
      </c>
      <c r="H12" s="43" t="s">
        <v>412</v>
      </c>
    </row>
    <row r="13" spans="1:8" ht="21">
      <c r="A13" s="178" t="s">
        <v>413</v>
      </c>
      <c r="B13" s="178"/>
      <c r="C13" s="178"/>
      <c r="D13" s="178"/>
      <c r="E13" s="178"/>
      <c r="F13" s="178"/>
      <c r="G13" s="178"/>
      <c r="H13" s="178"/>
    </row>
    <row r="14" spans="1:8" ht="27">
      <c r="A14" s="22" t="s">
        <v>16</v>
      </c>
      <c r="B14" s="22"/>
      <c r="C14" s="22" t="s">
        <v>16</v>
      </c>
      <c r="D14" s="22" t="s">
        <v>389</v>
      </c>
      <c r="E14" s="39" t="s">
        <v>410</v>
      </c>
      <c r="F14" s="33" t="s">
        <v>414</v>
      </c>
      <c r="G14" s="34">
        <f>G16*(44/12)</f>
        <v>1.8333333333333333</v>
      </c>
      <c r="H14" s="34" t="s">
        <v>415</v>
      </c>
    </row>
    <row r="15" spans="1:8" ht="27">
      <c r="A15" s="22" t="s">
        <v>16</v>
      </c>
      <c r="B15" s="22"/>
      <c r="C15" s="22" t="s">
        <v>16</v>
      </c>
      <c r="D15" s="22" t="s">
        <v>389</v>
      </c>
      <c r="E15" s="39" t="s">
        <v>410</v>
      </c>
      <c r="F15" s="33" t="s">
        <v>416</v>
      </c>
      <c r="G15" s="34">
        <f>G16*G17*(44/12)</f>
        <v>3.6666666666666665</v>
      </c>
      <c r="H15" s="34" t="s">
        <v>417</v>
      </c>
    </row>
    <row r="16" spans="1:8" ht="28.9">
      <c r="A16" t="s">
        <v>14</v>
      </c>
      <c r="C16" t="s">
        <v>14</v>
      </c>
      <c r="D16" t="s">
        <v>90</v>
      </c>
      <c r="E16" s="40" t="s">
        <v>418</v>
      </c>
      <c r="F16" s="36" t="s">
        <v>419</v>
      </c>
      <c r="G16" s="41">
        <v>0.5</v>
      </c>
      <c r="H16" s="41"/>
    </row>
    <row r="17" spans="1:8" ht="28.9">
      <c r="A17" t="s">
        <v>14</v>
      </c>
      <c r="C17" t="s">
        <v>14</v>
      </c>
      <c r="D17" t="s">
        <v>90</v>
      </c>
      <c r="E17" s="40" t="s">
        <v>420</v>
      </c>
      <c r="F17" s="36" t="s">
        <v>421</v>
      </c>
      <c r="G17" s="41">
        <v>2</v>
      </c>
      <c r="H17" s="41"/>
    </row>
    <row r="18" spans="1:8" ht="21">
      <c r="A18" s="178" t="s">
        <v>422</v>
      </c>
      <c r="B18" s="178"/>
      <c r="C18" s="178"/>
      <c r="D18" s="178"/>
      <c r="E18" s="178"/>
      <c r="F18" s="178"/>
      <c r="G18" s="178"/>
      <c r="H18" s="178"/>
    </row>
    <row r="19" spans="1:8" ht="28.9">
      <c r="A19" s="22" t="s">
        <v>16</v>
      </c>
      <c r="B19" s="22"/>
      <c r="C19" s="22" t="s">
        <v>16</v>
      </c>
      <c r="D19" s="22" t="s">
        <v>389</v>
      </c>
      <c r="E19" s="39" t="s">
        <v>410</v>
      </c>
      <c r="F19" s="43" t="s">
        <v>411</v>
      </c>
      <c r="G19" s="34">
        <f>G20*G21</f>
        <v>11.15</v>
      </c>
      <c r="H19" s="34"/>
    </row>
    <row r="20" spans="1:8" ht="28.9">
      <c r="A20" t="s">
        <v>14</v>
      </c>
      <c r="C20" t="s">
        <v>14</v>
      </c>
      <c r="D20" t="s">
        <v>90</v>
      </c>
      <c r="E20" s="40" t="s">
        <v>423</v>
      </c>
      <c r="F20" s="1" t="s">
        <v>424</v>
      </c>
      <c r="G20" s="41">
        <v>0.5</v>
      </c>
      <c r="H20" s="41"/>
    </row>
    <row r="21" spans="1:8" ht="28.9">
      <c r="A21" t="s">
        <v>14</v>
      </c>
      <c r="C21" t="s">
        <v>14</v>
      </c>
      <c r="D21" t="s">
        <v>90</v>
      </c>
      <c r="E21" s="40" t="s">
        <v>425</v>
      </c>
      <c r="F21" s="1" t="s">
        <v>426</v>
      </c>
      <c r="G21" s="41">
        <v>22.3</v>
      </c>
      <c r="H21" s="41"/>
    </row>
    <row r="22" spans="1:8" ht="46.5" customHeight="1">
      <c r="A22" s="177" t="s">
        <v>427</v>
      </c>
      <c r="B22" s="177"/>
      <c r="C22" s="177"/>
      <c r="D22" s="177"/>
      <c r="E22" s="177"/>
      <c r="F22" s="177"/>
      <c r="G22" s="177"/>
      <c r="H22" s="177"/>
    </row>
    <row r="23" spans="1:8" ht="33" customHeight="1">
      <c r="A23" t="s">
        <v>14</v>
      </c>
      <c r="C23" t="s">
        <v>14</v>
      </c>
      <c r="D23" t="s">
        <v>15</v>
      </c>
      <c r="E23" s="40" t="s">
        <v>394</v>
      </c>
      <c r="F23" s="36" t="s">
        <v>395</v>
      </c>
      <c r="G23" t="s">
        <v>396</v>
      </c>
    </row>
    <row r="24" spans="1:8">
      <c r="A24" t="s">
        <v>14</v>
      </c>
      <c r="C24" t="s">
        <v>14</v>
      </c>
      <c r="D24" t="s">
        <v>15</v>
      </c>
      <c r="E24" s="44"/>
      <c r="F24" s="36" t="s">
        <v>397</v>
      </c>
      <c r="G24" t="s">
        <v>398</v>
      </c>
    </row>
    <row r="25" spans="1:8" ht="72">
      <c r="A25" s="25" t="s">
        <v>14</v>
      </c>
      <c r="B25" s="25"/>
      <c r="C25" s="25" t="s">
        <v>14</v>
      </c>
      <c r="D25" s="25" t="s">
        <v>428</v>
      </c>
      <c r="E25" s="45"/>
      <c r="F25" s="37" t="s">
        <v>400</v>
      </c>
      <c r="G25" s="25" t="s">
        <v>273</v>
      </c>
      <c r="H25" s="38" t="s">
        <v>401</v>
      </c>
    </row>
    <row r="26" spans="1:8" ht="28.9">
      <c r="A26" s="25" t="s">
        <v>14</v>
      </c>
      <c r="B26" s="25"/>
      <c r="C26" s="25" t="s">
        <v>14</v>
      </c>
      <c r="D26" s="25" t="s">
        <v>428</v>
      </c>
      <c r="E26" s="45"/>
      <c r="F26" s="37" t="s">
        <v>402</v>
      </c>
      <c r="G26" s="25" t="s">
        <v>429</v>
      </c>
      <c r="H26" s="26" t="s">
        <v>404</v>
      </c>
    </row>
    <row r="27" spans="1:8" ht="21">
      <c r="A27" s="178" t="s">
        <v>405</v>
      </c>
      <c r="B27" s="178"/>
      <c r="C27" s="178"/>
      <c r="D27" s="178"/>
      <c r="E27" s="178"/>
      <c r="F27" s="178"/>
      <c r="G27" s="178"/>
      <c r="H27" s="178"/>
    </row>
    <row r="28" spans="1:8" ht="28.9">
      <c r="A28" s="22" t="s">
        <v>16</v>
      </c>
      <c r="B28" s="22"/>
      <c r="C28" s="22" t="s">
        <v>16</v>
      </c>
      <c r="D28" s="22" t="s">
        <v>389</v>
      </c>
      <c r="E28" s="39" t="s">
        <v>406</v>
      </c>
      <c r="F28" s="33" t="s">
        <v>407</v>
      </c>
      <c r="G28" s="34">
        <f>G29*G30</f>
        <v>36.666666666666664</v>
      </c>
      <c r="H28" s="34"/>
    </row>
    <row r="29" spans="1:8" ht="28.9">
      <c r="A29" t="s">
        <v>14</v>
      </c>
      <c r="C29" t="s">
        <v>14</v>
      </c>
      <c r="D29" t="s">
        <v>90</v>
      </c>
      <c r="E29" s="40" t="s">
        <v>408</v>
      </c>
      <c r="F29" s="36" t="s">
        <v>409</v>
      </c>
      <c r="G29" s="41">
        <v>10</v>
      </c>
      <c r="H29" s="41"/>
    </row>
    <row r="30" spans="1:8" ht="28.9">
      <c r="A30" s="22" t="s">
        <v>14</v>
      </c>
      <c r="B30" s="22"/>
      <c r="C30" s="22" t="s">
        <v>14</v>
      </c>
      <c r="D30" s="22" t="s">
        <v>389</v>
      </c>
      <c r="E30" s="42" t="s">
        <v>410</v>
      </c>
      <c r="F30" s="33" t="s">
        <v>411</v>
      </c>
      <c r="G30" s="34">
        <f>G33</f>
        <v>3.6666666666666665</v>
      </c>
      <c r="H30" s="43" t="s">
        <v>430</v>
      </c>
    </row>
    <row r="31" spans="1:8" ht="21">
      <c r="A31" s="178" t="s">
        <v>413</v>
      </c>
      <c r="B31" s="178"/>
      <c r="C31" s="178"/>
      <c r="D31" s="178"/>
      <c r="E31" s="178"/>
      <c r="F31" s="178"/>
      <c r="G31" s="178"/>
      <c r="H31" s="178"/>
    </row>
    <row r="32" spans="1:8" ht="27">
      <c r="A32" s="22" t="s">
        <v>16</v>
      </c>
      <c r="B32" s="22"/>
      <c r="C32" s="22" t="s">
        <v>16</v>
      </c>
      <c r="D32" s="22" t="s">
        <v>389</v>
      </c>
      <c r="E32" s="39" t="s">
        <v>410</v>
      </c>
      <c r="F32" s="33" t="s">
        <v>414</v>
      </c>
      <c r="G32" s="34">
        <f>G34*(44/12)</f>
        <v>1.8333333333333333</v>
      </c>
      <c r="H32" s="34" t="s">
        <v>415</v>
      </c>
    </row>
    <row r="33" spans="1:8" ht="27">
      <c r="A33" s="22" t="s">
        <v>16</v>
      </c>
      <c r="B33" s="22"/>
      <c r="C33" s="22" t="s">
        <v>16</v>
      </c>
      <c r="D33" s="22" t="s">
        <v>389</v>
      </c>
      <c r="E33" s="39" t="s">
        <v>410</v>
      </c>
      <c r="F33" s="33" t="s">
        <v>416</v>
      </c>
      <c r="G33" s="34">
        <f>G34*G35*(44/12)</f>
        <v>3.6666666666666665</v>
      </c>
      <c r="H33" s="34" t="s">
        <v>417</v>
      </c>
    </row>
    <row r="34" spans="1:8" ht="28.9">
      <c r="A34" t="s">
        <v>14</v>
      </c>
      <c r="C34" t="s">
        <v>14</v>
      </c>
      <c r="D34" t="s">
        <v>90</v>
      </c>
      <c r="E34" s="40" t="s">
        <v>418</v>
      </c>
      <c r="F34" s="36" t="s">
        <v>419</v>
      </c>
      <c r="G34" s="41">
        <v>0.5</v>
      </c>
      <c r="H34" s="41"/>
    </row>
    <row r="35" spans="1:8" ht="28.9">
      <c r="A35" t="s">
        <v>14</v>
      </c>
      <c r="C35" t="s">
        <v>14</v>
      </c>
      <c r="D35" t="s">
        <v>90</v>
      </c>
      <c r="E35" s="40" t="s">
        <v>420</v>
      </c>
      <c r="F35" s="36" t="s">
        <v>421</v>
      </c>
      <c r="G35" s="41">
        <v>2</v>
      </c>
      <c r="H35" s="41"/>
    </row>
    <row r="36" spans="1:8" ht="21">
      <c r="A36" s="178" t="s">
        <v>422</v>
      </c>
      <c r="B36" s="178"/>
      <c r="C36" s="178"/>
      <c r="D36" s="178"/>
      <c r="E36" s="178"/>
      <c r="F36" s="178"/>
      <c r="G36" s="178"/>
      <c r="H36" s="178"/>
    </row>
    <row r="37" spans="1:8" ht="28.9">
      <c r="A37" s="22" t="s">
        <v>16</v>
      </c>
      <c r="B37" s="22"/>
      <c r="C37" s="22" t="s">
        <v>16</v>
      </c>
      <c r="D37" s="22" t="s">
        <v>389</v>
      </c>
      <c r="E37" s="39" t="s">
        <v>410</v>
      </c>
      <c r="F37" s="33" t="s">
        <v>411</v>
      </c>
      <c r="G37" s="34">
        <f>G38*G39</f>
        <v>11.15</v>
      </c>
      <c r="H37" s="34"/>
    </row>
    <row r="38" spans="1:8" ht="28.9">
      <c r="A38" t="s">
        <v>14</v>
      </c>
      <c r="C38" t="s">
        <v>14</v>
      </c>
      <c r="D38" t="s">
        <v>90</v>
      </c>
      <c r="E38" s="40" t="s">
        <v>423</v>
      </c>
      <c r="F38" s="36" t="s">
        <v>424</v>
      </c>
      <c r="G38" s="41">
        <v>0.5</v>
      </c>
      <c r="H38" s="41"/>
    </row>
    <row r="39" spans="1:8" ht="28.9">
      <c r="A39" t="s">
        <v>14</v>
      </c>
      <c r="C39" t="s">
        <v>14</v>
      </c>
      <c r="D39" t="s">
        <v>90</v>
      </c>
      <c r="E39" s="40" t="s">
        <v>425</v>
      </c>
      <c r="F39" s="36" t="s">
        <v>426</v>
      </c>
      <c r="G39" s="41">
        <v>22.3</v>
      </c>
      <c r="H39" s="4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ABF594A3-D388-4252-95E5-C6F4CC6B2030}">
      <formula1>"Mass,Volume"</formula1>
    </dataValidation>
    <dataValidation type="list" allowBlank="1" showInputMessage="1" showErrorMessage="1" sqref="G7 G25" xr:uid="{F90732F5-B63C-4F1C-9ECC-8AFA1FEB0230}">
      <formula1>"Option A,Option B"</formula1>
    </dataValidation>
  </dataValidations>
  <pageMargins left="0.7" right="0.7" top="0.75" bottom="0.75" header="0.3" footer="0.3"/>
  <pageSetup scale="34"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65D3-3D65-4C9C-9D4A-D01C84CAEC9B}">
  <dimension ref="A1:I87"/>
  <sheetViews>
    <sheetView topLeftCell="A58" workbookViewId="0">
      <selection activeCell="C94" sqref="C94"/>
    </sheetView>
  </sheetViews>
  <sheetFormatPr defaultRowHeight="14.4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1</v>
      </c>
      <c r="B1" t="s">
        <v>361</v>
      </c>
      <c r="C1" t="s">
        <v>362</v>
      </c>
      <c r="D1" t="s">
        <v>4</v>
      </c>
      <c r="E1" t="s">
        <v>7</v>
      </c>
      <c r="F1" t="s">
        <v>363</v>
      </c>
      <c r="G1" t="s">
        <v>360</v>
      </c>
      <c r="H1" t="s">
        <v>9</v>
      </c>
    </row>
    <row r="2" spans="1:8" s="21" customFormat="1">
      <c r="B2" s="21" t="s">
        <v>431</v>
      </c>
    </row>
    <row r="3" spans="1:8">
      <c r="B3" t="s">
        <v>432</v>
      </c>
      <c r="C3" t="s">
        <v>433</v>
      </c>
      <c r="D3" t="s">
        <v>14</v>
      </c>
      <c r="E3" t="s">
        <v>434</v>
      </c>
      <c r="G3" t="s">
        <v>16</v>
      </c>
    </row>
    <row r="4" spans="1:8">
      <c r="B4" t="s">
        <v>435</v>
      </c>
      <c r="C4" t="s">
        <v>436</v>
      </c>
      <c r="D4" t="s">
        <v>14</v>
      </c>
      <c r="E4" t="s">
        <v>434</v>
      </c>
      <c r="F4" t="s">
        <v>437</v>
      </c>
      <c r="G4" t="s">
        <v>16</v>
      </c>
    </row>
    <row r="5" spans="1:8" ht="28.9">
      <c r="B5" s="1" t="s">
        <v>438</v>
      </c>
      <c r="C5" t="s">
        <v>16</v>
      </c>
      <c r="D5" t="s">
        <v>14</v>
      </c>
      <c r="E5" t="s">
        <v>434</v>
      </c>
      <c r="G5" t="s">
        <v>16</v>
      </c>
    </row>
    <row r="6" spans="1:8">
      <c r="B6" s="1" t="s">
        <v>439</v>
      </c>
      <c r="C6" t="s">
        <v>14</v>
      </c>
      <c r="D6" t="s">
        <v>14</v>
      </c>
      <c r="E6" t="s">
        <v>434</v>
      </c>
      <c r="G6" t="s">
        <v>16</v>
      </c>
    </row>
    <row r="7" spans="1:8">
      <c r="B7" s="1" t="s">
        <v>440</v>
      </c>
      <c r="C7" t="s">
        <v>16</v>
      </c>
      <c r="D7" t="s">
        <v>14</v>
      </c>
      <c r="E7" t="s">
        <v>434</v>
      </c>
      <c r="G7" t="s">
        <v>16</v>
      </c>
    </row>
    <row r="8" spans="1:8">
      <c r="B8" t="s">
        <v>441</v>
      </c>
      <c r="C8" t="s">
        <v>442</v>
      </c>
      <c r="D8" t="s">
        <v>14</v>
      </c>
      <c r="E8" t="s">
        <v>434</v>
      </c>
      <c r="G8" t="s">
        <v>16</v>
      </c>
    </row>
    <row r="9" spans="1:8">
      <c r="B9" t="s">
        <v>443</v>
      </c>
      <c r="C9" t="s">
        <v>444</v>
      </c>
      <c r="D9" t="s">
        <v>14</v>
      </c>
      <c r="E9" t="s">
        <v>434</v>
      </c>
      <c r="G9" t="s">
        <v>16</v>
      </c>
    </row>
    <row r="10" spans="1:8">
      <c r="B10" t="s">
        <v>445</v>
      </c>
      <c r="C10" t="s">
        <v>446</v>
      </c>
      <c r="D10" t="s">
        <v>14</v>
      </c>
      <c r="E10" t="s">
        <v>434</v>
      </c>
      <c r="G10" t="s">
        <v>16</v>
      </c>
    </row>
    <row r="11" spans="1:8" ht="28.9">
      <c r="B11" s="120" t="s">
        <v>447</v>
      </c>
      <c r="C11" t="s">
        <v>448</v>
      </c>
      <c r="D11" t="str">
        <f>IF(C8="Option 2 (Estimated)","Yes","NA")</f>
        <v>Yes</v>
      </c>
      <c r="E11" t="s">
        <v>434</v>
      </c>
      <c r="G11" t="s">
        <v>16</v>
      </c>
    </row>
    <row r="12" spans="1:8">
      <c r="B12" s="120" t="s">
        <v>449</v>
      </c>
      <c r="C12" t="s">
        <v>16</v>
      </c>
      <c r="D12" t="str">
        <f>IF(C8="Option 2 (Estimated)","Yes","NA")</f>
        <v>Yes</v>
      </c>
      <c r="E12" t="s">
        <v>434</v>
      </c>
      <c r="G12" t="s">
        <v>16</v>
      </c>
    </row>
    <row r="13" spans="1:8">
      <c r="B13" s="120" t="s">
        <v>450</v>
      </c>
      <c r="C13" t="s">
        <v>14</v>
      </c>
      <c r="D13" t="str">
        <f>IF(C8="Option 2 (Estimated)","Yes","NA")</f>
        <v>Yes</v>
      </c>
      <c r="E13" t="s">
        <v>434</v>
      </c>
      <c r="G13" t="s">
        <v>16</v>
      </c>
    </row>
    <row r="14" spans="1:8">
      <c r="B14" s="120" t="s">
        <v>451</v>
      </c>
      <c r="C14" t="s">
        <v>452</v>
      </c>
      <c r="D14" t="str">
        <f>IF(C8="Option 2 (Estimated)","Yes","NA")</f>
        <v>Yes</v>
      </c>
      <c r="E14" t="s">
        <v>434</v>
      </c>
      <c r="G14" t="s">
        <v>16</v>
      </c>
    </row>
    <row r="15" spans="1:8">
      <c r="B15" s="120" t="s">
        <v>453</v>
      </c>
      <c r="C15" t="s">
        <v>16</v>
      </c>
      <c r="D15" t="str">
        <f>IF(C8="Option 2 (Estimated)","Yes","NA")</f>
        <v>Yes</v>
      </c>
      <c r="E15" t="s">
        <v>434</v>
      </c>
      <c r="G15" t="s">
        <v>16</v>
      </c>
    </row>
    <row r="16" spans="1:8">
      <c r="B16" s="120" t="s">
        <v>454</v>
      </c>
      <c r="C16" t="s">
        <v>16</v>
      </c>
      <c r="D16" t="str">
        <f>IF(C8="Option 2 (Estimated)","Yes","NA")</f>
        <v>Yes</v>
      </c>
      <c r="E16" t="s">
        <v>434</v>
      </c>
      <c r="G16" t="s">
        <v>16</v>
      </c>
    </row>
    <row r="17" spans="2:7">
      <c r="B17" s="120" t="s">
        <v>455</v>
      </c>
      <c r="C17" t="s">
        <v>456</v>
      </c>
      <c r="D17" t="str">
        <f>IF(AND(C4="Application B",C6="Yes"),"Yes","No")</f>
        <v>Yes</v>
      </c>
      <c r="E17" t="s">
        <v>434</v>
      </c>
      <c r="G17" t="s">
        <v>16</v>
      </c>
    </row>
    <row r="18" spans="2:7">
      <c r="B18" s="120" t="s">
        <v>457</v>
      </c>
      <c r="C18" t="s">
        <v>16</v>
      </c>
      <c r="D18" t="str">
        <f>IF(C4="Application B","Yes","NA")</f>
        <v>Yes</v>
      </c>
      <c r="E18" t="s">
        <v>434</v>
      </c>
      <c r="G18" t="s">
        <v>16</v>
      </c>
    </row>
    <row r="19" spans="2:7">
      <c r="B19" s="120" t="s">
        <v>458</v>
      </c>
      <c r="C19" t="s">
        <v>459</v>
      </c>
      <c r="D19" t="str">
        <f>IF(AND(C4="Application B",C18="Yes"),"NA","Yes")</f>
        <v>Yes</v>
      </c>
      <c r="E19" t="s">
        <v>434</v>
      </c>
      <c r="G19" t="s">
        <v>16</v>
      </c>
    </row>
    <row r="20" spans="2:7">
      <c r="B20" t="s">
        <v>460</v>
      </c>
      <c r="C20" t="s">
        <v>456</v>
      </c>
      <c r="D20" t="s">
        <v>14</v>
      </c>
      <c r="E20" t="s">
        <v>434</v>
      </c>
      <c r="F20" t="s">
        <v>461</v>
      </c>
      <c r="G20" t="s">
        <v>16</v>
      </c>
    </row>
    <row r="21" spans="2:7">
      <c r="B21" s="120" t="s">
        <v>462</v>
      </c>
      <c r="C21" t="s">
        <v>463</v>
      </c>
      <c r="D21" t="str">
        <f>IF(C20="Default","Yes","NA")</f>
        <v>Yes</v>
      </c>
      <c r="E21" t="s">
        <v>434</v>
      </c>
      <c r="G21" t="s">
        <v>16</v>
      </c>
    </row>
    <row r="22" spans="2:7">
      <c r="B22" s="120" t="s">
        <v>464</v>
      </c>
      <c r="D22" t="str">
        <f>IF(C21="Other","Yes","NA")</f>
        <v>NA</v>
      </c>
      <c r="E22" t="s">
        <v>434</v>
      </c>
      <c r="G22" t="s">
        <v>16</v>
      </c>
    </row>
    <row r="23" spans="2:7">
      <c r="B23" s="120" t="s">
        <v>465</v>
      </c>
      <c r="C23" t="s">
        <v>16</v>
      </c>
      <c r="D23" t="s">
        <v>14</v>
      </c>
      <c r="E23" t="s">
        <v>434</v>
      </c>
      <c r="G23" t="s">
        <v>16</v>
      </c>
    </row>
    <row r="24" spans="2:7" s="21" customFormat="1">
      <c r="B24" s="21" t="s">
        <v>466</v>
      </c>
    </row>
    <row r="25" spans="2:7">
      <c r="B25" s="90" t="s">
        <v>467</v>
      </c>
    </row>
    <row r="26" spans="2:7">
      <c r="B26" t="s">
        <v>468</v>
      </c>
      <c r="C26" s="22" t="str">
        <f>IF(C8="Option 2 (Estimated)","NA",IF(C4="Application A",0.75,IF(AND(C4="Application B",C9="Humid/wet conditions"),0.85,IF(AND(C4="Application B",C9="Dry conditions"),0.8,))))</f>
        <v>NA</v>
      </c>
      <c r="D26" t="str">
        <f>IF(C8="Option 1 (Default)","Yes","NA")</f>
        <v>NA</v>
      </c>
      <c r="E26" t="s">
        <v>199</v>
      </c>
      <c r="G26" t="s">
        <v>16</v>
      </c>
    </row>
    <row r="27" spans="2:7">
      <c r="B27" s="90" t="s">
        <v>469</v>
      </c>
    </row>
    <row r="28" spans="2:7">
      <c r="B28" t="s">
        <v>470</v>
      </c>
      <c r="C28" s="121">
        <f>IF(C8="Option 1 (Default)","NA",IF(C11="Weighed",0.02,IF(C11="Estimated",0.1)))</f>
        <v>0.1</v>
      </c>
      <c r="D28" t="str">
        <f>IF(C8="Option 2 (Estimated)","Yes","NA")</f>
        <v>Yes</v>
      </c>
      <c r="E28" t="s">
        <v>199</v>
      </c>
      <c r="G28" t="s">
        <v>16</v>
      </c>
    </row>
    <row r="29" spans="2:7">
      <c r="B29" t="s">
        <v>471</v>
      </c>
      <c r="C29" s="121">
        <f>IF(C8="Option 1 (Default)","NA",IF(C20="Measure",0.05,IF(C20="Default",0.1)))</f>
        <v>0.1</v>
      </c>
      <c r="D29" t="str">
        <f>IF(C8="Option 2 (Estimated)","Yes","NA")</f>
        <v>Yes</v>
      </c>
      <c r="E29" t="s">
        <v>199</v>
      </c>
      <c r="G29" t="s">
        <v>16</v>
      </c>
    </row>
    <row r="30" spans="2:7">
      <c r="B30" t="s">
        <v>472</v>
      </c>
      <c r="C30" s="121">
        <f>IF(C8="Option 1 (Default)","NA",IF(OR(C12="Yes",C13="Yes"),0.05,0.15))</f>
        <v>0.05</v>
      </c>
      <c r="D30" t="str">
        <f>IF(C8="Option 2 (Estimated)","Yes","NA")</f>
        <v>Yes</v>
      </c>
      <c r="E30" t="s">
        <v>199</v>
      </c>
      <c r="G30" t="s">
        <v>16</v>
      </c>
    </row>
    <row r="31" spans="2:7">
      <c r="B31" t="s">
        <v>473</v>
      </c>
      <c r="C31" s="121">
        <f>IF(C8="Option 1 (Default)","NA",IF(C12="Yes",0,0.05))</f>
        <v>0.05</v>
      </c>
      <c r="D31" t="str">
        <f>IF(C8="Option 2 (Estimated)","Yes","NA")</f>
        <v>Yes</v>
      </c>
      <c r="E31" t="s">
        <v>199</v>
      </c>
      <c r="G31" t="s">
        <v>16</v>
      </c>
    </row>
    <row r="32" spans="2:7">
      <c r="B32" t="s">
        <v>474</v>
      </c>
      <c r="C32" s="121">
        <f>IF(C8="Option 1 (Default)","NA",IF(C14="Managed",0,IF(C14="Unmanaged",0.5)))</f>
        <v>0</v>
      </c>
      <c r="D32" t="str">
        <f>IF(C8="Option 2 (Estimated)","Yes","NA")</f>
        <v>Yes</v>
      </c>
      <c r="E32" t="s">
        <v>199</v>
      </c>
      <c r="G32" t="s">
        <v>16</v>
      </c>
    </row>
    <row r="33" spans="1:7" ht="16.149999999999999">
      <c r="B33" t="s">
        <v>475</v>
      </c>
      <c r="C33" s="121">
        <f>IF(C8="Option 1 (Default)","NA",IF(AND(C4="Application B",C15="Yes",C84&gt;0.2),0.05,IF(AND(C4="Application A",C16="Yes"),0.05,0.2)))</f>
        <v>0.2</v>
      </c>
      <c r="D33" t="str">
        <f>IF(C8="Option 2 (Estimated)","Yes","NA")</f>
        <v>Yes</v>
      </c>
      <c r="E33" t="s">
        <v>199</v>
      </c>
      <c r="G33" t="s">
        <v>16</v>
      </c>
    </row>
    <row r="34" spans="1:7">
      <c r="A34" t="s">
        <v>476</v>
      </c>
      <c r="B34" t="s">
        <v>477</v>
      </c>
      <c r="C34" s="22">
        <f>IF(C8="Option 1 (Default)","NA",SQRT(C28^2+C29^2+C30^2+C31^2+C32^2+C33^2))</f>
        <v>0.25495097567963926</v>
      </c>
      <c r="D34" t="str">
        <f>IF(C8="Option 2 (Estimated)","Yes","NA")</f>
        <v>Yes</v>
      </c>
      <c r="E34" t="s">
        <v>199</v>
      </c>
      <c r="G34" t="s">
        <v>16</v>
      </c>
    </row>
    <row r="35" spans="1:7">
      <c r="A35" t="s">
        <v>478</v>
      </c>
      <c r="B35" t="s">
        <v>479</v>
      </c>
      <c r="C35" s="22">
        <f>IF(C8="Option 1 (Default)","NA",1/(1+C34))</f>
        <v>0.79684387627846065</v>
      </c>
      <c r="D35" t="str">
        <f>IF(C8="Option 2 (Estimated)","Yes","NA")</f>
        <v>Yes</v>
      </c>
      <c r="E35" t="s">
        <v>199</v>
      </c>
      <c r="G35" t="s">
        <v>16</v>
      </c>
    </row>
    <row r="36" spans="1:7" s="21" customFormat="1">
      <c r="B36" s="21" t="s">
        <v>480</v>
      </c>
    </row>
    <row r="37" spans="1:7">
      <c r="B37" s="90" t="s">
        <v>481</v>
      </c>
    </row>
    <row r="38" spans="1:7">
      <c r="A38" t="s">
        <v>482</v>
      </c>
      <c r="B38" t="s">
        <v>483</v>
      </c>
      <c r="C38">
        <v>100</v>
      </c>
      <c r="D38" t="str">
        <f>IF(C4="Application A","Yes","NA")</f>
        <v>NA</v>
      </c>
      <c r="E38" t="s">
        <v>90</v>
      </c>
      <c r="G38" t="s">
        <v>16</v>
      </c>
    </row>
    <row r="39" spans="1:7">
      <c r="B39" s="90" t="s">
        <v>436</v>
      </c>
    </row>
    <row r="40" spans="1:7">
      <c r="A40" t="s">
        <v>484</v>
      </c>
      <c r="B40" s="1" t="s">
        <v>485</v>
      </c>
      <c r="C40">
        <v>0.16</v>
      </c>
      <c r="D40" t="str">
        <f>IF(AND(C4="Application B",C23="No"),"Yes","NA")</f>
        <v>Yes</v>
      </c>
      <c r="E40" t="s">
        <v>90</v>
      </c>
      <c r="G40" t="s">
        <v>14</v>
      </c>
    </row>
    <row r="41" spans="1:7">
      <c r="B41" s="122" t="s">
        <v>486</v>
      </c>
    </row>
    <row r="42" spans="1:7">
      <c r="A42" t="s">
        <v>487</v>
      </c>
      <c r="B42" s="1" t="s">
        <v>488</v>
      </c>
      <c r="C42">
        <v>1</v>
      </c>
      <c r="D42" t="str">
        <f>IF(AND(C4="Application B",C23="No"),"Yes","NA")</f>
        <v>Yes</v>
      </c>
      <c r="E42" t="s">
        <v>90</v>
      </c>
      <c r="G42" t="s">
        <v>16</v>
      </c>
    </row>
    <row r="43" spans="1:7">
      <c r="A43" t="s">
        <v>489</v>
      </c>
      <c r="B43" t="s">
        <v>490</v>
      </c>
      <c r="C43">
        <v>12975</v>
      </c>
      <c r="D43" t="str">
        <f>IF(C4="Application B","Yes","NA")</f>
        <v>Yes</v>
      </c>
      <c r="E43" t="s">
        <v>90</v>
      </c>
      <c r="G43" t="s">
        <v>16</v>
      </c>
    </row>
    <row r="44" spans="1:7">
      <c r="A44" t="s">
        <v>491</v>
      </c>
      <c r="B44" t="s">
        <v>492</v>
      </c>
      <c r="C44" s="22">
        <f>IF(C4="Application A","NA",C40/C42)</f>
        <v>0.16</v>
      </c>
      <c r="D44" t="str">
        <f>IF(AND(C4="Application B",C23="No"),"Yes","NA")</f>
        <v>Yes</v>
      </c>
      <c r="E44" t="s">
        <v>199</v>
      </c>
      <c r="G44" t="s">
        <v>16</v>
      </c>
    </row>
    <row r="45" spans="1:7">
      <c r="A45" t="s">
        <v>493</v>
      </c>
      <c r="B45" t="s">
        <v>494</v>
      </c>
      <c r="C45" s="22">
        <f>IF(C4="Application A","NA",C43*C44)</f>
        <v>2076</v>
      </c>
      <c r="D45" t="str">
        <f>IF(AND(C4="Application B",C23="No"),"Yes","NA")</f>
        <v>Yes</v>
      </c>
      <c r="E45" t="s">
        <v>199</v>
      </c>
      <c r="G45" t="s">
        <v>16</v>
      </c>
    </row>
    <row r="46" spans="1:7" s="21" customFormat="1">
      <c r="B46" s="21" t="s">
        <v>495</v>
      </c>
    </row>
    <row r="47" spans="1:7">
      <c r="B47" s="90" t="s">
        <v>456</v>
      </c>
    </row>
    <row r="48" spans="1:7">
      <c r="A48" t="s">
        <v>496</v>
      </c>
      <c r="B48" t="s">
        <v>497</v>
      </c>
      <c r="C48" s="22">
        <f>IF(AND(C4="Application B",C6="Yes",C17="Default"),0.05,IF((C4="Application A"),0.05,"NA"))</f>
        <v>0.05</v>
      </c>
      <c r="D48" t="str">
        <f>IF(AND(C4="Application B",C6="Yes",C17="Default"),"Yes",IF((C4="Application A"),"Yes","NA"))</f>
        <v>Yes</v>
      </c>
      <c r="E48" t="s">
        <v>199</v>
      </c>
      <c r="G48" t="s">
        <v>16</v>
      </c>
    </row>
    <row r="49" spans="1:9">
      <c r="B49" s="90" t="s">
        <v>498</v>
      </c>
    </row>
    <row r="50" spans="1:9">
      <c r="A50" t="s">
        <v>499</v>
      </c>
      <c r="B50" s="41" t="s">
        <v>500</v>
      </c>
      <c r="C50">
        <v>11</v>
      </c>
      <c r="D50" t="str">
        <f>IF(AND(C4="Application B",C6="yes",C17="Measure"),"Yes","NA")</f>
        <v>NA</v>
      </c>
      <c r="E50" t="s">
        <v>90</v>
      </c>
      <c r="G50" t="s">
        <v>16</v>
      </c>
    </row>
    <row r="51" spans="1:9">
      <c r="A51" t="s">
        <v>501</v>
      </c>
      <c r="B51" t="s">
        <v>502</v>
      </c>
      <c r="C51">
        <v>0.33</v>
      </c>
      <c r="D51" t="str">
        <f>IF(AND(C4="Application B",C6="yes",C17="Measure"),"Yes","NA")</f>
        <v>NA</v>
      </c>
      <c r="E51" t="s">
        <v>90</v>
      </c>
      <c r="G51" t="s">
        <v>16</v>
      </c>
    </row>
    <row r="52" spans="1:9">
      <c r="A52" t="s">
        <v>503</v>
      </c>
      <c r="B52" t="s">
        <v>504</v>
      </c>
      <c r="C52">
        <v>0.22</v>
      </c>
      <c r="D52" t="str">
        <f>IF(AND(C4="Application B",C6="yes",C17="Measure"),"Yes","NA")</f>
        <v>NA</v>
      </c>
      <c r="E52" t="s">
        <v>90</v>
      </c>
      <c r="G52" t="s">
        <v>16</v>
      </c>
    </row>
    <row r="53" spans="1:9">
      <c r="A53" t="s">
        <v>505</v>
      </c>
      <c r="B53" t="s">
        <v>506</v>
      </c>
      <c r="C53">
        <v>0.24</v>
      </c>
      <c r="D53" t="str">
        <f>IF(AND(C4="Application B",C6="yes",C17="Measure"),"Yes","NA")</f>
        <v>NA</v>
      </c>
      <c r="E53" t="s">
        <v>90</v>
      </c>
      <c r="G53" t="s">
        <v>16</v>
      </c>
    </row>
    <row r="54" spans="1:9">
      <c r="A54" t="s">
        <v>507</v>
      </c>
      <c r="B54" t="s">
        <v>497</v>
      </c>
      <c r="C54" s="22" t="str">
        <f>IF(AND(C4="Application B",C6="Yes",C17="Measure"),0.7*(12/16)*C50/C51*(C52*C53),"NA")</f>
        <v>NA</v>
      </c>
      <c r="D54" t="str">
        <f>IF(AND(C4="Application B",C6="yes",C17="Measure"),"Yes","NA")</f>
        <v>NA</v>
      </c>
      <c r="E54" t="s">
        <v>199</v>
      </c>
      <c r="G54" t="s">
        <v>16</v>
      </c>
    </row>
    <row r="55" spans="1:9">
      <c r="B55" s="90" t="s">
        <v>508</v>
      </c>
    </row>
    <row r="56" spans="1:9">
      <c r="A56" t="s">
        <v>509</v>
      </c>
      <c r="B56" s="120" t="s">
        <v>510</v>
      </c>
      <c r="C56">
        <v>11</v>
      </c>
      <c r="D56" t="str">
        <f>IF(AND(C4="Application B",C7="yes"),"Yes","NA")</f>
        <v>NA</v>
      </c>
      <c r="E56" t="s">
        <v>90</v>
      </c>
      <c r="G56" t="s">
        <v>16</v>
      </c>
    </row>
    <row r="57" spans="1:9">
      <c r="A57" t="s">
        <v>501</v>
      </c>
      <c r="B57" t="s">
        <v>502</v>
      </c>
      <c r="C57">
        <v>0.31</v>
      </c>
      <c r="D57" t="str">
        <f>IF(AND(C4="Application B",C7="yes"),"Yes","NA")</f>
        <v>NA</v>
      </c>
      <c r="E57" t="s">
        <v>90</v>
      </c>
      <c r="G57" t="s">
        <v>16</v>
      </c>
      <c r="I57" s="41"/>
    </row>
    <row r="58" spans="1:9">
      <c r="A58" t="s">
        <v>505</v>
      </c>
      <c r="B58" t="s">
        <v>506</v>
      </c>
      <c r="C58">
        <v>0.19</v>
      </c>
      <c r="D58" t="str">
        <f>IF(AND(C4="Application B",C7="yes"),"Yes","NA")</f>
        <v>NA</v>
      </c>
      <c r="E58" t="s">
        <v>90</v>
      </c>
      <c r="G58" t="s">
        <v>16</v>
      </c>
    </row>
    <row r="59" spans="1:9">
      <c r="A59" t="s">
        <v>507</v>
      </c>
      <c r="B59" s="41" t="s">
        <v>497</v>
      </c>
      <c r="C59" s="22" t="str">
        <f>IF(AND(C4="Application B",C7="Yes"),0.7*(12/16)*C56/(C57*C58),"NA")</f>
        <v>NA</v>
      </c>
      <c r="D59" t="str">
        <f>IF(AND(C4="Application B",C7="yes"),"Yes","NA")</f>
        <v>NA</v>
      </c>
      <c r="E59" t="s">
        <v>199</v>
      </c>
      <c r="G59" t="s">
        <v>16</v>
      </c>
    </row>
    <row r="60" spans="1:9" s="21" customFormat="1">
      <c r="B60" s="21" t="s">
        <v>511</v>
      </c>
    </row>
    <row r="61" spans="1:9">
      <c r="B61" s="90" t="s">
        <v>456</v>
      </c>
    </row>
    <row r="62" spans="1:9">
      <c r="A62" t="s">
        <v>512</v>
      </c>
      <c r="B62" t="s">
        <v>513</v>
      </c>
      <c r="C62" s="22">
        <f>IF(AND(C4="Application B",C18="Yes"),"NA",IF(C19="Anaerobic managed solid waste disposal sites",1, IF(C19="Semi-aerobic managed solid waste disposal sites",0.5,IF(C19="Unmanaged solid waste disposal sites – deep",0.8,IF(C19="Unmanaged-shallow solid waste disposal sites or stockpiles that are considered SWDS",0.4)))))</f>
        <v>1</v>
      </c>
      <c r="D62" t="str">
        <f>IF(AND(C4="Application B",C18="Yes"),"NA","Yes")</f>
        <v>Yes</v>
      </c>
      <c r="E62" t="s">
        <v>199</v>
      </c>
      <c r="G62" t="s">
        <v>16</v>
      </c>
    </row>
    <row r="63" spans="1:9">
      <c r="B63" s="90" t="s">
        <v>514</v>
      </c>
    </row>
    <row r="64" spans="1:9">
      <c r="A64" t="s">
        <v>515</v>
      </c>
      <c r="B64" t="s">
        <v>516</v>
      </c>
      <c r="C64">
        <v>22</v>
      </c>
      <c r="D64" t="str">
        <f>IF(AND(C4="Application B",C18="Yes"),"Yes","NA")</f>
        <v>NA</v>
      </c>
      <c r="E64" t="s">
        <v>90</v>
      </c>
      <c r="G64" t="s">
        <v>16</v>
      </c>
    </row>
    <row r="65" spans="1:7">
      <c r="A65" t="s">
        <v>517</v>
      </c>
      <c r="B65" t="s">
        <v>518</v>
      </c>
      <c r="C65">
        <v>102</v>
      </c>
      <c r="D65" t="str">
        <f>IF(AND(C4="Application B",C18="Yes"),"Yes","NA")</f>
        <v>NA</v>
      </c>
      <c r="E65" t="s">
        <v>90</v>
      </c>
      <c r="G65" t="s">
        <v>16</v>
      </c>
    </row>
    <row r="66" spans="1:7">
      <c r="A66" t="s">
        <v>519</v>
      </c>
      <c r="B66" t="s">
        <v>513</v>
      </c>
      <c r="C66" s="22" t="str">
        <f>IF(AND(C4="Application B",C18="yes"),MAX((1-2/C65),C64/C65), "NA")</f>
        <v>NA</v>
      </c>
      <c r="D66" t="str">
        <f>IF(AND(C4="Application B",C18="Yes"),"Yes","NA")</f>
        <v>NA</v>
      </c>
      <c r="E66" t="s">
        <v>199</v>
      </c>
      <c r="G66" t="s">
        <v>16</v>
      </c>
    </row>
    <row r="67" spans="1:7" s="21" customFormat="1">
      <c r="B67" s="21" t="s">
        <v>520</v>
      </c>
    </row>
    <row r="68" spans="1:7">
      <c r="B68" s="90" t="s">
        <v>456</v>
      </c>
    </row>
    <row r="69" spans="1:7">
      <c r="A69" t="s">
        <v>521</v>
      </c>
      <c r="B69" t="s">
        <v>506</v>
      </c>
      <c r="C69" s="121">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0.2</v>
      </c>
      <c r="D69" t="str">
        <f>IF(AND(C4="Application B",C20="Measure"),"NA","Yes")</f>
        <v>Yes</v>
      </c>
      <c r="E69" t="s">
        <v>199</v>
      </c>
      <c r="G69" t="s">
        <v>16</v>
      </c>
    </row>
    <row r="70" spans="1:7">
      <c r="B70" s="90" t="s">
        <v>522</v>
      </c>
    </row>
    <row r="71" spans="1:7">
      <c r="A71" t="s">
        <v>523</v>
      </c>
      <c r="B71" t="s">
        <v>506</v>
      </c>
      <c r="C71">
        <v>0.17</v>
      </c>
      <c r="D71" t="str">
        <f>IF(AND(C4="Application B",C20="Measure"),"Yes","NA")</f>
        <v>NA</v>
      </c>
      <c r="E71" t="s">
        <v>90</v>
      </c>
      <c r="G71" t="s">
        <v>16</v>
      </c>
    </row>
    <row r="72" spans="1:7" s="21" customFormat="1" ht="18">
      <c r="B72" s="89" t="s">
        <v>524</v>
      </c>
    </row>
    <row r="73" spans="1:7">
      <c r="A73" t="s">
        <v>525</v>
      </c>
      <c r="B73" s="1" t="s">
        <v>526</v>
      </c>
      <c r="C73">
        <v>5</v>
      </c>
      <c r="D73" t="s">
        <v>14</v>
      </c>
      <c r="E73" t="s">
        <v>90</v>
      </c>
      <c r="G73" t="s">
        <v>16</v>
      </c>
    </row>
    <row r="74" spans="1:7">
      <c r="A74" t="s">
        <v>527</v>
      </c>
      <c r="B74" t="s">
        <v>528</v>
      </c>
      <c r="C74">
        <v>3</v>
      </c>
      <c r="D74" t="s">
        <v>14</v>
      </c>
      <c r="E74" t="s">
        <v>90</v>
      </c>
      <c r="G74" t="s">
        <v>16</v>
      </c>
    </row>
    <row r="75" spans="1:7">
      <c r="A75" t="s">
        <v>507</v>
      </c>
      <c r="B75" t="s">
        <v>497</v>
      </c>
      <c r="C75" s="22">
        <f>IF(C4="Application A",C48,IF(AND(C4="Application B",C6="Yes",C17="Default"),C48,IF(AND(C4="Application B",C6="Yes",C17="Measure"),C54, IF(AND(C4="Application B",C7="Yes",C17="Measure"),C59))))</f>
        <v>0.05</v>
      </c>
      <c r="D75" t="s">
        <v>14</v>
      </c>
      <c r="E75" t="s">
        <v>199</v>
      </c>
      <c r="G75" t="s">
        <v>16</v>
      </c>
    </row>
    <row r="76" spans="1:7">
      <c r="A76" t="s">
        <v>529</v>
      </c>
      <c r="B76" t="s">
        <v>494</v>
      </c>
      <c r="C76" s="22">
        <f>IF(C4="Application A",C38,IF(AND(C4="Application B",C23="No"),C45,IF(AND(C4="Application B",C23="Yes"),C43)))</f>
        <v>2076</v>
      </c>
      <c r="D76" t="s">
        <v>14</v>
      </c>
      <c r="E76" t="s">
        <v>199</v>
      </c>
      <c r="G76" t="s">
        <v>16</v>
      </c>
    </row>
    <row r="77" spans="1:7">
      <c r="A77" t="s">
        <v>478</v>
      </c>
      <c r="B77" t="s">
        <v>479</v>
      </c>
      <c r="C77" s="22">
        <f>IF(C8="Option 1 (Default)",C26,C35)</f>
        <v>0.79684387627846065</v>
      </c>
      <c r="D77" t="s">
        <v>14</v>
      </c>
      <c r="E77" t="s">
        <v>199</v>
      </c>
      <c r="G77" t="s">
        <v>16</v>
      </c>
    </row>
    <row r="78" spans="1:7" ht="15" thickBot="1">
      <c r="A78" t="s">
        <v>530</v>
      </c>
      <c r="B78" t="s">
        <v>531</v>
      </c>
      <c r="C78">
        <v>0.44</v>
      </c>
      <c r="D78" t="s">
        <v>14</v>
      </c>
      <c r="E78" t="s">
        <v>90</v>
      </c>
      <c r="G78" t="s">
        <v>16</v>
      </c>
    </row>
    <row r="79" spans="1:7" ht="15" thickBot="1">
      <c r="A79" t="s">
        <v>532</v>
      </c>
      <c r="B79" t="s">
        <v>533</v>
      </c>
      <c r="C79" s="77">
        <v>28</v>
      </c>
      <c r="D79" t="s">
        <v>14</v>
      </c>
      <c r="E79" t="s">
        <v>534</v>
      </c>
      <c r="G79" t="s">
        <v>16</v>
      </c>
    </row>
    <row r="80" spans="1:7" ht="15" thickBot="1">
      <c r="A80" t="s">
        <v>535</v>
      </c>
      <c r="B80" t="s">
        <v>536</v>
      </c>
      <c r="C80" s="77">
        <v>0.1</v>
      </c>
      <c r="D80" t="s">
        <v>14</v>
      </c>
      <c r="E80" t="s">
        <v>534</v>
      </c>
      <c r="G80" t="s">
        <v>16</v>
      </c>
    </row>
    <row r="81" spans="1:7" ht="15" thickBot="1">
      <c r="A81" t="s">
        <v>501</v>
      </c>
      <c r="B81" t="s">
        <v>502</v>
      </c>
      <c r="C81" s="77">
        <v>0.5</v>
      </c>
      <c r="D81" t="s">
        <v>14</v>
      </c>
      <c r="E81" t="s">
        <v>534</v>
      </c>
      <c r="G81" t="s">
        <v>16</v>
      </c>
    </row>
    <row r="82" spans="1:7">
      <c r="A82" t="s">
        <v>537</v>
      </c>
      <c r="B82" t="s">
        <v>513</v>
      </c>
      <c r="C82" s="22">
        <f>IF(AND(C4="Application B",C18="Yes"),C66,C62)</f>
        <v>1</v>
      </c>
      <c r="D82" t="s">
        <v>14</v>
      </c>
      <c r="E82" t="s">
        <v>199</v>
      </c>
      <c r="G82" t="s">
        <v>16</v>
      </c>
    </row>
    <row r="83" spans="1:7">
      <c r="A83" t="s">
        <v>523</v>
      </c>
      <c r="B83" t="s">
        <v>506</v>
      </c>
      <c r="C83" s="121">
        <f>IF(C20="Default",C69,C71)</f>
        <v>0.2</v>
      </c>
      <c r="D83" t="s">
        <v>14</v>
      </c>
      <c r="E83" t="s">
        <v>199</v>
      </c>
      <c r="G83" t="s">
        <v>16</v>
      </c>
    </row>
    <row r="84" spans="1:7">
      <c r="A84" t="s">
        <v>538</v>
      </c>
      <c r="B84" t="s">
        <v>539</v>
      </c>
      <c r="C84" s="22">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0.17</v>
      </c>
      <c r="D84" t="s">
        <v>14</v>
      </c>
      <c r="E84" t="s">
        <v>199</v>
      </c>
      <c r="F84" t="s">
        <v>540</v>
      </c>
      <c r="G84" t="s">
        <v>16</v>
      </c>
    </row>
    <row r="85" spans="1:7">
      <c r="A85" t="s">
        <v>541</v>
      </c>
      <c r="B85" t="s">
        <v>542</v>
      </c>
      <c r="C85" s="22" t="str">
        <f>IF(C21="Other",C22,C21)</f>
        <v>Garden, yard and park waste</v>
      </c>
      <c r="D85" t="s">
        <v>14</v>
      </c>
      <c r="E85" t="s">
        <v>199</v>
      </c>
      <c r="G85" t="s">
        <v>16</v>
      </c>
    </row>
    <row r="86" spans="1:7">
      <c r="A86" t="s">
        <v>543</v>
      </c>
      <c r="B86" t="s">
        <v>544</v>
      </c>
      <c r="C86" s="22">
        <f>C77*(1-C78)*C79*(1-C80)*(16/12)*C81*C75*C82*(C76*C83*EXP(-C84*(C74-C73))*(1-EXP(-C84)))</f>
        <v>34.183359991239271</v>
      </c>
      <c r="D86" t="s">
        <v>14</v>
      </c>
      <c r="E86" t="s">
        <v>199</v>
      </c>
      <c r="G86" t="s">
        <v>16</v>
      </c>
    </row>
    <row r="87" spans="1:7">
      <c r="B87" s="123" t="s">
        <v>545</v>
      </c>
      <c r="F87" t="s">
        <v>546</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10BA1640-4AC2-496A-959C-390365C2CED6}">
          <x14:formula1>
            <xm:f>'Tool 4 Dropdown Items'!$A$2:$A$4</xm:f>
          </x14:formula1>
          <xm:sqref>C3</xm:sqref>
        </x14:dataValidation>
        <x14:dataValidation type="list" allowBlank="1" showInputMessage="1" showErrorMessage="1" xr:uid="{83B60FF9-6410-4AC9-AE90-BFA960ABB042}">
          <x14:formula1>
            <xm:f>'Tool 4 Dropdown Items'!$H$2:$H$3</xm:f>
          </x14:formula1>
          <xm:sqref>C10</xm:sqref>
        </x14:dataValidation>
        <x14:dataValidation type="list" allowBlank="1" showInputMessage="1" showErrorMessage="1" xr:uid="{65F2D689-7CF6-41FB-8480-92D160411A3B}">
          <x14:formula1>
            <xm:f>'Tool 4 Dropdown Items'!$I$2:$I$11</xm:f>
          </x14:formula1>
          <xm:sqref>C21</xm:sqref>
        </x14:dataValidation>
        <x14:dataValidation type="list" allowBlank="1" showInputMessage="1" showErrorMessage="1" xr:uid="{F495A130-9779-4736-9ED3-836B190472AD}">
          <x14:formula1>
            <xm:f>'Tool 4 Dropdown Items'!$F$2:$F$3</xm:f>
          </x14:formula1>
          <xm:sqref>C20</xm:sqref>
        </x14:dataValidation>
        <x14:dataValidation type="list" allowBlank="1" showInputMessage="1" showErrorMessage="1" xr:uid="{1EB5B33C-2F9B-4E3E-8D9B-8803685DE742}">
          <x14:formula1>
            <xm:f>'Tool 4 Dropdown Items'!$M$2:$M$5</xm:f>
          </x14:formula1>
          <xm:sqref>C19</xm:sqref>
        </x14:dataValidation>
        <x14:dataValidation type="list" allowBlank="1" showInputMessage="1" showErrorMessage="1" xr:uid="{8C99C151-A53E-486F-A7F3-5F023DDC01B3}">
          <x14:formula1>
            <xm:f>'Tool 4 Dropdown Items'!$L$2:$L$3</xm:f>
          </x14:formula1>
          <xm:sqref>C14</xm:sqref>
        </x14:dataValidation>
        <x14:dataValidation type="list" allowBlank="1" showInputMessage="1" showErrorMessage="1" xr:uid="{A60C8292-75F5-47F1-ABAF-5CF892424D9F}">
          <x14:formula1>
            <xm:f>'Tool 4 Dropdown Items'!$K$2:$K$3</xm:f>
          </x14:formula1>
          <xm:sqref>C23 C17</xm:sqref>
        </x14:dataValidation>
        <x14:dataValidation type="list" allowBlank="1" showInputMessage="1" showErrorMessage="1" xr:uid="{B325C7A1-E3CB-4CD4-8E19-FA663E9BD819}">
          <x14:formula1>
            <xm:f>'Tool 4 Dropdown Items'!$J$2:$J$3</xm:f>
          </x14:formula1>
          <xm:sqref>C11</xm:sqref>
        </x14:dataValidation>
        <x14:dataValidation type="list" allowBlank="1" showInputMessage="1" showErrorMessage="1" xr:uid="{5D052C80-6ED9-49D1-946D-890983C8D1A6}">
          <x14:formula1>
            <xm:f>'Tool 4 Dropdown Items'!$G$2:$G$3</xm:f>
          </x14:formula1>
          <xm:sqref>C9</xm:sqref>
        </x14:dataValidation>
        <x14:dataValidation type="list" allowBlank="1" showInputMessage="1" showErrorMessage="1" xr:uid="{36E3D0AF-A7CB-496C-92D8-7AB00F97C604}">
          <x14:formula1>
            <xm:f>'Tool 4 Dropdown Items'!$E$2:$E$3</xm:f>
          </x14:formula1>
          <xm:sqref>C8</xm:sqref>
        </x14:dataValidation>
        <x14:dataValidation type="list" allowBlank="1" showInputMessage="1" showErrorMessage="1" xr:uid="{43422880-39C3-486C-BD2F-BF8D1B82CA81}">
          <x14:formula1>
            <xm:f>'Tool 4 Dropdown Items'!$D$2:$D$3</xm:f>
          </x14:formula1>
          <xm:sqref>C12:C13 C23 C15:C16 C5:C7 C18</xm:sqref>
        </x14:dataValidation>
        <x14:dataValidation type="list" allowBlank="1" showInputMessage="1" showErrorMessage="1" xr:uid="{1146557D-370D-4F6E-824D-71A90D6F565D}">
          <x14:formula1>
            <xm:f>'Tool 4 Dropdown Items'!$B$2:$B$3</xm:f>
          </x14:formula1>
          <xm:sqref>C4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BC97-FA7E-47CC-BA4E-EEAB22094A2B}">
  <dimension ref="A1:D8"/>
  <sheetViews>
    <sheetView workbookViewId="0">
      <selection activeCell="G38" sqref="G38"/>
    </sheetView>
  </sheetViews>
  <sheetFormatPr defaultRowHeight="14.45"/>
  <cols>
    <col min="1" max="1" width="14.5703125" style="2" customWidth="1"/>
    <col min="2" max="2" width="26.5703125" customWidth="1"/>
    <col min="3" max="3" width="23.7109375" customWidth="1"/>
    <col min="4" max="4" width="25.140625" customWidth="1"/>
  </cols>
  <sheetData>
    <row r="1" spans="1:4" s="2" customFormat="1">
      <c r="B1" s="2" t="s">
        <v>547</v>
      </c>
      <c r="C1" s="2" t="s">
        <v>433</v>
      </c>
      <c r="D1" s="2" t="s">
        <v>548</v>
      </c>
    </row>
    <row r="2" spans="1:4">
      <c r="A2" s="2" t="s">
        <v>549</v>
      </c>
      <c r="B2" t="b">
        <f>IF('Tool 04-SWDS-Yearly'!C3="Baseline Emissions (BE)",'Tool 04-SWDS-Yearly'!C86)</f>
        <v>0</v>
      </c>
      <c r="C2">
        <f>IF('Tool 04-SWDS-Yearly'!C3="Project Emissions (PE)",'Tool 04-SWDS-Yearly'!C86)</f>
        <v>34.183359991239271</v>
      </c>
      <c r="D2" t="b">
        <f>IF('Tool 04-SWDS-Yearly'!C3="Leakage Emissions (LE)",'Tool 04-SWDS-Yearly'!C86)</f>
        <v>0</v>
      </c>
    </row>
    <row r="3" spans="1:4">
      <c r="A3" s="124" t="s">
        <v>549</v>
      </c>
      <c r="B3" s="87"/>
      <c r="C3" s="87"/>
      <c r="D3" s="87"/>
    </row>
    <row r="4" spans="1:4">
      <c r="A4" s="124" t="s">
        <v>549</v>
      </c>
      <c r="B4" s="87"/>
      <c r="C4" s="87"/>
      <c r="D4" s="87"/>
    </row>
    <row r="5" spans="1:4">
      <c r="A5" s="124" t="s">
        <v>549</v>
      </c>
      <c r="B5" s="87"/>
      <c r="C5" s="87"/>
      <c r="D5" s="87"/>
    </row>
    <row r="6" spans="1:4">
      <c r="A6" s="124" t="s">
        <v>549</v>
      </c>
      <c r="B6" s="87"/>
      <c r="C6" s="87"/>
      <c r="D6" s="87"/>
    </row>
    <row r="7" spans="1:4">
      <c r="A7" s="124" t="s">
        <v>549</v>
      </c>
      <c r="B7" s="87"/>
      <c r="C7" s="87"/>
      <c r="D7" s="87"/>
    </row>
    <row r="8" spans="1:4" s="2" customFormat="1">
      <c r="A8" s="2" t="s">
        <v>550</v>
      </c>
      <c r="B8" s="2">
        <f>SUM(B2:B7)</f>
        <v>0</v>
      </c>
      <c r="C8" s="2">
        <f t="shared" ref="C8" si="0">SUM(C2:C7)</f>
        <v>34.183359991239271</v>
      </c>
      <c r="D8" s="2">
        <f>SUM(D2:D7)</f>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DB0B-5751-4829-86F1-061923825161}">
  <dimension ref="A1:M11"/>
  <sheetViews>
    <sheetView workbookViewId="0">
      <selection activeCell="B90" sqref="B90"/>
    </sheetView>
  </sheetViews>
  <sheetFormatPr defaultRowHeight="14.4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2" t="s">
        <v>551</v>
      </c>
      <c r="B1" s="2" t="s">
        <v>552</v>
      </c>
      <c r="C1" s="2" t="s">
        <v>553</v>
      </c>
      <c r="D1" s="2" t="s">
        <v>554</v>
      </c>
      <c r="E1" s="2" t="s">
        <v>555</v>
      </c>
      <c r="F1" s="2" t="s">
        <v>556</v>
      </c>
      <c r="G1" s="2" t="s">
        <v>557</v>
      </c>
      <c r="H1" s="2" t="s">
        <v>558</v>
      </c>
      <c r="I1" s="2" t="s">
        <v>559</v>
      </c>
    </row>
    <row r="2" spans="1:13">
      <c r="A2" t="s">
        <v>547</v>
      </c>
      <c r="B2" t="s">
        <v>481</v>
      </c>
      <c r="C2" t="s">
        <v>560</v>
      </c>
      <c r="D2" t="s">
        <v>14</v>
      </c>
      <c r="E2" t="s">
        <v>561</v>
      </c>
      <c r="F2" t="s">
        <v>456</v>
      </c>
      <c r="G2" t="s">
        <v>444</v>
      </c>
      <c r="H2" t="s">
        <v>562</v>
      </c>
      <c r="I2" t="s">
        <v>563</v>
      </c>
      <c r="J2" t="s">
        <v>564</v>
      </c>
      <c r="K2" t="s">
        <v>565</v>
      </c>
      <c r="L2" t="s">
        <v>452</v>
      </c>
      <c r="M2" t="s">
        <v>459</v>
      </c>
    </row>
    <row r="3" spans="1:13" ht="28.9">
      <c r="A3" t="s">
        <v>433</v>
      </c>
      <c r="B3" t="s">
        <v>436</v>
      </c>
      <c r="C3" t="s">
        <v>566</v>
      </c>
      <c r="D3" t="s">
        <v>16</v>
      </c>
      <c r="E3" t="s">
        <v>442</v>
      </c>
      <c r="F3" t="s">
        <v>565</v>
      </c>
      <c r="G3" t="s">
        <v>567</v>
      </c>
      <c r="H3" t="s">
        <v>446</v>
      </c>
      <c r="I3" s="1" t="s">
        <v>568</v>
      </c>
      <c r="J3" t="s">
        <v>448</v>
      </c>
      <c r="K3" t="s">
        <v>456</v>
      </c>
      <c r="L3" t="s">
        <v>569</v>
      </c>
      <c r="M3" t="s">
        <v>570</v>
      </c>
    </row>
    <row r="4" spans="1:13">
      <c r="A4" t="s">
        <v>548</v>
      </c>
      <c r="I4" t="s">
        <v>571</v>
      </c>
      <c r="M4" t="s">
        <v>572</v>
      </c>
    </row>
    <row r="5" spans="1:13">
      <c r="I5" t="s">
        <v>573</v>
      </c>
      <c r="M5" t="s">
        <v>574</v>
      </c>
    </row>
    <row r="6" spans="1:13">
      <c r="I6" t="s">
        <v>463</v>
      </c>
    </row>
    <row r="7" spans="1:13">
      <c r="I7" t="s">
        <v>575</v>
      </c>
    </row>
    <row r="8" spans="1:13">
      <c r="I8" t="s">
        <v>576</v>
      </c>
    </row>
    <row r="9" spans="1:13">
      <c r="I9" t="s">
        <v>577</v>
      </c>
    </row>
    <row r="10" spans="1:13">
      <c r="I10" t="s">
        <v>578</v>
      </c>
    </row>
    <row r="11" spans="1:13">
      <c r="I11" t="s">
        <v>579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Pinnola</dc:creator>
  <cp:keywords/>
  <dc:description/>
  <cp:lastModifiedBy>Jailine Molina</cp:lastModifiedBy>
  <cp:revision/>
  <dcterms:created xsi:type="dcterms:W3CDTF">2023-10-03T19:38:32Z</dcterms:created>
  <dcterms:modified xsi:type="dcterms:W3CDTF">2023-10-23T20:48:14Z</dcterms:modified>
  <cp:category/>
  <cp:contentStatus/>
</cp:coreProperties>
</file>